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ikova\Desktop\Работа\Отчёты\Отчёт 2022\"/>
    </mc:Choice>
  </mc:AlternateContent>
  <bookViews>
    <workbookView xWindow="0" yWindow="0" windowWidth="28800" windowHeight="11235" tabRatio="758" firstSheet="4" activeTab="4"/>
  </bookViews>
  <sheets>
    <sheet name="реклама" sheetId="10" state="hidden" r:id="rId1"/>
    <sheet name="МКД2022" sheetId="1" state="hidden" r:id="rId2"/>
    <sheet name="отчёт" sheetId="12" state="hidden" r:id="rId3"/>
    <sheet name="свод" sheetId="8" state="hidden" r:id="rId4"/>
    <sheet name="2022" sheetId="11" r:id="rId5"/>
    <sheet name="20.01" sheetId="5" state="hidden" r:id="rId6"/>
    <sheet name="25" sheetId="3" state="hidden" r:id="rId7"/>
    <sheet name="26" sheetId="4" state="hidden" r:id="rId8"/>
    <sheet name="91.02" sheetId="6" state="hidden" r:id="rId9"/>
    <sheet name="еирц" sheetId="9" state="hidden" r:id="rId10"/>
  </sheets>
  <definedNames>
    <definedName name="_xlnm._FilterDatabase" localSheetId="5" hidden="1">'20.01'!$A$11:$BD$2137</definedName>
    <definedName name="_xlnm._FilterDatabase" localSheetId="4" hidden="1">'2022'!$A$1:$L$1</definedName>
    <definedName name="_xlnm._FilterDatabase" localSheetId="6" hidden="1">'25'!$A$9:$K$9</definedName>
    <definedName name="_xlnm._FilterDatabase" localSheetId="8" hidden="1">'91.02'!$A$9:$H$33</definedName>
    <definedName name="_xlnm._FilterDatabase" localSheetId="9" hidden="1">еирц!$A$4:$K$4</definedName>
    <definedName name="_xlnm._FilterDatabase" localSheetId="1" hidden="1">МКД2022!$A$4:$BP$244</definedName>
    <definedName name="_xlnm._FilterDatabase" localSheetId="2" hidden="1">отчёт!$A$4:$EH$251</definedName>
    <definedName name="_xlnm._FilterDatabase" localSheetId="3" hidden="1">свод!$A$1:$U$1</definedName>
    <definedName name="_xlnm.Database" localSheetId="9">#REF!</definedName>
    <definedName name="_xlnm.Database" localSheetId="1">#REF!</definedName>
    <definedName name="_xlnm.Database" localSheetId="2">#REF!</definedName>
    <definedName name="_xlnm.Database">#REF!</definedName>
    <definedName name="_xlnm.Print_Area" localSheetId="4">'2022'!$A$1:$D$58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8" l="1"/>
  <c r="I75" i="8"/>
  <c r="C62" i="8"/>
  <c r="DG245" i="12"/>
  <c r="DG246" i="12" s="1"/>
  <c r="DG244" i="12"/>
  <c r="AL245" i="12"/>
  <c r="AL246" i="12" s="1"/>
  <c r="AL244" i="12"/>
  <c r="DG247" i="12" l="1"/>
  <c r="AL247" i="12"/>
  <c r="C7" i="11"/>
  <c r="EE120" i="12"/>
  <c r="EE121" i="12"/>
  <c r="EE122" i="12"/>
  <c r="EE123" i="12"/>
  <c r="EE124" i="12"/>
  <c r="EE125" i="12"/>
  <c r="EE126" i="12"/>
  <c r="EE127" i="12"/>
  <c r="EE128" i="12"/>
  <c r="EE129" i="12"/>
  <c r="EE130" i="12"/>
  <c r="EE131" i="12"/>
  <c r="EE132" i="12"/>
  <c r="EE133" i="12"/>
  <c r="EE134" i="12"/>
  <c r="EE135" i="12"/>
  <c r="EE136" i="12"/>
  <c r="EE137" i="12"/>
  <c r="EE138" i="12"/>
  <c r="EE139" i="12"/>
  <c r="EE140" i="12"/>
  <c r="EE141" i="12"/>
  <c r="EE142" i="12"/>
  <c r="EE143" i="12"/>
  <c r="EE144" i="12"/>
  <c r="EE145" i="12"/>
  <c r="EE146" i="12"/>
  <c r="EE147" i="12"/>
  <c r="EE148" i="12"/>
  <c r="EE149" i="12"/>
  <c r="EE150" i="12"/>
  <c r="EE151" i="12"/>
  <c r="EE152" i="12"/>
  <c r="EE153" i="12"/>
  <c r="EE154" i="12"/>
  <c r="EE155" i="12"/>
  <c r="EE156" i="12"/>
  <c r="EE157" i="12"/>
  <c r="EE158" i="12"/>
  <c r="EE159" i="12"/>
  <c r="EE160" i="12"/>
  <c r="EE161" i="12"/>
  <c r="EE162" i="12"/>
  <c r="EE163" i="12"/>
  <c r="EE164" i="12"/>
  <c r="EE165" i="12"/>
  <c r="EE166" i="12"/>
  <c r="EE167" i="12"/>
  <c r="EE168" i="12"/>
  <c r="EE169" i="12"/>
  <c r="EE170" i="12"/>
  <c r="EE171" i="12"/>
  <c r="EE172" i="12"/>
  <c r="EE173" i="12"/>
  <c r="EE174" i="12"/>
  <c r="EE175" i="12"/>
  <c r="EE176" i="12"/>
  <c r="EE177" i="12"/>
  <c r="EE178" i="12"/>
  <c r="EE179" i="12"/>
  <c r="EE180" i="12"/>
  <c r="EE181" i="12"/>
  <c r="EE182" i="12"/>
  <c r="EE183" i="12"/>
  <c r="EE184" i="12"/>
  <c r="EE185" i="12"/>
  <c r="EE186" i="12"/>
  <c r="EE187" i="12"/>
  <c r="EE188" i="12"/>
  <c r="EE189" i="12"/>
  <c r="EE190" i="12"/>
  <c r="EE191" i="12"/>
  <c r="EE192" i="12"/>
  <c r="EE193" i="12"/>
  <c r="EE194" i="12"/>
  <c r="EE195" i="12"/>
  <c r="EE196" i="12"/>
  <c r="EE197" i="12"/>
  <c r="EE198" i="12"/>
  <c r="EE199" i="12"/>
  <c r="EE200" i="12"/>
  <c r="EE201" i="12"/>
  <c r="EE202" i="12"/>
  <c r="EE203" i="12"/>
  <c r="EE204" i="12"/>
  <c r="EE205" i="12"/>
  <c r="EE206" i="12"/>
  <c r="EE207" i="12"/>
  <c r="EE208" i="12"/>
  <c r="EE209" i="12"/>
  <c r="EE210" i="12"/>
  <c r="EE211" i="12"/>
  <c r="EE212" i="12"/>
  <c r="EE213" i="12"/>
  <c r="EE214" i="12"/>
  <c r="EE215" i="12"/>
  <c r="EE216" i="12"/>
  <c r="EE217" i="12"/>
  <c r="EE218" i="12"/>
  <c r="EE219" i="12"/>
  <c r="EE220" i="12"/>
  <c r="EE221" i="12"/>
  <c r="EE222" i="12"/>
  <c r="EE223" i="12"/>
  <c r="EE224" i="12"/>
  <c r="EE225" i="12"/>
  <c r="EE226" i="12"/>
  <c r="EE227" i="12"/>
  <c r="EE228" i="12"/>
  <c r="EE229" i="12"/>
  <c r="EE230" i="12"/>
  <c r="EE231" i="12"/>
  <c r="EE232" i="12"/>
  <c r="EE233" i="12"/>
  <c r="EE234" i="12"/>
  <c r="EE235" i="12"/>
  <c r="EE236" i="12"/>
  <c r="EE237" i="12"/>
  <c r="EE238" i="12"/>
  <c r="EE239" i="12"/>
  <c r="EE240" i="12"/>
  <c r="EE241" i="12"/>
  <c r="EE242" i="12"/>
  <c r="EE243" i="12"/>
  <c r="EE6" i="12"/>
  <c r="EE7" i="12"/>
  <c r="EE8" i="12"/>
  <c r="EE9" i="12"/>
  <c r="EE10" i="12"/>
  <c r="EE11" i="12"/>
  <c r="EE12" i="12"/>
  <c r="EE13" i="12"/>
  <c r="EE14" i="12"/>
  <c r="EE15" i="12"/>
  <c r="EE16" i="12"/>
  <c r="EE17" i="12"/>
  <c r="EE18" i="12"/>
  <c r="EE19" i="12"/>
  <c r="EE20" i="12"/>
  <c r="EE21" i="12"/>
  <c r="EE22" i="12"/>
  <c r="EE23" i="12"/>
  <c r="EE24" i="12"/>
  <c r="EE25" i="12"/>
  <c r="EE26" i="12"/>
  <c r="EE27" i="12"/>
  <c r="EE28" i="12"/>
  <c r="EE29" i="12"/>
  <c r="EE30" i="12"/>
  <c r="EE31" i="12"/>
  <c r="EE32" i="12"/>
  <c r="EE33" i="12"/>
  <c r="EE34" i="12"/>
  <c r="EE35" i="12"/>
  <c r="EE36" i="12"/>
  <c r="EE37" i="12"/>
  <c r="EE38" i="12"/>
  <c r="EE39" i="12"/>
  <c r="EE40" i="12"/>
  <c r="EE41" i="12"/>
  <c r="EE42" i="12"/>
  <c r="EE43" i="12"/>
  <c r="EE44" i="12"/>
  <c r="EE45" i="12"/>
  <c r="EE46" i="12"/>
  <c r="EE47" i="12"/>
  <c r="EE48" i="12"/>
  <c r="EE49" i="12"/>
  <c r="EE50" i="12"/>
  <c r="EE51" i="12"/>
  <c r="EE52" i="12"/>
  <c r="EE53" i="12"/>
  <c r="EE54" i="12"/>
  <c r="EE55" i="12"/>
  <c r="EE56" i="12"/>
  <c r="EE57" i="12"/>
  <c r="EE58" i="12"/>
  <c r="EE59" i="12"/>
  <c r="EE60" i="12"/>
  <c r="EE61" i="12"/>
  <c r="EE62" i="12"/>
  <c r="EE63" i="12"/>
  <c r="EE64" i="12"/>
  <c r="EE65" i="12"/>
  <c r="EE66" i="12"/>
  <c r="EE67" i="12"/>
  <c r="EE68" i="12"/>
  <c r="EE69" i="12"/>
  <c r="EE70" i="12"/>
  <c r="EE71" i="12"/>
  <c r="EE72" i="12"/>
  <c r="EE73" i="12"/>
  <c r="EE74" i="12"/>
  <c r="EE75" i="12"/>
  <c r="EE76" i="12"/>
  <c r="EE77" i="12"/>
  <c r="EE78" i="12"/>
  <c r="EE79" i="12"/>
  <c r="EE80" i="12"/>
  <c r="EE81" i="12"/>
  <c r="EE82" i="12"/>
  <c r="EE83" i="12"/>
  <c r="EE84" i="12"/>
  <c r="EE85" i="12"/>
  <c r="EE86" i="12"/>
  <c r="EE87" i="12"/>
  <c r="EE88" i="12"/>
  <c r="EE89" i="12"/>
  <c r="EE90" i="12"/>
  <c r="EE91" i="12"/>
  <c r="EE92" i="12"/>
  <c r="EE93" i="12"/>
  <c r="EE94" i="12"/>
  <c r="EE95" i="12"/>
  <c r="EE96" i="12"/>
  <c r="EE97" i="12"/>
  <c r="EE98" i="12"/>
  <c r="EE99" i="12"/>
  <c r="EE100" i="12"/>
  <c r="EE101" i="12"/>
  <c r="EE102" i="12"/>
  <c r="EE103" i="12"/>
  <c r="EE104" i="12"/>
  <c r="EE105" i="12"/>
  <c r="EE106" i="12"/>
  <c r="EE107" i="12"/>
  <c r="EE108" i="12"/>
  <c r="EE109" i="12"/>
  <c r="EE110" i="12"/>
  <c r="EE111" i="12"/>
  <c r="EE112" i="12"/>
  <c r="EE113" i="12"/>
  <c r="EE114" i="12"/>
  <c r="EE115" i="12"/>
  <c r="EE116" i="12"/>
  <c r="EE117" i="12"/>
  <c r="EE118" i="12"/>
  <c r="EE119" i="12"/>
  <c r="EE5" i="12"/>
  <c r="ED6" i="12"/>
  <c r="ED7" i="12"/>
  <c r="ED8" i="12"/>
  <c r="ED9" i="12"/>
  <c r="ED10" i="12"/>
  <c r="ED11" i="12"/>
  <c r="ED12" i="12"/>
  <c r="ED13" i="12"/>
  <c r="ED14" i="12"/>
  <c r="ED15" i="12"/>
  <c r="ED16" i="12"/>
  <c r="ED17" i="12"/>
  <c r="ED18" i="12"/>
  <c r="ED19" i="12"/>
  <c r="ED20" i="12"/>
  <c r="ED21" i="12"/>
  <c r="ED22" i="12"/>
  <c r="ED23" i="12"/>
  <c r="ED24" i="12"/>
  <c r="ED25" i="12"/>
  <c r="ED26" i="12"/>
  <c r="ED27" i="12"/>
  <c r="ED28" i="12"/>
  <c r="ED29" i="12"/>
  <c r="ED30" i="12"/>
  <c r="ED31" i="12"/>
  <c r="ED32" i="12"/>
  <c r="ED33" i="12"/>
  <c r="ED34" i="12"/>
  <c r="ED35" i="12"/>
  <c r="ED36" i="12"/>
  <c r="ED37" i="12"/>
  <c r="ED38" i="12"/>
  <c r="ED39" i="12"/>
  <c r="ED40" i="12"/>
  <c r="ED41" i="12"/>
  <c r="ED42" i="12"/>
  <c r="ED43" i="12"/>
  <c r="ED44" i="12"/>
  <c r="ED45" i="12"/>
  <c r="ED46" i="12"/>
  <c r="ED47" i="12"/>
  <c r="ED48" i="12"/>
  <c r="ED49" i="12"/>
  <c r="ED50" i="12"/>
  <c r="ED51" i="12"/>
  <c r="ED52" i="12"/>
  <c r="ED53" i="12"/>
  <c r="ED54" i="12"/>
  <c r="ED55" i="12"/>
  <c r="ED56" i="12"/>
  <c r="ED57" i="12"/>
  <c r="C9" i="11" s="1"/>
  <c r="ED58" i="12"/>
  <c r="ED59" i="12"/>
  <c r="ED60" i="12"/>
  <c r="ED61" i="12"/>
  <c r="ED62" i="12"/>
  <c r="ED63" i="12"/>
  <c r="ED64" i="12"/>
  <c r="ED65" i="12"/>
  <c r="ED66" i="12"/>
  <c r="ED67" i="12"/>
  <c r="ED68" i="12"/>
  <c r="ED69" i="12"/>
  <c r="ED70" i="12"/>
  <c r="ED71" i="12"/>
  <c r="ED72" i="12"/>
  <c r="ED73" i="12"/>
  <c r="ED74" i="12"/>
  <c r="ED75" i="12"/>
  <c r="ED76" i="12"/>
  <c r="ED77" i="12"/>
  <c r="ED78" i="12"/>
  <c r="ED79" i="12"/>
  <c r="ED80" i="12"/>
  <c r="ED81" i="12"/>
  <c r="ED82" i="12"/>
  <c r="ED83" i="12"/>
  <c r="ED84" i="12"/>
  <c r="ED85" i="12"/>
  <c r="ED86" i="12"/>
  <c r="ED87" i="12"/>
  <c r="ED88" i="12"/>
  <c r="ED89" i="12"/>
  <c r="ED90" i="12"/>
  <c r="ED91" i="12"/>
  <c r="ED92" i="12"/>
  <c r="ED93" i="12"/>
  <c r="ED94" i="12"/>
  <c r="ED95" i="12"/>
  <c r="ED96" i="12"/>
  <c r="ED97" i="12"/>
  <c r="ED98" i="12"/>
  <c r="ED99" i="12"/>
  <c r="ED100" i="12"/>
  <c r="ED101" i="12"/>
  <c r="ED102" i="12"/>
  <c r="ED103" i="12"/>
  <c r="ED104" i="12"/>
  <c r="ED105" i="12"/>
  <c r="ED106" i="12"/>
  <c r="ED107" i="12"/>
  <c r="ED108" i="12"/>
  <c r="ED109" i="12"/>
  <c r="ED110" i="12"/>
  <c r="ED111" i="12"/>
  <c r="ED112" i="12"/>
  <c r="ED113" i="12"/>
  <c r="ED114" i="12"/>
  <c r="ED115" i="12"/>
  <c r="ED116" i="12"/>
  <c r="ED117" i="12"/>
  <c r="ED118" i="12"/>
  <c r="ED119" i="12"/>
  <c r="ED120" i="12"/>
  <c r="ED121" i="12"/>
  <c r="ED122" i="12"/>
  <c r="ED123" i="12"/>
  <c r="ED124" i="12"/>
  <c r="ED125" i="12"/>
  <c r="ED126" i="12"/>
  <c r="ED127" i="12"/>
  <c r="ED128" i="12"/>
  <c r="ED129" i="12"/>
  <c r="ED130" i="12"/>
  <c r="ED131" i="12"/>
  <c r="ED132" i="12"/>
  <c r="ED133" i="12"/>
  <c r="ED134" i="12"/>
  <c r="ED135" i="12"/>
  <c r="ED136" i="12"/>
  <c r="ED137" i="12"/>
  <c r="ED138" i="12"/>
  <c r="ED139" i="12"/>
  <c r="ED140" i="12"/>
  <c r="ED141" i="12"/>
  <c r="ED142" i="12"/>
  <c r="ED143" i="12"/>
  <c r="ED144" i="12"/>
  <c r="ED145" i="12"/>
  <c r="ED146" i="12"/>
  <c r="ED147" i="12"/>
  <c r="ED148" i="12"/>
  <c r="ED149" i="12"/>
  <c r="ED150" i="12"/>
  <c r="ED151" i="12"/>
  <c r="ED152" i="12"/>
  <c r="ED153" i="12"/>
  <c r="ED154" i="12"/>
  <c r="ED155" i="12"/>
  <c r="ED156" i="12"/>
  <c r="ED157" i="12"/>
  <c r="ED158" i="12"/>
  <c r="ED159" i="12"/>
  <c r="ED160" i="12"/>
  <c r="ED161" i="12"/>
  <c r="ED162" i="12"/>
  <c r="ED163" i="12"/>
  <c r="ED164" i="12"/>
  <c r="ED165" i="12"/>
  <c r="ED166" i="12"/>
  <c r="ED167" i="12"/>
  <c r="ED168" i="12"/>
  <c r="ED169" i="12"/>
  <c r="ED170" i="12"/>
  <c r="ED171" i="12"/>
  <c r="ED172" i="12"/>
  <c r="ED173" i="12"/>
  <c r="ED174" i="12"/>
  <c r="ED175" i="12"/>
  <c r="ED176" i="12"/>
  <c r="ED177" i="12"/>
  <c r="ED178" i="12"/>
  <c r="ED179" i="12"/>
  <c r="ED180" i="12"/>
  <c r="ED181" i="12"/>
  <c r="ED182" i="12"/>
  <c r="ED183" i="12"/>
  <c r="ED184" i="12"/>
  <c r="ED185" i="12"/>
  <c r="ED186" i="12"/>
  <c r="ED187" i="12"/>
  <c r="ED188" i="12"/>
  <c r="ED189" i="12"/>
  <c r="ED190" i="12"/>
  <c r="ED191" i="12"/>
  <c r="ED192" i="12"/>
  <c r="ED193" i="12"/>
  <c r="ED194" i="12"/>
  <c r="ED195" i="12"/>
  <c r="ED196" i="12"/>
  <c r="ED197" i="12"/>
  <c r="ED198" i="12"/>
  <c r="ED199" i="12"/>
  <c r="ED200" i="12"/>
  <c r="ED201" i="12"/>
  <c r="ED202" i="12"/>
  <c r="ED203" i="12"/>
  <c r="ED204" i="12"/>
  <c r="ED205" i="12"/>
  <c r="ED206" i="12"/>
  <c r="ED207" i="12"/>
  <c r="ED208" i="12"/>
  <c r="ED209" i="12"/>
  <c r="ED210" i="12"/>
  <c r="ED211" i="12"/>
  <c r="ED212" i="12"/>
  <c r="ED213" i="12"/>
  <c r="ED214" i="12"/>
  <c r="ED215" i="12"/>
  <c r="ED216" i="12"/>
  <c r="ED217" i="12"/>
  <c r="ED218" i="12"/>
  <c r="ED219" i="12"/>
  <c r="ED220" i="12"/>
  <c r="ED221" i="12"/>
  <c r="ED222" i="12"/>
  <c r="ED223" i="12"/>
  <c r="ED224" i="12"/>
  <c r="ED225" i="12"/>
  <c r="ED226" i="12"/>
  <c r="ED227" i="12"/>
  <c r="ED228" i="12"/>
  <c r="ED229" i="12"/>
  <c r="ED230" i="12"/>
  <c r="ED231" i="12"/>
  <c r="ED232" i="12"/>
  <c r="ED233" i="12"/>
  <c r="ED234" i="12"/>
  <c r="ED235" i="12"/>
  <c r="ED236" i="12"/>
  <c r="ED237" i="12"/>
  <c r="ED238" i="12"/>
  <c r="ED239" i="12"/>
  <c r="ED240" i="12"/>
  <c r="ED241" i="12"/>
  <c r="ED242" i="12"/>
  <c r="ED243" i="12"/>
  <c r="ED5" i="12"/>
  <c r="C10" i="11" l="1"/>
  <c r="EE244" i="12"/>
  <c r="ED244" i="12"/>
  <c r="BZ251" i="12"/>
  <c r="AG251" i="12"/>
  <c r="BZ250" i="12"/>
  <c r="AG250" i="12"/>
  <c r="BZ249" i="12"/>
  <c r="AG249" i="12"/>
  <c r="BZ248" i="12"/>
  <c r="AG248" i="12"/>
  <c r="BZ247" i="12"/>
  <c r="AG247" i="12"/>
  <c r="DU246" i="12"/>
  <c r="DQ246" i="12"/>
  <c r="CN246" i="12"/>
  <c r="CM246" i="12"/>
  <c r="CK246" i="12"/>
  <c r="CJ246" i="12"/>
  <c r="CI246" i="12"/>
  <c r="CE246" i="12"/>
  <c r="CC246" i="12"/>
  <c r="BZ246" i="12"/>
  <c r="BX246" i="12"/>
  <c r="BW246" i="12"/>
  <c r="BV246" i="12"/>
  <c r="BU246" i="12"/>
  <c r="BT246" i="12"/>
  <c r="BR246" i="12"/>
  <c r="BQ246" i="12"/>
  <c r="BP246" i="12"/>
  <c r="BO246" i="12"/>
  <c r="BN246" i="12"/>
  <c r="BL246" i="12"/>
  <c r="BK246" i="12"/>
  <c r="BJ246" i="12"/>
  <c r="BI246" i="12"/>
  <c r="BH246" i="12"/>
  <c r="BG246" i="12"/>
  <c r="BE246" i="12"/>
  <c r="BD246" i="12"/>
  <c r="BC246" i="12"/>
  <c r="BB246" i="12"/>
  <c r="AZ246" i="12"/>
  <c r="AY246" i="12"/>
  <c r="AW246" i="12"/>
  <c r="AV246" i="12"/>
  <c r="AT246" i="12"/>
  <c r="AS246" i="12"/>
  <c r="AP246" i="12"/>
  <c r="AO246" i="12"/>
  <c r="AN246" i="12"/>
  <c r="AH246" i="12"/>
  <c r="AG246" i="12"/>
  <c r="AF246" i="12"/>
  <c r="EB245" i="12"/>
  <c r="DW245" i="12"/>
  <c r="DW246" i="12" s="1"/>
  <c r="DV245" i="12"/>
  <c r="DV246" i="12" s="1"/>
  <c r="DS245" i="12"/>
  <c r="DS246" i="12" s="1"/>
  <c r="DR245" i="12"/>
  <c r="DR246" i="12" s="1"/>
  <c r="DO245" i="12"/>
  <c r="DO246" i="12" s="1"/>
  <c r="DM245" i="12"/>
  <c r="DM246" i="12" s="1"/>
  <c r="DK245" i="12"/>
  <c r="DK246" i="12" s="1"/>
  <c r="DJ245" i="12"/>
  <c r="DJ246" i="12" s="1"/>
  <c r="DI245" i="12"/>
  <c r="DI246" i="12" s="1"/>
  <c r="DF245" i="12"/>
  <c r="DF246" i="12" s="1"/>
  <c r="DE245" i="12"/>
  <c r="DE246" i="12" s="1"/>
  <c r="DD245" i="12"/>
  <c r="DD246" i="12" s="1"/>
  <c r="DC245" i="12"/>
  <c r="DC246" i="12" s="1"/>
  <c r="DB245" i="12"/>
  <c r="DB246" i="12" s="1"/>
  <c r="CY245" i="12"/>
  <c r="CY246" i="12" s="1"/>
  <c r="CX245" i="12"/>
  <c r="CX246" i="12" s="1"/>
  <c r="CW245" i="12"/>
  <c r="CW246" i="12" s="1"/>
  <c r="CV245" i="12"/>
  <c r="CV246" i="12" s="1"/>
  <c r="CU245" i="12"/>
  <c r="CU246" i="12" s="1"/>
  <c r="CT245" i="12"/>
  <c r="CT246" i="12" s="1"/>
  <c r="CR245" i="12"/>
  <c r="CR246" i="12" s="1"/>
  <c r="CQ245" i="12"/>
  <c r="CQ246" i="12" s="1"/>
  <c r="CL245" i="12"/>
  <c r="CL246" i="12" s="1"/>
  <c r="CH245" i="12"/>
  <c r="CH246" i="12" s="1"/>
  <c r="CF245" i="12"/>
  <c r="CG245" i="12" s="1"/>
  <c r="CG246" i="12" s="1"/>
  <c r="CD245" i="12"/>
  <c r="CD246" i="12" s="1"/>
  <c r="CB245" i="12"/>
  <c r="CB246" i="12" s="1"/>
  <c r="CA245" i="12"/>
  <c r="CA246" i="12" s="1"/>
  <c r="AR245" i="12"/>
  <c r="AR246" i="12" s="1"/>
  <c r="AK245" i="12"/>
  <c r="AK246" i="12" s="1"/>
  <c r="AJ245" i="12"/>
  <c r="AJ246" i="12" s="1"/>
  <c r="DW244" i="12"/>
  <c r="DV244" i="12"/>
  <c r="DS244" i="12"/>
  <c r="DS236" i="12" s="1"/>
  <c r="DR244" i="12"/>
  <c r="DR243" i="12" s="1"/>
  <c r="DK244" i="12"/>
  <c r="DJ244" i="12"/>
  <c r="DI244" i="12"/>
  <c r="DF244" i="12"/>
  <c r="DE244" i="12"/>
  <c r="DD244" i="12"/>
  <c r="DC244" i="12"/>
  <c r="DB244" i="12"/>
  <c r="CY244" i="12"/>
  <c r="CX244" i="12"/>
  <c r="CW244" i="12"/>
  <c r="CV244" i="12"/>
  <c r="CU244" i="12"/>
  <c r="CT244" i="12"/>
  <c r="CR244" i="12"/>
  <c r="CQ244" i="12"/>
  <c r="CL244" i="12"/>
  <c r="CH244" i="12"/>
  <c r="CF244" i="12"/>
  <c r="CD244" i="12"/>
  <c r="CB244" i="12"/>
  <c r="CA244" i="12"/>
  <c r="AR244" i="12"/>
  <c r="AK244" i="12"/>
  <c r="AJ244" i="12"/>
  <c r="AH244" i="12"/>
  <c r="K244" i="12"/>
  <c r="L237" i="12" s="1"/>
  <c r="EB237" i="12" s="1"/>
  <c r="I244" i="12"/>
  <c r="F244" i="12"/>
  <c r="E244" i="12"/>
  <c r="D244" i="12"/>
  <c r="EC243" i="12"/>
  <c r="DU243" i="12"/>
  <c r="DS243" i="12"/>
  <c r="DQ243" i="12"/>
  <c r="DO243" i="12"/>
  <c r="CN243" i="12"/>
  <c r="CM243" i="12"/>
  <c r="CK243" i="12"/>
  <c r="CJ243" i="12"/>
  <c r="CI243" i="12"/>
  <c r="CG243" i="12"/>
  <c r="CE243" i="12"/>
  <c r="CC243" i="12"/>
  <c r="BX243" i="12"/>
  <c r="BW243" i="12"/>
  <c r="BV243" i="12"/>
  <c r="BU243" i="12"/>
  <c r="BT243" i="12"/>
  <c r="BR243" i="12"/>
  <c r="BQ243" i="12"/>
  <c r="BP243" i="12"/>
  <c r="BO243" i="12"/>
  <c r="BN243" i="12"/>
  <c r="BL243" i="12"/>
  <c r="BK243" i="12"/>
  <c r="BJ243" i="12"/>
  <c r="BI243" i="12"/>
  <c r="BH243" i="12"/>
  <c r="BG243" i="12"/>
  <c r="BE243" i="12"/>
  <c r="BD243" i="12"/>
  <c r="BC243" i="12"/>
  <c r="BB243" i="12"/>
  <c r="AZ243" i="12"/>
  <c r="AY243" i="12"/>
  <c r="AW243" i="12"/>
  <c r="AV243" i="12"/>
  <c r="AT243" i="12"/>
  <c r="AS243" i="12"/>
  <c r="AP243" i="12"/>
  <c r="AO243" i="12"/>
  <c r="AN243" i="12"/>
  <c r="AI243" i="12"/>
  <c r="AF243" i="12"/>
  <c r="R243" i="12"/>
  <c r="C243" i="12"/>
  <c r="G243" i="12" s="1"/>
  <c r="EC242" i="12"/>
  <c r="DU242" i="12"/>
  <c r="DQ242" i="12"/>
  <c r="DO242" i="12"/>
  <c r="CN242" i="12"/>
  <c r="CM242" i="12"/>
  <c r="CK242" i="12"/>
  <c r="CJ242" i="12"/>
  <c r="CI242" i="12"/>
  <c r="CG242" i="12"/>
  <c r="CE242" i="12"/>
  <c r="CC242" i="12"/>
  <c r="BX242" i="12"/>
  <c r="BW242" i="12"/>
  <c r="BV242" i="12"/>
  <c r="BU242" i="12"/>
  <c r="BT242" i="12"/>
  <c r="BR242" i="12"/>
  <c r="BQ242" i="12"/>
  <c r="BP242" i="12"/>
  <c r="BO242" i="12"/>
  <c r="BN242" i="12"/>
  <c r="BL242" i="12"/>
  <c r="BK242" i="12"/>
  <c r="BJ242" i="12"/>
  <c r="BI242" i="12"/>
  <c r="BH242" i="12"/>
  <c r="BG242" i="12"/>
  <c r="BE242" i="12"/>
  <c r="BD242" i="12"/>
  <c r="BC242" i="12"/>
  <c r="BB242" i="12"/>
  <c r="AZ242" i="12"/>
  <c r="AY242" i="12"/>
  <c r="AW242" i="12"/>
  <c r="AV242" i="12"/>
  <c r="AT242" i="12"/>
  <c r="AS242" i="12"/>
  <c r="AP242" i="12"/>
  <c r="AO242" i="12"/>
  <c r="AN242" i="12"/>
  <c r="AI242" i="12"/>
  <c r="AF242" i="12"/>
  <c r="R242" i="12"/>
  <c r="L242" i="12"/>
  <c r="H242" i="12"/>
  <c r="C242" i="12"/>
  <c r="G242" i="12" s="1"/>
  <c r="N242" i="12" s="1"/>
  <c r="EC241" i="12"/>
  <c r="DU241" i="12"/>
  <c r="DS241" i="12"/>
  <c r="DQ241" i="12"/>
  <c r="DO241" i="12"/>
  <c r="CN241" i="12"/>
  <c r="CM241" i="12"/>
  <c r="CK241" i="12"/>
  <c r="CJ241" i="12"/>
  <c r="CI241" i="12"/>
  <c r="CG241" i="12"/>
  <c r="CE241" i="12"/>
  <c r="CC241" i="12"/>
  <c r="BX241" i="12"/>
  <c r="BW241" i="12"/>
  <c r="BV241" i="12"/>
  <c r="BU241" i="12"/>
  <c r="BT241" i="12"/>
  <c r="BR241" i="12"/>
  <c r="BQ241" i="12"/>
  <c r="BP241" i="12"/>
  <c r="BO241" i="12"/>
  <c r="BN241" i="12"/>
  <c r="BL241" i="12"/>
  <c r="BK241" i="12"/>
  <c r="BJ241" i="12"/>
  <c r="BI241" i="12"/>
  <c r="BH241" i="12"/>
  <c r="BG241" i="12"/>
  <c r="BE241" i="12"/>
  <c r="BD241" i="12"/>
  <c r="BC241" i="12"/>
  <c r="BB241" i="12"/>
  <c r="AZ241" i="12"/>
  <c r="AY241" i="12"/>
  <c r="AW241" i="12"/>
  <c r="AV241" i="12"/>
  <c r="AT241" i="12"/>
  <c r="AS241" i="12"/>
  <c r="AP241" i="12"/>
  <c r="AO241" i="12"/>
  <c r="AN241" i="12"/>
  <c r="AI241" i="12"/>
  <c r="AF241" i="12"/>
  <c r="R241" i="12"/>
  <c r="H241" i="12"/>
  <c r="C241" i="12"/>
  <c r="G241" i="12" s="1"/>
  <c r="P241" i="12" s="1"/>
  <c r="EC240" i="12"/>
  <c r="DU240" i="12"/>
  <c r="DS240" i="12"/>
  <c r="DQ240" i="12"/>
  <c r="DO240" i="12"/>
  <c r="DN240" i="12"/>
  <c r="DM240" i="12"/>
  <c r="CN240" i="12"/>
  <c r="CM240" i="12"/>
  <c r="CK240" i="12"/>
  <c r="CJ240" i="12"/>
  <c r="CI240" i="12"/>
  <c r="CG240" i="12"/>
  <c r="CE240" i="12"/>
  <c r="CC240" i="12"/>
  <c r="BX240" i="12"/>
  <c r="BW240" i="12"/>
  <c r="BV240" i="12"/>
  <c r="BU240" i="12"/>
  <c r="BT240" i="12"/>
  <c r="BR240" i="12"/>
  <c r="BQ240" i="12"/>
  <c r="BP240" i="12"/>
  <c r="BO240" i="12"/>
  <c r="BN240" i="12"/>
  <c r="BL240" i="12"/>
  <c r="BK240" i="12"/>
  <c r="BJ240" i="12"/>
  <c r="BI240" i="12"/>
  <c r="BH240" i="12"/>
  <c r="BG240" i="12"/>
  <c r="BE240" i="12"/>
  <c r="BD240" i="12"/>
  <c r="BC240" i="12"/>
  <c r="BB240" i="12"/>
  <c r="AZ240" i="12"/>
  <c r="AY240" i="12"/>
  <c r="AW240" i="12"/>
  <c r="AV240" i="12"/>
  <c r="AT240" i="12"/>
  <c r="AS240" i="12"/>
  <c r="AP240" i="12"/>
  <c r="AO240" i="12"/>
  <c r="AN240" i="12"/>
  <c r="AI240" i="12"/>
  <c r="AF240" i="12"/>
  <c r="R240" i="12"/>
  <c r="P240" i="12"/>
  <c r="N240" i="12"/>
  <c r="L240" i="12"/>
  <c r="EB240" i="12" s="1"/>
  <c r="C240" i="12"/>
  <c r="G240" i="12" s="1"/>
  <c r="H240" i="12" s="1"/>
  <c r="EC239" i="12"/>
  <c r="DU239" i="12"/>
  <c r="DS239" i="12"/>
  <c r="DQ239" i="12"/>
  <c r="DO239" i="12"/>
  <c r="CN239" i="12"/>
  <c r="CM239" i="12"/>
  <c r="CK239" i="12"/>
  <c r="CJ239" i="12"/>
  <c r="CI239" i="12"/>
  <c r="CG239" i="12"/>
  <c r="CE239" i="12"/>
  <c r="CC239" i="12"/>
  <c r="BX239" i="12"/>
  <c r="BW239" i="12"/>
  <c r="BV239" i="12"/>
  <c r="BU239" i="12"/>
  <c r="BT239" i="12"/>
  <c r="BR239" i="12"/>
  <c r="BQ239" i="12"/>
  <c r="BP239" i="12"/>
  <c r="BO239" i="12"/>
  <c r="BN239" i="12"/>
  <c r="BL239" i="12"/>
  <c r="BK239" i="12"/>
  <c r="BJ239" i="12"/>
  <c r="BI239" i="12"/>
  <c r="BH239" i="12"/>
  <c r="BG239" i="12"/>
  <c r="BE239" i="12"/>
  <c r="BD239" i="12"/>
  <c r="BC239" i="12"/>
  <c r="BB239" i="12"/>
  <c r="AZ239" i="12"/>
  <c r="AY239" i="12"/>
  <c r="AW239" i="12"/>
  <c r="AV239" i="12"/>
  <c r="AT239" i="12"/>
  <c r="AS239" i="12"/>
  <c r="AP239" i="12"/>
  <c r="AO239" i="12"/>
  <c r="AN239" i="12"/>
  <c r="AI239" i="12"/>
  <c r="AF239" i="12"/>
  <c r="R239" i="12"/>
  <c r="L239" i="12"/>
  <c r="EB239" i="12" s="1"/>
  <c r="C239" i="12"/>
  <c r="G239" i="12" s="1"/>
  <c r="EC238" i="12"/>
  <c r="DU238" i="12"/>
  <c r="DS238" i="12"/>
  <c r="DQ238" i="12"/>
  <c r="DO238" i="12"/>
  <c r="CN238" i="12"/>
  <c r="CM238" i="12"/>
  <c r="CK238" i="12"/>
  <c r="CJ238" i="12"/>
  <c r="CI238" i="12"/>
  <c r="CG238" i="12"/>
  <c r="CE238" i="12"/>
  <c r="CC238" i="12"/>
  <c r="BX238" i="12"/>
  <c r="BW238" i="12"/>
  <c r="BV238" i="12"/>
  <c r="BU238" i="12"/>
  <c r="BT238" i="12"/>
  <c r="BR238" i="12"/>
  <c r="BQ238" i="12"/>
  <c r="BP238" i="12"/>
  <c r="BO238" i="12"/>
  <c r="BN238" i="12"/>
  <c r="BL238" i="12"/>
  <c r="BK238" i="12"/>
  <c r="BJ238" i="12"/>
  <c r="BI238" i="12"/>
  <c r="BH238" i="12"/>
  <c r="BG238" i="12"/>
  <c r="BE238" i="12"/>
  <c r="BD238" i="12"/>
  <c r="BC238" i="12"/>
  <c r="BB238" i="12"/>
  <c r="AZ238" i="12"/>
  <c r="AY238" i="12"/>
  <c r="AW238" i="12"/>
  <c r="AV238" i="12"/>
  <c r="AT238" i="12"/>
  <c r="AS238" i="12"/>
  <c r="AP238" i="12"/>
  <c r="AO238" i="12"/>
  <c r="AN238" i="12"/>
  <c r="AI238" i="12"/>
  <c r="AF238" i="12"/>
  <c r="R238" i="12"/>
  <c r="C238" i="12"/>
  <c r="G238" i="12" s="1"/>
  <c r="EC237" i="12"/>
  <c r="DU237" i="12"/>
  <c r="DR237" i="12"/>
  <c r="DQ237" i="12"/>
  <c r="CN237" i="12"/>
  <c r="CM237" i="12"/>
  <c r="CK237" i="12"/>
  <c r="CJ237" i="12"/>
  <c r="CI237" i="12"/>
  <c r="CG237" i="12"/>
  <c r="CE237" i="12"/>
  <c r="CC237" i="12"/>
  <c r="BX237" i="12"/>
  <c r="BW237" i="12"/>
  <c r="BV237" i="12"/>
  <c r="BU237" i="12"/>
  <c r="BT237" i="12"/>
  <c r="BR237" i="12"/>
  <c r="BQ237" i="12"/>
  <c r="BP237" i="12"/>
  <c r="BO237" i="12"/>
  <c r="BN237" i="12"/>
  <c r="BL237" i="12"/>
  <c r="BK237" i="12"/>
  <c r="BJ237" i="12"/>
  <c r="BI237" i="12"/>
  <c r="BH237" i="12"/>
  <c r="BG237" i="12"/>
  <c r="BE237" i="12"/>
  <c r="BD237" i="12"/>
  <c r="BC237" i="12"/>
  <c r="BB237" i="12"/>
  <c r="AZ237" i="12"/>
  <c r="AY237" i="12"/>
  <c r="AW237" i="12"/>
  <c r="AV237" i="12"/>
  <c r="AT237" i="12"/>
  <c r="AS237" i="12"/>
  <c r="AP237" i="12"/>
  <c r="AO237" i="12"/>
  <c r="AN237" i="12"/>
  <c r="AI237" i="12"/>
  <c r="AF237" i="12"/>
  <c r="H237" i="12"/>
  <c r="C237" i="12"/>
  <c r="G237" i="12" s="1"/>
  <c r="EC236" i="12"/>
  <c r="DU236" i="12"/>
  <c r="DQ236" i="12"/>
  <c r="DO236" i="12"/>
  <c r="CN236" i="12"/>
  <c r="CM236" i="12"/>
  <c r="CK236" i="12"/>
  <c r="CJ236" i="12"/>
  <c r="CI236" i="12"/>
  <c r="CG236" i="12"/>
  <c r="CE236" i="12"/>
  <c r="CC236" i="12"/>
  <c r="BX236" i="12"/>
  <c r="BW236" i="12"/>
  <c r="BV236" i="12"/>
  <c r="BU236" i="12"/>
  <c r="BT236" i="12"/>
  <c r="BR236" i="12"/>
  <c r="BQ236" i="12"/>
  <c r="BP236" i="12"/>
  <c r="BO236" i="12"/>
  <c r="BN236" i="12"/>
  <c r="BL236" i="12"/>
  <c r="BK236" i="12"/>
  <c r="BJ236" i="12"/>
  <c r="BI236" i="12"/>
  <c r="BH236" i="12"/>
  <c r="BG236" i="12"/>
  <c r="BE236" i="12"/>
  <c r="BD236" i="12"/>
  <c r="BC236" i="12"/>
  <c r="BB236" i="12"/>
  <c r="AZ236" i="12"/>
  <c r="AY236" i="12"/>
  <c r="AW236" i="12"/>
  <c r="AV236" i="12"/>
  <c r="AT236" i="12"/>
  <c r="AS236" i="12"/>
  <c r="AP236" i="12"/>
  <c r="AO236" i="12"/>
  <c r="AN236" i="12"/>
  <c r="AI236" i="12"/>
  <c r="AF236" i="12"/>
  <c r="R236" i="12"/>
  <c r="L236" i="12"/>
  <c r="EB236" i="12" s="1"/>
  <c r="C236" i="12"/>
  <c r="G236" i="12" s="1"/>
  <c r="P236" i="12" s="1"/>
  <c r="EC235" i="12"/>
  <c r="DU235" i="12"/>
  <c r="DR235" i="12"/>
  <c r="DQ235" i="12"/>
  <c r="DO235" i="12"/>
  <c r="CN235" i="12"/>
  <c r="CM235" i="12"/>
  <c r="CK235" i="12"/>
  <c r="CJ235" i="12"/>
  <c r="CI235" i="12"/>
  <c r="CG235" i="12"/>
  <c r="CE235" i="12"/>
  <c r="CC235" i="12"/>
  <c r="BX235" i="12"/>
  <c r="BW235" i="12"/>
  <c r="BV235" i="12"/>
  <c r="BU235" i="12"/>
  <c r="BT235" i="12"/>
  <c r="BR235" i="12"/>
  <c r="BQ235" i="12"/>
  <c r="BP235" i="12"/>
  <c r="BO235" i="12"/>
  <c r="BN235" i="12"/>
  <c r="BL235" i="12"/>
  <c r="BK235" i="12"/>
  <c r="BJ235" i="12"/>
  <c r="BI235" i="12"/>
  <c r="BH235" i="12"/>
  <c r="BG235" i="12"/>
  <c r="BE235" i="12"/>
  <c r="BD235" i="12"/>
  <c r="BC235" i="12"/>
  <c r="BB235" i="12"/>
  <c r="AZ235" i="12"/>
  <c r="AY235" i="12"/>
  <c r="AW235" i="12"/>
  <c r="AV235" i="12"/>
  <c r="AT235" i="12"/>
  <c r="AS235" i="12"/>
  <c r="AP235" i="12"/>
  <c r="AO235" i="12"/>
  <c r="AN235" i="12"/>
  <c r="AI235" i="12"/>
  <c r="AF235" i="12"/>
  <c r="R235" i="12"/>
  <c r="L235" i="12"/>
  <c r="EB235" i="12" s="1"/>
  <c r="C235" i="12"/>
  <c r="G235" i="12" s="1"/>
  <c r="EC234" i="12"/>
  <c r="DU234" i="12"/>
  <c r="DQ234" i="12"/>
  <c r="DO234" i="12"/>
  <c r="CN234" i="12"/>
  <c r="CM234" i="12"/>
  <c r="CK234" i="12"/>
  <c r="CJ234" i="12"/>
  <c r="CI234" i="12"/>
  <c r="CG234" i="12"/>
  <c r="CE234" i="12"/>
  <c r="CC234" i="12"/>
  <c r="BX234" i="12"/>
  <c r="BW234" i="12"/>
  <c r="BV234" i="12"/>
  <c r="BU234" i="12"/>
  <c r="BT234" i="12"/>
  <c r="BR234" i="12"/>
  <c r="BQ234" i="12"/>
  <c r="BP234" i="12"/>
  <c r="BO234" i="12"/>
  <c r="BN234" i="12"/>
  <c r="BL234" i="12"/>
  <c r="BK234" i="12"/>
  <c r="BJ234" i="12"/>
  <c r="BI234" i="12"/>
  <c r="BH234" i="12"/>
  <c r="BG234" i="12"/>
  <c r="BE234" i="12"/>
  <c r="BD234" i="12"/>
  <c r="BC234" i="12"/>
  <c r="BB234" i="12"/>
  <c r="AZ234" i="12"/>
  <c r="AY234" i="12"/>
  <c r="AW234" i="12"/>
  <c r="AV234" i="12"/>
  <c r="AT234" i="12"/>
  <c r="AS234" i="12"/>
  <c r="AP234" i="12"/>
  <c r="AO234" i="12"/>
  <c r="AN234" i="12"/>
  <c r="AI234" i="12"/>
  <c r="AF234" i="12"/>
  <c r="R234" i="12"/>
  <c r="L234" i="12"/>
  <c r="EB234" i="12" s="1"/>
  <c r="H234" i="12"/>
  <c r="C234" i="12"/>
  <c r="G234" i="12" s="1"/>
  <c r="N234" i="12" s="1"/>
  <c r="EC233" i="12"/>
  <c r="DU233" i="12"/>
  <c r="DR233" i="12"/>
  <c r="DQ233" i="12"/>
  <c r="DO233" i="12"/>
  <c r="CN233" i="12"/>
  <c r="CM233" i="12"/>
  <c r="CK233" i="12"/>
  <c r="CJ233" i="12"/>
  <c r="CI233" i="12"/>
  <c r="CG233" i="12"/>
  <c r="CE233" i="12"/>
  <c r="CC233" i="12"/>
  <c r="BX233" i="12"/>
  <c r="BW233" i="12"/>
  <c r="BV233" i="12"/>
  <c r="BU233" i="12"/>
  <c r="BT233" i="12"/>
  <c r="BR233" i="12"/>
  <c r="BQ233" i="12"/>
  <c r="BP233" i="12"/>
  <c r="BO233" i="12"/>
  <c r="BN233" i="12"/>
  <c r="BL233" i="12"/>
  <c r="BK233" i="12"/>
  <c r="BJ233" i="12"/>
  <c r="BI233" i="12"/>
  <c r="BH233" i="12"/>
  <c r="BG233" i="12"/>
  <c r="BE233" i="12"/>
  <c r="BD233" i="12"/>
  <c r="BC233" i="12"/>
  <c r="BB233" i="12"/>
  <c r="AZ233" i="12"/>
  <c r="AY233" i="12"/>
  <c r="AW233" i="12"/>
  <c r="AV233" i="12"/>
  <c r="AT233" i="12"/>
  <c r="AS233" i="12"/>
  <c r="AP233" i="12"/>
  <c r="AO233" i="12"/>
  <c r="AN233" i="12"/>
  <c r="AI233" i="12"/>
  <c r="AF233" i="12"/>
  <c r="R233" i="12"/>
  <c r="L233" i="12"/>
  <c r="EB233" i="12" s="1"/>
  <c r="C233" i="12"/>
  <c r="G233" i="12" s="1"/>
  <c r="N233" i="12" s="1"/>
  <c r="EC232" i="12"/>
  <c r="DU232" i="12"/>
  <c r="DR232" i="12"/>
  <c r="DQ232" i="12"/>
  <c r="DO232" i="12"/>
  <c r="CN232" i="12"/>
  <c r="CM232" i="12"/>
  <c r="CK232" i="12"/>
  <c r="CJ232" i="12"/>
  <c r="CI232" i="12"/>
  <c r="CG232" i="12"/>
  <c r="CE232" i="12"/>
  <c r="CC232" i="12"/>
  <c r="BX232" i="12"/>
  <c r="BW232" i="12"/>
  <c r="BV232" i="12"/>
  <c r="BU232" i="12"/>
  <c r="BT232" i="12"/>
  <c r="BR232" i="12"/>
  <c r="BQ232" i="12"/>
  <c r="BP232" i="12"/>
  <c r="BO232" i="12"/>
  <c r="BN232" i="12"/>
  <c r="BL232" i="12"/>
  <c r="BK232" i="12"/>
  <c r="BJ232" i="12"/>
  <c r="BI232" i="12"/>
  <c r="BH232" i="12"/>
  <c r="BG232" i="12"/>
  <c r="BE232" i="12"/>
  <c r="BD232" i="12"/>
  <c r="BC232" i="12"/>
  <c r="BB232" i="12"/>
  <c r="AZ232" i="12"/>
  <c r="AY232" i="12"/>
  <c r="AW232" i="12"/>
  <c r="AV232" i="12"/>
  <c r="AT232" i="12"/>
  <c r="AS232" i="12"/>
  <c r="AP232" i="12"/>
  <c r="AO232" i="12"/>
  <c r="AN232" i="12"/>
  <c r="AI232" i="12"/>
  <c r="AF232" i="12"/>
  <c r="R232" i="12"/>
  <c r="L232" i="12"/>
  <c r="EB232" i="12" s="1"/>
  <c r="C232" i="12"/>
  <c r="G232" i="12" s="1"/>
  <c r="EC231" i="12"/>
  <c r="DU231" i="12"/>
  <c r="DR231" i="12"/>
  <c r="DQ231" i="12"/>
  <c r="DO231" i="12"/>
  <c r="CN231" i="12"/>
  <c r="CM231" i="12"/>
  <c r="CK231" i="12"/>
  <c r="CJ231" i="12"/>
  <c r="CI231" i="12"/>
  <c r="CG231" i="12"/>
  <c r="CE231" i="12"/>
  <c r="CC231" i="12"/>
  <c r="BX231" i="12"/>
  <c r="BW231" i="12"/>
  <c r="BV231" i="12"/>
  <c r="BU231" i="12"/>
  <c r="BT231" i="12"/>
  <c r="BR231" i="12"/>
  <c r="BQ231" i="12"/>
  <c r="BP231" i="12"/>
  <c r="BO231" i="12"/>
  <c r="BN231" i="12"/>
  <c r="BL231" i="12"/>
  <c r="BK231" i="12"/>
  <c r="BJ231" i="12"/>
  <c r="BI231" i="12"/>
  <c r="BH231" i="12"/>
  <c r="BG231" i="12"/>
  <c r="BE231" i="12"/>
  <c r="BD231" i="12"/>
  <c r="BC231" i="12"/>
  <c r="BB231" i="12"/>
  <c r="AZ231" i="12"/>
  <c r="AY231" i="12"/>
  <c r="AW231" i="12"/>
  <c r="AV231" i="12"/>
  <c r="AT231" i="12"/>
  <c r="AS231" i="12"/>
  <c r="AP231" i="12"/>
  <c r="AO231" i="12"/>
  <c r="AN231" i="12"/>
  <c r="AI231" i="12"/>
  <c r="AF231" i="12"/>
  <c r="R231" i="12"/>
  <c r="L231" i="12"/>
  <c r="EB231" i="12" s="1"/>
  <c r="C231" i="12"/>
  <c r="G231" i="12" s="1"/>
  <c r="H231" i="12" s="1"/>
  <c r="EC230" i="12"/>
  <c r="DU230" i="12"/>
  <c r="DR230" i="12"/>
  <c r="DQ230" i="12"/>
  <c r="CN230" i="12"/>
  <c r="CM230" i="12"/>
  <c r="CK230" i="12"/>
  <c r="CJ230" i="12"/>
  <c r="CI230" i="12"/>
  <c r="CG230" i="12"/>
  <c r="CE230" i="12"/>
  <c r="CC230" i="12"/>
  <c r="BX230" i="12"/>
  <c r="BW230" i="12"/>
  <c r="BV230" i="12"/>
  <c r="BU230" i="12"/>
  <c r="BT230" i="12"/>
  <c r="BR230" i="12"/>
  <c r="BQ230" i="12"/>
  <c r="BP230" i="12"/>
  <c r="BO230" i="12"/>
  <c r="BN230" i="12"/>
  <c r="BL230" i="12"/>
  <c r="BK230" i="12"/>
  <c r="BJ230" i="12"/>
  <c r="BI230" i="12"/>
  <c r="BH230" i="12"/>
  <c r="BG230" i="12"/>
  <c r="BE230" i="12"/>
  <c r="BD230" i="12"/>
  <c r="BC230" i="12"/>
  <c r="BB230" i="12"/>
  <c r="AZ230" i="12"/>
  <c r="AY230" i="12"/>
  <c r="AW230" i="12"/>
  <c r="AV230" i="12"/>
  <c r="AT230" i="12"/>
  <c r="AS230" i="12"/>
  <c r="AP230" i="12"/>
  <c r="AO230" i="12"/>
  <c r="AN230" i="12"/>
  <c r="AI230" i="12"/>
  <c r="AF230" i="12"/>
  <c r="L230" i="12"/>
  <c r="EB230" i="12" s="1"/>
  <c r="H230" i="12"/>
  <c r="C230" i="12"/>
  <c r="G230" i="12" s="1"/>
  <c r="N230" i="12" s="1"/>
  <c r="EC229" i="12"/>
  <c r="DU229" i="12"/>
  <c r="DR229" i="12"/>
  <c r="DQ229" i="12"/>
  <c r="DO229" i="12"/>
  <c r="CN229" i="12"/>
  <c r="CM229" i="12"/>
  <c r="CK229" i="12"/>
  <c r="CJ229" i="12"/>
  <c r="CI229" i="12"/>
  <c r="CG229" i="12"/>
  <c r="CE229" i="12"/>
  <c r="CC229" i="12"/>
  <c r="BX229" i="12"/>
  <c r="BW229" i="12"/>
  <c r="BV229" i="12"/>
  <c r="BU229" i="12"/>
  <c r="BT229" i="12"/>
  <c r="BR229" i="12"/>
  <c r="BQ229" i="12"/>
  <c r="BP229" i="12"/>
  <c r="BO229" i="12"/>
  <c r="BN229" i="12"/>
  <c r="BL229" i="12"/>
  <c r="BK229" i="12"/>
  <c r="BJ229" i="12"/>
  <c r="BI229" i="12"/>
  <c r="BH229" i="12"/>
  <c r="BG229" i="12"/>
  <c r="BE229" i="12"/>
  <c r="BD229" i="12"/>
  <c r="BC229" i="12"/>
  <c r="BB229" i="12"/>
  <c r="AZ229" i="12"/>
  <c r="AY229" i="12"/>
  <c r="AW229" i="12"/>
  <c r="AV229" i="12"/>
  <c r="AT229" i="12"/>
  <c r="AS229" i="12"/>
  <c r="AP229" i="12"/>
  <c r="AO229" i="12"/>
  <c r="AN229" i="12"/>
  <c r="AI229" i="12"/>
  <c r="AF229" i="12"/>
  <c r="R229" i="12"/>
  <c r="L229" i="12"/>
  <c r="EB229" i="12" s="1"/>
  <c r="C229" i="12"/>
  <c r="G229" i="12" s="1"/>
  <c r="EC228" i="12"/>
  <c r="DU228" i="12"/>
  <c r="DR228" i="12"/>
  <c r="DQ228" i="12"/>
  <c r="DO228" i="12"/>
  <c r="CN228" i="12"/>
  <c r="CM228" i="12"/>
  <c r="CK228" i="12"/>
  <c r="CJ228" i="12"/>
  <c r="CI228" i="12"/>
  <c r="CG228" i="12"/>
  <c r="CE228" i="12"/>
  <c r="CC228" i="12"/>
  <c r="BX228" i="12"/>
  <c r="BW228" i="12"/>
  <c r="BV228" i="12"/>
  <c r="BU228" i="12"/>
  <c r="BT228" i="12"/>
  <c r="BR228" i="12"/>
  <c r="BQ228" i="12"/>
  <c r="BP228" i="12"/>
  <c r="BO228" i="12"/>
  <c r="BN228" i="12"/>
  <c r="BL228" i="12"/>
  <c r="BK228" i="12"/>
  <c r="BJ228" i="12"/>
  <c r="BI228" i="12"/>
  <c r="BH228" i="12"/>
  <c r="BG228" i="12"/>
  <c r="BE228" i="12"/>
  <c r="BD228" i="12"/>
  <c r="BC228" i="12"/>
  <c r="BB228" i="12"/>
  <c r="AZ228" i="12"/>
  <c r="AY228" i="12"/>
  <c r="AW228" i="12"/>
  <c r="AV228" i="12"/>
  <c r="AT228" i="12"/>
  <c r="AS228" i="12"/>
  <c r="AP228" i="12"/>
  <c r="AO228" i="12"/>
  <c r="AN228" i="12"/>
  <c r="AI228" i="12"/>
  <c r="AF228" i="12"/>
  <c r="R228" i="12"/>
  <c r="L228" i="12"/>
  <c r="EB228" i="12" s="1"/>
  <c r="C228" i="12"/>
  <c r="G228" i="12" s="1"/>
  <c r="EC227" i="12"/>
  <c r="DU227" i="12"/>
  <c r="DR227" i="12"/>
  <c r="DQ227" i="12"/>
  <c r="CN227" i="12"/>
  <c r="CM227" i="12"/>
  <c r="CK227" i="12"/>
  <c r="CJ227" i="12"/>
  <c r="CI227" i="12"/>
  <c r="CG227" i="12"/>
  <c r="CE227" i="12"/>
  <c r="CC227" i="12"/>
  <c r="BX227" i="12"/>
  <c r="BW227" i="12"/>
  <c r="BV227" i="12"/>
  <c r="BU227" i="12"/>
  <c r="BT227" i="12"/>
  <c r="BR227" i="12"/>
  <c r="BQ227" i="12"/>
  <c r="BP227" i="12"/>
  <c r="BO227" i="12"/>
  <c r="BN227" i="12"/>
  <c r="BL227" i="12"/>
  <c r="BK227" i="12"/>
  <c r="BJ227" i="12"/>
  <c r="BI227" i="12"/>
  <c r="BH227" i="12"/>
  <c r="BG227" i="12"/>
  <c r="BE227" i="12"/>
  <c r="BD227" i="12"/>
  <c r="BC227" i="12"/>
  <c r="BB227" i="12"/>
  <c r="AZ227" i="12"/>
  <c r="AY227" i="12"/>
  <c r="AW227" i="12"/>
  <c r="AV227" i="12"/>
  <c r="AT227" i="12"/>
  <c r="AS227" i="12"/>
  <c r="AP227" i="12"/>
  <c r="AO227" i="12"/>
  <c r="AN227" i="12"/>
  <c r="AI227" i="12"/>
  <c r="AF227" i="12"/>
  <c r="L227" i="12"/>
  <c r="EB227" i="12" s="1"/>
  <c r="H227" i="12"/>
  <c r="C227" i="12"/>
  <c r="G227" i="12" s="1"/>
  <c r="EC226" i="12"/>
  <c r="DU226" i="12"/>
  <c r="DS226" i="12"/>
  <c r="DR226" i="12"/>
  <c r="DQ226" i="12"/>
  <c r="CN226" i="12"/>
  <c r="CM226" i="12"/>
  <c r="CK226" i="12"/>
  <c r="CJ226" i="12"/>
  <c r="CI226" i="12"/>
  <c r="CG226" i="12"/>
  <c r="CE226" i="12"/>
  <c r="CC226" i="12"/>
  <c r="BX226" i="12"/>
  <c r="BW226" i="12"/>
  <c r="BV226" i="12"/>
  <c r="BU226" i="12"/>
  <c r="BT226" i="12"/>
  <c r="BR226" i="12"/>
  <c r="BQ226" i="12"/>
  <c r="BP226" i="12"/>
  <c r="BO226" i="12"/>
  <c r="BN226" i="12"/>
  <c r="BL226" i="12"/>
  <c r="BK226" i="12"/>
  <c r="BJ226" i="12"/>
  <c r="BI226" i="12"/>
  <c r="BH226" i="12"/>
  <c r="BG226" i="12"/>
  <c r="BE226" i="12"/>
  <c r="BD226" i="12"/>
  <c r="BC226" i="12"/>
  <c r="BB226" i="12"/>
  <c r="AZ226" i="12"/>
  <c r="AY226" i="12"/>
  <c r="AW226" i="12"/>
  <c r="AV226" i="12"/>
  <c r="AT226" i="12"/>
  <c r="AS226" i="12"/>
  <c r="AP226" i="12"/>
  <c r="AO226" i="12"/>
  <c r="AN226" i="12"/>
  <c r="AI226" i="12"/>
  <c r="AF226" i="12"/>
  <c r="L226" i="12"/>
  <c r="EB226" i="12" s="1"/>
  <c r="H226" i="12"/>
  <c r="C226" i="12"/>
  <c r="G226" i="12" s="1"/>
  <c r="EC225" i="12"/>
  <c r="DU225" i="12"/>
  <c r="DR225" i="12"/>
  <c r="DQ225" i="12"/>
  <c r="CN225" i="12"/>
  <c r="CM225" i="12"/>
  <c r="CK225" i="12"/>
  <c r="CJ225" i="12"/>
  <c r="CI225" i="12"/>
  <c r="CG225" i="12"/>
  <c r="CE225" i="12"/>
  <c r="CC225" i="12"/>
  <c r="BX225" i="12"/>
  <c r="BW225" i="12"/>
  <c r="BV225" i="12"/>
  <c r="BU225" i="12"/>
  <c r="BT225" i="12"/>
  <c r="BR225" i="12"/>
  <c r="BQ225" i="12"/>
  <c r="BP225" i="12"/>
  <c r="BO225" i="12"/>
  <c r="BN225" i="12"/>
  <c r="BL225" i="12"/>
  <c r="BK225" i="12"/>
  <c r="BJ225" i="12"/>
  <c r="BI225" i="12"/>
  <c r="BH225" i="12"/>
  <c r="BG225" i="12"/>
  <c r="BE225" i="12"/>
  <c r="BD225" i="12"/>
  <c r="BC225" i="12"/>
  <c r="BB225" i="12"/>
  <c r="AZ225" i="12"/>
  <c r="AY225" i="12"/>
  <c r="AW225" i="12"/>
  <c r="AV225" i="12"/>
  <c r="AT225" i="12"/>
  <c r="AS225" i="12"/>
  <c r="AP225" i="12"/>
  <c r="AO225" i="12"/>
  <c r="AN225" i="12"/>
  <c r="AI225" i="12"/>
  <c r="AF225" i="12"/>
  <c r="L225" i="12"/>
  <c r="EB225" i="12" s="1"/>
  <c r="H225" i="12"/>
  <c r="C225" i="12"/>
  <c r="G225" i="12" s="1"/>
  <c r="N225" i="12" s="1"/>
  <c r="EC224" i="12"/>
  <c r="DU224" i="12"/>
  <c r="DR224" i="12"/>
  <c r="DQ224" i="12"/>
  <c r="DO224" i="12"/>
  <c r="CN224" i="12"/>
  <c r="CM224" i="12"/>
  <c r="CK224" i="12"/>
  <c r="CJ224" i="12"/>
  <c r="CI224" i="12"/>
  <c r="CG224" i="12"/>
  <c r="CE224" i="12"/>
  <c r="CC224" i="12"/>
  <c r="BX224" i="12"/>
  <c r="BW224" i="12"/>
  <c r="BV224" i="12"/>
  <c r="BU224" i="12"/>
  <c r="BT224" i="12"/>
  <c r="BR224" i="12"/>
  <c r="BQ224" i="12"/>
  <c r="BP224" i="12"/>
  <c r="BO224" i="12"/>
  <c r="BN224" i="12"/>
  <c r="BL224" i="12"/>
  <c r="BK224" i="12"/>
  <c r="BJ224" i="12"/>
  <c r="BI224" i="12"/>
  <c r="BH224" i="12"/>
  <c r="BG224" i="12"/>
  <c r="BE224" i="12"/>
  <c r="BD224" i="12"/>
  <c r="BC224" i="12"/>
  <c r="BB224" i="12"/>
  <c r="AZ224" i="12"/>
  <c r="AY224" i="12"/>
  <c r="AW224" i="12"/>
  <c r="AV224" i="12"/>
  <c r="AT224" i="12"/>
  <c r="AS224" i="12"/>
  <c r="AP224" i="12"/>
  <c r="AO224" i="12"/>
  <c r="AN224" i="12"/>
  <c r="AI224" i="12"/>
  <c r="AF224" i="12"/>
  <c r="R224" i="12"/>
  <c r="L224" i="12"/>
  <c r="EB224" i="12" s="1"/>
  <c r="C224" i="12"/>
  <c r="G224" i="12" s="1"/>
  <c r="N224" i="12" s="1"/>
  <c r="EC223" i="12"/>
  <c r="DU223" i="12"/>
  <c r="DR223" i="12"/>
  <c r="DQ223" i="12"/>
  <c r="CN223" i="12"/>
  <c r="CM223" i="12"/>
  <c r="CK223" i="12"/>
  <c r="CJ223" i="12"/>
  <c r="CI223" i="12"/>
  <c r="CG223" i="12"/>
  <c r="CE223" i="12"/>
  <c r="CC223" i="12"/>
  <c r="BX223" i="12"/>
  <c r="BW223" i="12"/>
  <c r="BV223" i="12"/>
  <c r="BU223" i="12"/>
  <c r="BT223" i="12"/>
  <c r="BR223" i="12"/>
  <c r="BQ223" i="12"/>
  <c r="BP223" i="12"/>
  <c r="BO223" i="12"/>
  <c r="BN223" i="12"/>
  <c r="BL223" i="12"/>
  <c r="BK223" i="12"/>
  <c r="BJ223" i="12"/>
  <c r="BI223" i="12"/>
  <c r="BH223" i="12"/>
  <c r="BG223" i="12"/>
  <c r="BE223" i="12"/>
  <c r="BD223" i="12"/>
  <c r="BC223" i="12"/>
  <c r="BB223" i="12"/>
  <c r="AZ223" i="12"/>
  <c r="AY223" i="12"/>
  <c r="AW223" i="12"/>
  <c r="AV223" i="12"/>
  <c r="AT223" i="12"/>
  <c r="AS223" i="12"/>
  <c r="AP223" i="12"/>
  <c r="AO223" i="12"/>
  <c r="AN223" i="12"/>
  <c r="AI223" i="12"/>
  <c r="AF223" i="12"/>
  <c r="L223" i="12"/>
  <c r="EB223" i="12" s="1"/>
  <c r="H223" i="12"/>
  <c r="C223" i="12"/>
  <c r="G223" i="12" s="1"/>
  <c r="P223" i="12" s="1"/>
  <c r="EC222" i="12"/>
  <c r="DU222" i="12"/>
  <c r="DR222" i="12"/>
  <c r="DQ222" i="12"/>
  <c r="CN222" i="12"/>
  <c r="CM222" i="12"/>
  <c r="CK222" i="12"/>
  <c r="CJ222" i="12"/>
  <c r="CI222" i="12"/>
  <c r="CG222" i="12"/>
  <c r="CE222" i="12"/>
  <c r="CC222" i="12"/>
  <c r="BX222" i="12"/>
  <c r="BW222" i="12"/>
  <c r="BV222" i="12"/>
  <c r="BU222" i="12"/>
  <c r="BT222" i="12"/>
  <c r="BR222" i="12"/>
  <c r="BQ222" i="12"/>
  <c r="BP222" i="12"/>
  <c r="BO222" i="12"/>
  <c r="BN222" i="12"/>
  <c r="BL222" i="12"/>
  <c r="BK222" i="12"/>
  <c r="BJ222" i="12"/>
  <c r="BI222" i="12"/>
  <c r="BH222" i="12"/>
  <c r="BG222" i="12"/>
  <c r="BE222" i="12"/>
  <c r="BD222" i="12"/>
  <c r="BC222" i="12"/>
  <c r="BB222" i="12"/>
  <c r="AZ222" i="12"/>
  <c r="AY222" i="12"/>
  <c r="AW222" i="12"/>
  <c r="AV222" i="12"/>
  <c r="AT222" i="12"/>
  <c r="AS222" i="12"/>
  <c r="AP222" i="12"/>
  <c r="AO222" i="12"/>
  <c r="AN222" i="12"/>
  <c r="AI222" i="12"/>
  <c r="AF222" i="12"/>
  <c r="L222" i="12"/>
  <c r="EB222" i="12" s="1"/>
  <c r="C222" i="12"/>
  <c r="G222" i="12" s="1"/>
  <c r="P222" i="12" s="1"/>
  <c r="EC221" i="12"/>
  <c r="DU221" i="12"/>
  <c r="DS221" i="12"/>
  <c r="DR221" i="12"/>
  <c r="DQ221" i="12"/>
  <c r="CN221" i="12"/>
  <c r="CM221" i="12"/>
  <c r="CK221" i="12"/>
  <c r="CJ221" i="12"/>
  <c r="CI221" i="12"/>
  <c r="CG221" i="12"/>
  <c r="CE221" i="12"/>
  <c r="CC221" i="12"/>
  <c r="BX221" i="12"/>
  <c r="BW221" i="12"/>
  <c r="BV221" i="12"/>
  <c r="BU221" i="12"/>
  <c r="BT221" i="12"/>
  <c r="BR221" i="12"/>
  <c r="BQ221" i="12"/>
  <c r="BP221" i="12"/>
  <c r="BO221" i="12"/>
  <c r="BN221" i="12"/>
  <c r="BL221" i="12"/>
  <c r="BK221" i="12"/>
  <c r="BJ221" i="12"/>
  <c r="BI221" i="12"/>
  <c r="BH221" i="12"/>
  <c r="BG221" i="12"/>
  <c r="BE221" i="12"/>
  <c r="BD221" i="12"/>
  <c r="BC221" i="12"/>
  <c r="BB221" i="12"/>
  <c r="AZ221" i="12"/>
  <c r="AY221" i="12"/>
  <c r="AW221" i="12"/>
  <c r="AV221" i="12"/>
  <c r="AT221" i="12"/>
  <c r="AS221" i="12"/>
  <c r="AP221" i="12"/>
  <c r="AO221" i="12"/>
  <c r="AN221" i="12"/>
  <c r="AI221" i="12"/>
  <c r="AF221" i="12"/>
  <c r="L221" i="12"/>
  <c r="EB221" i="12" s="1"/>
  <c r="H221" i="12"/>
  <c r="C221" i="12"/>
  <c r="G221" i="12" s="1"/>
  <c r="EC220" i="12"/>
  <c r="DU220" i="12"/>
  <c r="DS220" i="12"/>
  <c r="DR220" i="12"/>
  <c r="DQ220" i="12"/>
  <c r="CN220" i="12"/>
  <c r="CM220" i="12"/>
  <c r="CK220" i="12"/>
  <c r="CJ220" i="12"/>
  <c r="CI220" i="12"/>
  <c r="CG220" i="12"/>
  <c r="CE220" i="12"/>
  <c r="CC220" i="12"/>
  <c r="BX220" i="12"/>
  <c r="BW220" i="12"/>
  <c r="BV220" i="12"/>
  <c r="BU220" i="12"/>
  <c r="BT220" i="12"/>
  <c r="BR220" i="12"/>
  <c r="BQ220" i="12"/>
  <c r="BP220" i="12"/>
  <c r="BO220" i="12"/>
  <c r="BN220" i="12"/>
  <c r="BL220" i="12"/>
  <c r="BK220" i="12"/>
  <c r="BJ220" i="12"/>
  <c r="BI220" i="12"/>
  <c r="BH220" i="12"/>
  <c r="BG220" i="12"/>
  <c r="BE220" i="12"/>
  <c r="BD220" i="12"/>
  <c r="BC220" i="12"/>
  <c r="BB220" i="12"/>
  <c r="AZ220" i="12"/>
  <c r="AY220" i="12"/>
  <c r="AW220" i="12"/>
  <c r="AV220" i="12"/>
  <c r="AT220" i="12"/>
  <c r="AS220" i="12"/>
  <c r="AP220" i="12"/>
  <c r="AO220" i="12"/>
  <c r="AN220" i="12"/>
  <c r="AI220" i="12"/>
  <c r="AF220" i="12"/>
  <c r="L220" i="12"/>
  <c r="EB220" i="12" s="1"/>
  <c r="H220" i="12"/>
  <c r="C220" i="12"/>
  <c r="G220" i="12" s="1"/>
  <c r="EC219" i="12"/>
  <c r="DU219" i="12"/>
  <c r="DR219" i="12"/>
  <c r="DQ219" i="12"/>
  <c r="CN219" i="12"/>
  <c r="CM219" i="12"/>
  <c r="CK219" i="12"/>
  <c r="CJ219" i="12"/>
  <c r="CI219" i="12"/>
  <c r="CG219" i="12"/>
  <c r="CE219" i="12"/>
  <c r="CC219" i="12"/>
  <c r="BX219" i="12"/>
  <c r="BW219" i="12"/>
  <c r="BV219" i="12"/>
  <c r="BU219" i="12"/>
  <c r="BT219" i="12"/>
  <c r="BR219" i="12"/>
  <c r="BQ219" i="12"/>
  <c r="BP219" i="12"/>
  <c r="BO219" i="12"/>
  <c r="BN219" i="12"/>
  <c r="BL219" i="12"/>
  <c r="BK219" i="12"/>
  <c r="BJ219" i="12"/>
  <c r="BI219" i="12"/>
  <c r="BH219" i="12"/>
  <c r="BG219" i="12"/>
  <c r="BE219" i="12"/>
  <c r="BD219" i="12"/>
  <c r="BC219" i="12"/>
  <c r="BB219" i="12"/>
  <c r="AZ219" i="12"/>
  <c r="AY219" i="12"/>
  <c r="AW219" i="12"/>
  <c r="AV219" i="12"/>
  <c r="AT219" i="12"/>
  <c r="AS219" i="12"/>
  <c r="AP219" i="12"/>
  <c r="AO219" i="12"/>
  <c r="AN219" i="12"/>
  <c r="AI219" i="12"/>
  <c r="AF219" i="12"/>
  <c r="L219" i="12"/>
  <c r="EB219" i="12" s="1"/>
  <c r="C219" i="12"/>
  <c r="G219" i="12" s="1"/>
  <c r="EC218" i="12"/>
  <c r="DU218" i="12"/>
  <c r="DS218" i="12"/>
  <c r="DR218" i="12"/>
  <c r="DQ218" i="12"/>
  <c r="DO218" i="12"/>
  <c r="CN218" i="12"/>
  <c r="CM218" i="12"/>
  <c r="CK218" i="12"/>
  <c r="CJ218" i="12"/>
  <c r="CI218" i="12"/>
  <c r="CG218" i="12"/>
  <c r="CE218" i="12"/>
  <c r="CC218" i="12"/>
  <c r="BX218" i="12"/>
  <c r="BW218" i="12"/>
  <c r="BV218" i="12"/>
  <c r="BU218" i="12"/>
  <c r="BT218" i="12"/>
  <c r="BR218" i="12"/>
  <c r="BQ218" i="12"/>
  <c r="BP218" i="12"/>
  <c r="BO218" i="12"/>
  <c r="BN218" i="12"/>
  <c r="BL218" i="12"/>
  <c r="BK218" i="12"/>
  <c r="BJ218" i="12"/>
  <c r="BI218" i="12"/>
  <c r="BH218" i="12"/>
  <c r="BG218" i="12"/>
  <c r="BE218" i="12"/>
  <c r="BD218" i="12"/>
  <c r="BC218" i="12"/>
  <c r="BB218" i="12"/>
  <c r="AZ218" i="12"/>
  <c r="AY218" i="12"/>
  <c r="AW218" i="12"/>
  <c r="AV218" i="12"/>
  <c r="AT218" i="12"/>
  <c r="AS218" i="12"/>
  <c r="AP218" i="12"/>
  <c r="AO218" i="12"/>
  <c r="AN218" i="12"/>
  <c r="AI218" i="12"/>
  <c r="AF218" i="12"/>
  <c r="R218" i="12"/>
  <c r="L218" i="12"/>
  <c r="EB218" i="12" s="1"/>
  <c r="H218" i="12"/>
  <c r="C218" i="12"/>
  <c r="G218" i="12" s="1"/>
  <c r="P218" i="12" s="1"/>
  <c r="EC217" i="12"/>
  <c r="DU217" i="12"/>
  <c r="DS217" i="12"/>
  <c r="DR217" i="12"/>
  <c r="DQ217" i="12"/>
  <c r="DO217" i="12"/>
  <c r="CN217" i="12"/>
  <c r="CM217" i="12"/>
  <c r="CK217" i="12"/>
  <c r="CJ217" i="12"/>
  <c r="CI217" i="12"/>
  <c r="CG217" i="12"/>
  <c r="CE217" i="12"/>
  <c r="CC217" i="12"/>
  <c r="BX217" i="12"/>
  <c r="BW217" i="12"/>
  <c r="BV217" i="12"/>
  <c r="BU217" i="12"/>
  <c r="BT217" i="12"/>
  <c r="BR217" i="12"/>
  <c r="BQ217" i="12"/>
  <c r="BP217" i="12"/>
  <c r="BO217" i="12"/>
  <c r="BN217" i="12"/>
  <c r="BL217" i="12"/>
  <c r="BK217" i="12"/>
  <c r="BJ217" i="12"/>
  <c r="BI217" i="12"/>
  <c r="BH217" i="12"/>
  <c r="BG217" i="12"/>
  <c r="BE217" i="12"/>
  <c r="BD217" i="12"/>
  <c r="BC217" i="12"/>
  <c r="BB217" i="12"/>
  <c r="AZ217" i="12"/>
  <c r="AY217" i="12"/>
  <c r="AW217" i="12"/>
  <c r="AV217" i="12"/>
  <c r="AT217" i="12"/>
  <c r="AS217" i="12"/>
  <c r="AP217" i="12"/>
  <c r="AO217" i="12"/>
  <c r="AN217" i="12"/>
  <c r="AI217" i="12"/>
  <c r="AF217" i="12"/>
  <c r="R217" i="12"/>
  <c r="L217" i="12"/>
  <c r="EB217" i="12" s="1"/>
  <c r="C217" i="12"/>
  <c r="G217" i="12" s="1"/>
  <c r="EC216" i="12"/>
  <c r="DU216" i="12"/>
  <c r="DS216" i="12"/>
  <c r="DR216" i="12"/>
  <c r="DQ216" i="12"/>
  <c r="DO216" i="12"/>
  <c r="CN216" i="12"/>
  <c r="CM216" i="12"/>
  <c r="CK216" i="12"/>
  <c r="CJ216" i="12"/>
  <c r="CI216" i="12"/>
  <c r="CG216" i="12"/>
  <c r="CE216" i="12"/>
  <c r="CC216" i="12"/>
  <c r="BX216" i="12"/>
  <c r="BW216" i="12"/>
  <c r="BV216" i="12"/>
  <c r="BU216" i="12"/>
  <c r="BT216" i="12"/>
  <c r="BR216" i="12"/>
  <c r="BQ216" i="12"/>
  <c r="BP216" i="12"/>
  <c r="BO216" i="12"/>
  <c r="BN216" i="12"/>
  <c r="BL216" i="12"/>
  <c r="BK216" i="12"/>
  <c r="BJ216" i="12"/>
  <c r="BI216" i="12"/>
  <c r="BH216" i="12"/>
  <c r="BG216" i="12"/>
  <c r="BE216" i="12"/>
  <c r="BD216" i="12"/>
  <c r="BC216" i="12"/>
  <c r="BB216" i="12"/>
  <c r="AZ216" i="12"/>
  <c r="AY216" i="12"/>
  <c r="AW216" i="12"/>
  <c r="AV216" i="12"/>
  <c r="AT216" i="12"/>
  <c r="AS216" i="12"/>
  <c r="AP216" i="12"/>
  <c r="AO216" i="12"/>
  <c r="AN216" i="12"/>
  <c r="AI216" i="12"/>
  <c r="AF216" i="12"/>
  <c r="R216" i="12"/>
  <c r="L216" i="12"/>
  <c r="EB216" i="12" s="1"/>
  <c r="C216" i="12"/>
  <c r="G216" i="12" s="1"/>
  <c r="EC215" i="12"/>
  <c r="DU215" i="12"/>
  <c r="DS215" i="12"/>
  <c r="DR215" i="12"/>
  <c r="DQ215" i="12"/>
  <c r="DO215" i="12"/>
  <c r="CN215" i="12"/>
  <c r="CM215" i="12"/>
  <c r="CK215" i="12"/>
  <c r="CJ215" i="12"/>
  <c r="CI215" i="12"/>
  <c r="CG215" i="12"/>
  <c r="CE215" i="12"/>
  <c r="CC215" i="12"/>
  <c r="BX215" i="12"/>
  <c r="BW215" i="12"/>
  <c r="BV215" i="12"/>
  <c r="BU215" i="12"/>
  <c r="BT215" i="12"/>
  <c r="BR215" i="12"/>
  <c r="BQ215" i="12"/>
  <c r="BP215" i="12"/>
  <c r="BO215" i="12"/>
  <c r="BN215" i="12"/>
  <c r="BL215" i="12"/>
  <c r="BK215" i="12"/>
  <c r="BJ215" i="12"/>
  <c r="BI215" i="12"/>
  <c r="BH215" i="12"/>
  <c r="BG215" i="12"/>
  <c r="BE215" i="12"/>
  <c r="BD215" i="12"/>
  <c r="BC215" i="12"/>
  <c r="BB215" i="12"/>
  <c r="AZ215" i="12"/>
  <c r="AY215" i="12"/>
  <c r="AW215" i="12"/>
  <c r="AV215" i="12"/>
  <c r="AT215" i="12"/>
  <c r="AS215" i="12"/>
  <c r="AP215" i="12"/>
  <c r="AO215" i="12"/>
  <c r="AN215" i="12"/>
  <c r="AI215" i="12"/>
  <c r="AF215" i="12"/>
  <c r="R215" i="12"/>
  <c r="L215" i="12"/>
  <c r="EB215" i="12" s="1"/>
  <c r="C215" i="12"/>
  <c r="G215" i="12" s="1"/>
  <c r="EC214" i="12"/>
  <c r="DU214" i="12"/>
  <c r="DS214" i="12"/>
  <c r="DR214" i="12"/>
  <c r="DQ214" i="12"/>
  <c r="DO214" i="12"/>
  <c r="CN214" i="12"/>
  <c r="CM214" i="12"/>
  <c r="CK214" i="12"/>
  <c r="CJ214" i="12"/>
  <c r="CI214" i="12"/>
  <c r="CG214" i="12"/>
  <c r="CE214" i="12"/>
  <c r="CC214" i="12"/>
  <c r="BX214" i="12"/>
  <c r="BW214" i="12"/>
  <c r="BV214" i="12"/>
  <c r="BU214" i="12"/>
  <c r="BT214" i="12"/>
  <c r="BR214" i="12"/>
  <c r="BQ214" i="12"/>
  <c r="BP214" i="12"/>
  <c r="BO214" i="12"/>
  <c r="BN214" i="12"/>
  <c r="BL214" i="12"/>
  <c r="BK214" i="12"/>
  <c r="BJ214" i="12"/>
  <c r="BI214" i="12"/>
  <c r="BH214" i="12"/>
  <c r="BG214" i="12"/>
  <c r="BE214" i="12"/>
  <c r="BD214" i="12"/>
  <c r="BC214" i="12"/>
  <c r="BB214" i="12"/>
  <c r="AZ214" i="12"/>
  <c r="AY214" i="12"/>
  <c r="AW214" i="12"/>
  <c r="AV214" i="12"/>
  <c r="AT214" i="12"/>
  <c r="AS214" i="12"/>
  <c r="AP214" i="12"/>
  <c r="AO214" i="12"/>
  <c r="AN214" i="12"/>
  <c r="AI214" i="12"/>
  <c r="AF214" i="12"/>
  <c r="R214" i="12"/>
  <c r="L214" i="12"/>
  <c r="EB214" i="12" s="1"/>
  <c r="C214" i="12"/>
  <c r="G214" i="12" s="1"/>
  <c r="EC213" i="12"/>
  <c r="DU213" i="12"/>
  <c r="DS213" i="12"/>
  <c r="DR213" i="12"/>
  <c r="DQ213" i="12"/>
  <c r="DO213" i="12"/>
  <c r="CN213" i="12"/>
  <c r="CM213" i="12"/>
  <c r="CK213" i="12"/>
  <c r="CJ213" i="12"/>
  <c r="CI213" i="12"/>
  <c r="CG213" i="12"/>
  <c r="CE213" i="12"/>
  <c r="CC213" i="12"/>
  <c r="BX213" i="12"/>
  <c r="BW213" i="12"/>
  <c r="BV213" i="12"/>
  <c r="BU213" i="12"/>
  <c r="BT213" i="12"/>
  <c r="BR213" i="12"/>
  <c r="BQ213" i="12"/>
  <c r="BP213" i="12"/>
  <c r="BO213" i="12"/>
  <c r="BN213" i="12"/>
  <c r="BL213" i="12"/>
  <c r="BK213" i="12"/>
  <c r="BJ213" i="12"/>
  <c r="BI213" i="12"/>
  <c r="BH213" i="12"/>
  <c r="BG213" i="12"/>
  <c r="BE213" i="12"/>
  <c r="BD213" i="12"/>
  <c r="BC213" i="12"/>
  <c r="BB213" i="12"/>
  <c r="AZ213" i="12"/>
  <c r="AY213" i="12"/>
  <c r="AW213" i="12"/>
  <c r="AV213" i="12"/>
  <c r="AT213" i="12"/>
  <c r="AS213" i="12"/>
  <c r="AP213" i="12"/>
  <c r="AO213" i="12"/>
  <c r="AN213" i="12"/>
  <c r="AI213" i="12"/>
  <c r="AF213" i="12"/>
  <c r="R213" i="12"/>
  <c r="L213" i="12"/>
  <c r="EB213" i="12" s="1"/>
  <c r="C213" i="12"/>
  <c r="G213" i="12" s="1"/>
  <c r="H213" i="12" s="1"/>
  <c r="EC212" i="12"/>
  <c r="DU212" i="12"/>
  <c r="DS212" i="12"/>
  <c r="DR212" i="12"/>
  <c r="DQ212" i="12"/>
  <c r="DO212" i="12"/>
  <c r="CN212" i="12"/>
  <c r="CM212" i="12"/>
  <c r="CK212" i="12"/>
  <c r="CJ212" i="12"/>
  <c r="CI212" i="12"/>
  <c r="CG212" i="12"/>
  <c r="CE212" i="12"/>
  <c r="CC212" i="12"/>
  <c r="BX212" i="12"/>
  <c r="BW212" i="12"/>
  <c r="BV212" i="12"/>
  <c r="BU212" i="12"/>
  <c r="BT212" i="12"/>
  <c r="BR212" i="12"/>
  <c r="BQ212" i="12"/>
  <c r="BP212" i="12"/>
  <c r="BO212" i="12"/>
  <c r="BN212" i="12"/>
  <c r="BL212" i="12"/>
  <c r="BK212" i="12"/>
  <c r="BJ212" i="12"/>
  <c r="BI212" i="12"/>
  <c r="BH212" i="12"/>
  <c r="BG212" i="12"/>
  <c r="BE212" i="12"/>
  <c r="BD212" i="12"/>
  <c r="BC212" i="12"/>
  <c r="BB212" i="12"/>
  <c r="AZ212" i="12"/>
  <c r="AY212" i="12"/>
  <c r="AW212" i="12"/>
  <c r="AV212" i="12"/>
  <c r="AT212" i="12"/>
  <c r="AS212" i="12"/>
  <c r="AP212" i="12"/>
  <c r="AO212" i="12"/>
  <c r="AN212" i="12"/>
  <c r="AI212" i="12"/>
  <c r="AF212" i="12"/>
  <c r="R212" i="12"/>
  <c r="L212" i="12"/>
  <c r="EB212" i="12" s="1"/>
  <c r="C212" i="12"/>
  <c r="G212" i="12" s="1"/>
  <c r="EC211" i="12"/>
  <c r="DU211" i="12"/>
  <c r="DS211" i="12"/>
  <c r="DR211" i="12"/>
  <c r="DQ211" i="12"/>
  <c r="DO211" i="12"/>
  <c r="CN211" i="12"/>
  <c r="CM211" i="12"/>
  <c r="CK211" i="12"/>
  <c r="CJ211" i="12"/>
  <c r="CI211" i="12"/>
  <c r="CG211" i="12"/>
  <c r="CE211" i="12"/>
  <c r="CC211" i="12"/>
  <c r="BX211" i="12"/>
  <c r="BW211" i="12"/>
  <c r="BV211" i="12"/>
  <c r="BU211" i="12"/>
  <c r="BT211" i="12"/>
  <c r="BR211" i="12"/>
  <c r="BQ211" i="12"/>
  <c r="BP211" i="12"/>
  <c r="BO211" i="12"/>
  <c r="BN211" i="12"/>
  <c r="BL211" i="12"/>
  <c r="BK211" i="12"/>
  <c r="BJ211" i="12"/>
  <c r="BI211" i="12"/>
  <c r="BH211" i="12"/>
  <c r="BG211" i="12"/>
  <c r="BE211" i="12"/>
  <c r="BD211" i="12"/>
  <c r="BC211" i="12"/>
  <c r="BB211" i="12"/>
  <c r="AZ211" i="12"/>
  <c r="AY211" i="12"/>
  <c r="AW211" i="12"/>
  <c r="AV211" i="12"/>
  <c r="AT211" i="12"/>
  <c r="AS211" i="12"/>
  <c r="AP211" i="12"/>
  <c r="AO211" i="12"/>
  <c r="AN211" i="12"/>
  <c r="AI211" i="12"/>
  <c r="AF211" i="12"/>
  <c r="R211" i="12"/>
  <c r="L211" i="12"/>
  <c r="EB211" i="12" s="1"/>
  <c r="C211" i="12"/>
  <c r="G211" i="12" s="1"/>
  <c r="EC210" i="12"/>
  <c r="DU210" i="12"/>
  <c r="DS210" i="12"/>
  <c r="DR210" i="12"/>
  <c r="DQ210" i="12"/>
  <c r="DO210" i="12"/>
  <c r="CN210" i="12"/>
  <c r="CM210" i="12"/>
  <c r="CK210" i="12"/>
  <c r="CJ210" i="12"/>
  <c r="CI210" i="12"/>
  <c r="CG210" i="12"/>
  <c r="CE210" i="12"/>
  <c r="CC210" i="12"/>
  <c r="BX210" i="12"/>
  <c r="BW210" i="12"/>
  <c r="BV210" i="12"/>
  <c r="BU210" i="12"/>
  <c r="BT210" i="12"/>
  <c r="BR210" i="12"/>
  <c r="BQ210" i="12"/>
  <c r="BP210" i="12"/>
  <c r="BO210" i="12"/>
  <c r="BN210" i="12"/>
  <c r="BL210" i="12"/>
  <c r="BK210" i="12"/>
  <c r="BJ210" i="12"/>
  <c r="BI210" i="12"/>
  <c r="BH210" i="12"/>
  <c r="BG210" i="12"/>
  <c r="BE210" i="12"/>
  <c r="BD210" i="12"/>
  <c r="BC210" i="12"/>
  <c r="BB210" i="12"/>
  <c r="AZ210" i="12"/>
  <c r="AY210" i="12"/>
  <c r="AW210" i="12"/>
  <c r="AV210" i="12"/>
  <c r="AT210" i="12"/>
  <c r="AS210" i="12"/>
  <c r="AP210" i="12"/>
  <c r="AO210" i="12"/>
  <c r="AN210" i="12"/>
  <c r="AI210" i="12"/>
  <c r="AF210" i="12"/>
  <c r="R210" i="12"/>
  <c r="L210" i="12"/>
  <c r="EB210" i="12" s="1"/>
  <c r="C210" i="12"/>
  <c r="G210" i="12" s="1"/>
  <c r="EC209" i="12"/>
  <c r="DU209" i="12"/>
  <c r="DS209" i="12"/>
  <c r="DR209" i="12"/>
  <c r="DQ209" i="12"/>
  <c r="CN209" i="12"/>
  <c r="CM209" i="12"/>
  <c r="CK209" i="12"/>
  <c r="CJ209" i="12"/>
  <c r="CI209" i="12"/>
  <c r="CG209" i="12"/>
  <c r="CE209" i="12"/>
  <c r="CC209" i="12"/>
  <c r="BX209" i="12"/>
  <c r="BW209" i="12"/>
  <c r="BV209" i="12"/>
  <c r="BU209" i="12"/>
  <c r="BT209" i="12"/>
  <c r="BR209" i="12"/>
  <c r="BQ209" i="12"/>
  <c r="BP209" i="12"/>
  <c r="BO209" i="12"/>
  <c r="BN209" i="12"/>
  <c r="BL209" i="12"/>
  <c r="BK209" i="12"/>
  <c r="BJ209" i="12"/>
  <c r="BI209" i="12"/>
  <c r="BH209" i="12"/>
  <c r="BG209" i="12"/>
  <c r="BE209" i="12"/>
  <c r="BD209" i="12"/>
  <c r="BC209" i="12"/>
  <c r="BB209" i="12"/>
  <c r="AZ209" i="12"/>
  <c r="AY209" i="12"/>
  <c r="AW209" i="12"/>
  <c r="AV209" i="12"/>
  <c r="AT209" i="12"/>
  <c r="AS209" i="12"/>
  <c r="AP209" i="12"/>
  <c r="AO209" i="12"/>
  <c r="AN209" i="12"/>
  <c r="AI209" i="12"/>
  <c r="AF209" i="12"/>
  <c r="L209" i="12"/>
  <c r="EB209" i="12" s="1"/>
  <c r="H209" i="12"/>
  <c r="C209" i="12"/>
  <c r="G209" i="12" s="1"/>
  <c r="EC208" i="12"/>
  <c r="DU208" i="12"/>
  <c r="DS208" i="12"/>
  <c r="DR208" i="12"/>
  <c r="DQ208" i="12"/>
  <c r="DO208" i="12"/>
  <c r="CN208" i="12"/>
  <c r="CM208" i="12"/>
  <c r="CK208" i="12"/>
  <c r="CJ208" i="12"/>
  <c r="CI208" i="12"/>
  <c r="CG208" i="12"/>
  <c r="CE208" i="12"/>
  <c r="CC208" i="12"/>
  <c r="BX208" i="12"/>
  <c r="BW208" i="12"/>
  <c r="BV208" i="12"/>
  <c r="BU208" i="12"/>
  <c r="BT208" i="12"/>
  <c r="BR208" i="12"/>
  <c r="BQ208" i="12"/>
  <c r="BP208" i="12"/>
  <c r="BO208" i="12"/>
  <c r="BN208" i="12"/>
  <c r="BL208" i="12"/>
  <c r="BK208" i="12"/>
  <c r="BJ208" i="12"/>
  <c r="BI208" i="12"/>
  <c r="BH208" i="12"/>
  <c r="BG208" i="12"/>
  <c r="BE208" i="12"/>
  <c r="BD208" i="12"/>
  <c r="BC208" i="12"/>
  <c r="BB208" i="12"/>
  <c r="AZ208" i="12"/>
  <c r="AY208" i="12"/>
  <c r="AW208" i="12"/>
  <c r="AV208" i="12"/>
  <c r="AT208" i="12"/>
  <c r="AS208" i="12"/>
  <c r="AP208" i="12"/>
  <c r="AO208" i="12"/>
  <c r="AN208" i="12"/>
  <c r="AI208" i="12"/>
  <c r="AF208" i="12"/>
  <c r="R208" i="12"/>
  <c r="L208" i="12"/>
  <c r="EB208" i="12" s="1"/>
  <c r="C208" i="12"/>
  <c r="G208" i="12" s="1"/>
  <c r="EC207" i="12"/>
  <c r="DS207" i="12"/>
  <c r="DR207" i="12"/>
  <c r="CN207" i="12"/>
  <c r="CM207" i="12"/>
  <c r="CK207" i="12"/>
  <c r="CJ207" i="12"/>
  <c r="CI207" i="12"/>
  <c r="CG207" i="12"/>
  <c r="CE207" i="12"/>
  <c r="CC207" i="12"/>
  <c r="BX207" i="12"/>
  <c r="BV207" i="12"/>
  <c r="BU207" i="12"/>
  <c r="BT207" i="12"/>
  <c r="BR207" i="12"/>
  <c r="BQ207" i="12"/>
  <c r="BP207" i="12"/>
  <c r="BO207" i="12"/>
  <c r="BN207" i="12"/>
  <c r="BL207" i="12"/>
  <c r="BK207" i="12"/>
  <c r="BJ207" i="12"/>
  <c r="BI207" i="12"/>
  <c r="BH207" i="12"/>
  <c r="BG207" i="12"/>
  <c r="BE207" i="12"/>
  <c r="BD207" i="12"/>
  <c r="BC207" i="12"/>
  <c r="BB207" i="12"/>
  <c r="AZ207" i="12"/>
  <c r="AY207" i="12"/>
  <c r="AW207" i="12"/>
  <c r="AV207" i="12"/>
  <c r="AT207" i="12"/>
  <c r="AS207" i="12"/>
  <c r="AP207" i="12"/>
  <c r="AO207" i="12"/>
  <c r="AN207" i="12"/>
  <c r="AI207" i="12"/>
  <c r="M207" i="12"/>
  <c r="L207" i="12"/>
  <c r="EB207" i="12" s="1"/>
  <c r="C207" i="12"/>
  <c r="G207" i="12" s="1"/>
  <c r="H207" i="12" s="1"/>
  <c r="EC206" i="12"/>
  <c r="DS206" i="12"/>
  <c r="DR206" i="12"/>
  <c r="DQ206" i="12"/>
  <c r="DQ207" i="12" s="1"/>
  <c r="CN206" i="12"/>
  <c r="CM206" i="12"/>
  <c r="CK206" i="12"/>
  <c r="CJ206" i="12"/>
  <c r="CI206" i="12"/>
  <c r="CG206" i="12"/>
  <c r="CE206" i="12"/>
  <c r="CC206" i="12"/>
  <c r="BX206" i="12"/>
  <c r="BV206" i="12"/>
  <c r="BU206" i="12"/>
  <c r="BT206" i="12"/>
  <c r="BR206" i="12"/>
  <c r="BQ206" i="12"/>
  <c r="BP206" i="12"/>
  <c r="BO206" i="12"/>
  <c r="BN206" i="12"/>
  <c r="BL206" i="12"/>
  <c r="BK206" i="12"/>
  <c r="BJ206" i="12"/>
  <c r="BI206" i="12"/>
  <c r="BH206" i="12"/>
  <c r="BG206" i="12"/>
  <c r="BE206" i="12"/>
  <c r="BD206" i="12"/>
  <c r="BC206" i="12"/>
  <c r="BB206" i="12"/>
  <c r="AZ206" i="12"/>
  <c r="AY206" i="12"/>
  <c r="AW206" i="12"/>
  <c r="AV206" i="12"/>
  <c r="AT206" i="12"/>
  <c r="AS206" i="12"/>
  <c r="AP206" i="12"/>
  <c r="AO206" i="12"/>
  <c r="AN206" i="12"/>
  <c r="AI206" i="12"/>
  <c r="Q206" i="12"/>
  <c r="Q207" i="12" s="1"/>
  <c r="O206" i="12"/>
  <c r="O207" i="12" s="1"/>
  <c r="M206" i="12"/>
  <c r="L206" i="12"/>
  <c r="EB206" i="12" s="1"/>
  <c r="C206" i="12"/>
  <c r="G206" i="12" s="1"/>
  <c r="EC205" i="12"/>
  <c r="DU205" i="12"/>
  <c r="DS205" i="12"/>
  <c r="DR205" i="12"/>
  <c r="DQ205" i="12"/>
  <c r="DO205" i="12"/>
  <c r="CN205" i="12"/>
  <c r="CM205" i="12"/>
  <c r="CK205" i="12"/>
  <c r="CJ205" i="12"/>
  <c r="CI205" i="12"/>
  <c r="CG205" i="12"/>
  <c r="CE205" i="12"/>
  <c r="CC205" i="12"/>
  <c r="BX205" i="12"/>
  <c r="BW205" i="12"/>
  <c r="BV205" i="12"/>
  <c r="BU205" i="12"/>
  <c r="BT205" i="12"/>
  <c r="BR205" i="12"/>
  <c r="BQ205" i="12"/>
  <c r="BP205" i="12"/>
  <c r="BO205" i="12"/>
  <c r="BN205" i="12"/>
  <c r="BL205" i="12"/>
  <c r="BK205" i="12"/>
  <c r="BJ205" i="12"/>
  <c r="BI205" i="12"/>
  <c r="BH205" i="12"/>
  <c r="BG205" i="12"/>
  <c r="BE205" i="12"/>
  <c r="BD205" i="12"/>
  <c r="BC205" i="12"/>
  <c r="BB205" i="12"/>
  <c r="AZ205" i="12"/>
  <c r="AY205" i="12"/>
  <c r="AW205" i="12"/>
  <c r="AV205" i="12"/>
  <c r="AT205" i="12"/>
  <c r="AS205" i="12"/>
  <c r="AP205" i="12"/>
  <c r="AO205" i="12"/>
  <c r="AN205" i="12"/>
  <c r="AI205" i="12"/>
  <c r="AF205" i="12"/>
  <c r="R205" i="12"/>
  <c r="L205" i="12"/>
  <c r="EB205" i="12" s="1"/>
  <c r="C205" i="12"/>
  <c r="G205" i="12" s="1"/>
  <c r="EC204" i="12"/>
  <c r="DU204" i="12"/>
  <c r="DS204" i="12"/>
  <c r="DR204" i="12"/>
  <c r="DQ204" i="12"/>
  <c r="DO204" i="12"/>
  <c r="CN204" i="12"/>
  <c r="CM204" i="12"/>
  <c r="CK204" i="12"/>
  <c r="CJ204" i="12"/>
  <c r="CI204" i="12"/>
  <c r="CG204" i="12"/>
  <c r="CE204" i="12"/>
  <c r="CC204" i="12"/>
  <c r="BX204" i="12"/>
  <c r="BW204" i="12"/>
  <c r="BV204" i="12"/>
  <c r="BU204" i="12"/>
  <c r="BT204" i="12"/>
  <c r="BR204" i="12"/>
  <c r="BQ204" i="12"/>
  <c r="BP204" i="12"/>
  <c r="BO204" i="12"/>
  <c r="BN204" i="12"/>
  <c r="BL204" i="12"/>
  <c r="BK204" i="12"/>
  <c r="BJ204" i="12"/>
  <c r="BI204" i="12"/>
  <c r="BH204" i="12"/>
  <c r="BG204" i="12"/>
  <c r="BE204" i="12"/>
  <c r="BD204" i="12"/>
  <c r="BC204" i="12"/>
  <c r="BB204" i="12"/>
  <c r="AZ204" i="12"/>
  <c r="AY204" i="12"/>
  <c r="AW204" i="12"/>
  <c r="AV204" i="12"/>
  <c r="AT204" i="12"/>
  <c r="AS204" i="12"/>
  <c r="AP204" i="12"/>
  <c r="AO204" i="12"/>
  <c r="AN204" i="12"/>
  <c r="AI204" i="12"/>
  <c r="AF204" i="12"/>
  <c r="R204" i="12"/>
  <c r="L204" i="12"/>
  <c r="EB204" i="12" s="1"/>
  <c r="C204" i="12"/>
  <c r="G204" i="12" s="1"/>
  <c r="EC203" i="12"/>
  <c r="DU203" i="12"/>
  <c r="DS203" i="12"/>
  <c r="DR203" i="12"/>
  <c r="DQ203" i="12"/>
  <c r="DO203" i="12"/>
  <c r="CN203" i="12"/>
  <c r="CM203" i="12"/>
  <c r="CK203" i="12"/>
  <c r="CJ203" i="12"/>
  <c r="CI203" i="12"/>
  <c r="CG203" i="12"/>
  <c r="CE203" i="12"/>
  <c r="CC203" i="12"/>
  <c r="BX203" i="12"/>
  <c r="BW203" i="12"/>
  <c r="BV203" i="12"/>
  <c r="BU203" i="12"/>
  <c r="BT203" i="12"/>
  <c r="BR203" i="12"/>
  <c r="BQ203" i="12"/>
  <c r="BP203" i="12"/>
  <c r="BO203" i="12"/>
  <c r="BN203" i="12"/>
  <c r="BL203" i="12"/>
  <c r="BK203" i="12"/>
  <c r="BJ203" i="12"/>
  <c r="BI203" i="12"/>
  <c r="BH203" i="12"/>
  <c r="BG203" i="12"/>
  <c r="BE203" i="12"/>
  <c r="BD203" i="12"/>
  <c r="BC203" i="12"/>
  <c r="BB203" i="12"/>
  <c r="AZ203" i="12"/>
  <c r="AY203" i="12"/>
  <c r="AW203" i="12"/>
  <c r="AV203" i="12"/>
  <c r="AT203" i="12"/>
  <c r="AS203" i="12"/>
  <c r="AP203" i="12"/>
  <c r="AO203" i="12"/>
  <c r="AN203" i="12"/>
  <c r="AI203" i="12"/>
  <c r="AF203" i="12"/>
  <c r="R203" i="12"/>
  <c r="L203" i="12"/>
  <c r="EB203" i="12" s="1"/>
  <c r="C203" i="12"/>
  <c r="G203" i="12" s="1"/>
  <c r="EC202" i="12"/>
  <c r="DU202" i="12"/>
  <c r="DS202" i="12"/>
  <c r="DR202" i="12"/>
  <c r="DQ202" i="12"/>
  <c r="DO202" i="12"/>
  <c r="CN202" i="12"/>
  <c r="CM202" i="12"/>
  <c r="CK202" i="12"/>
  <c r="CJ202" i="12"/>
  <c r="CI202" i="12"/>
  <c r="CG202" i="12"/>
  <c r="CE202" i="12"/>
  <c r="CC202" i="12"/>
  <c r="BX202" i="12"/>
  <c r="BW202" i="12"/>
  <c r="BV202" i="12"/>
  <c r="BU202" i="12"/>
  <c r="BT202" i="12"/>
  <c r="BR202" i="12"/>
  <c r="BQ202" i="12"/>
  <c r="BP202" i="12"/>
  <c r="BO202" i="12"/>
  <c r="BN202" i="12"/>
  <c r="BL202" i="12"/>
  <c r="BK202" i="12"/>
  <c r="BJ202" i="12"/>
  <c r="BI202" i="12"/>
  <c r="BH202" i="12"/>
  <c r="BG202" i="12"/>
  <c r="BE202" i="12"/>
  <c r="BD202" i="12"/>
  <c r="BC202" i="12"/>
  <c r="BB202" i="12"/>
  <c r="AZ202" i="12"/>
  <c r="AY202" i="12"/>
  <c r="AW202" i="12"/>
  <c r="AV202" i="12"/>
  <c r="AT202" i="12"/>
  <c r="AS202" i="12"/>
  <c r="AP202" i="12"/>
  <c r="AO202" i="12"/>
  <c r="AN202" i="12"/>
  <c r="AI202" i="12"/>
  <c r="AF202" i="12"/>
  <c r="R202" i="12"/>
  <c r="L202" i="12"/>
  <c r="EB202" i="12" s="1"/>
  <c r="C202" i="12"/>
  <c r="G202" i="12" s="1"/>
  <c r="N202" i="12" s="1"/>
  <c r="EC201" i="12"/>
  <c r="DU201" i="12"/>
  <c r="DS201" i="12"/>
  <c r="DR201" i="12"/>
  <c r="DQ201" i="12"/>
  <c r="DO201" i="12"/>
  <c r="CN201" i="12"/>
  <c r="CM201" i="12"/>
  <c r="CK201" i="12"/>
  <c r="CJ201" i="12"/>
  <c r="CI201" i="12"/>
  <c r="CG201" i="12"/>
  <c r="CE201" i="12"/>
  <c r="CC201" i="12"/>
  <c r="BX201" i="12"/>
  <c r="BW201" i="12"/>
  <c r="BV201" i="12"/>
  <c r="BU201" i="12"/>
  <c r="BT201" i="12"/>
  <c r="BR201" i="12"/>
  <c r="BQ201" i="12"/>
  <c r="BP201" i="12"/>
  <c r="BO201" i="12"/>
  <c r="BN201" i="12"/>
  <c r="BL201" i="12"/>
  <c r="BK201" i="12"/>
  <c r="BJ201" i="12"/>
  <c r="BI201" i="12"/>
  <c r="BH201" i="12"/>
  <c r="BG201" i="12"/>
  <c r="BE201" i="12"/>
  <c r="BD201" i="12"/>
  <c r="BC201" i="12"/>
  <c r="BB201" i="12"/>
  <c r="AZ201" i="12"/>
  <c r="AY201" i="12"/>
  <c r="AW201" i="12"/>
  <c r="AV201" i="12"/>
  <c r="AT201" i="12"/>
  <c r="AS201" i="12"/>
  <c r="AP201" i="12"/>
  <c r="AO201" i="12"/>
  <c r="AN201" i="12"/>
  <c r="AI201" i="12"/>
  <c r="AF201" i="12"/>
  <c r="R201" i="12"/>
  <c r="L201" i="12"/>
  <c r="EB201" i="12" s="1"/>
  <c r="C201" i="12"/>
  <c r="G201" i="12" s="1"/>
  <c r="EC200" i="12"/>
  <c r="DU200" i="12"/>
  <c r="DS200" i="12"/>
  <c r="DR200" i="12"/>
  <c r="DQ200" i="12"/>
  <c r="DO200" i="12"/>
  <c r="CN200" i="12"/>
  <c r="CM200" i="12"/>
  <c r="CK200" i="12"/>
  <c r="CJ200" i="12"/>
  <c r="CI200" i="12"/>
  <c r="CG200" i="12"/>
  <c r="CE200" i="12"/>
  <c r="CC200" i="12"/>
  <c r="BX200" i="12"/>
  <c r="BW200" i="12"/>
  <c r="BV200" i="12"/>
  <c r="BU200" i="12"/>
  <c r="BT200" i="12"/>
  <c r="BR200" i="12"/>
  <c r="BQ200" i="12"/>
  <c r="BP200" i="12"/>
  <c r="BO200" i="12"/>
  <c r="BN200" i="12"/>
  <c r="BL200" i="12"/>
  <c r="BK200" i="12"/>
  <c r="BJ200" i="12"/>
  <c r="BI200" i="12"/>
  <c r="BH200" i="12"/>
  <c r="BG200" i="12"/>
  <c r="BE200" i="12"/>
  <c r="BD200" i="12"/>
  <c r="BC200" i="12"/>
  <c r="BB200" i="12"/>
  <c r="AZ200" i="12"/>
  <c r="AY200" i="12"/>
  <c r="AW200" i="12"/>
  <c r="AV200" i="12"/>
  <c r="AT200" i="12"/>
  <c r="AS200" i="12"/>
  <c r="AP200" i="12"/>
  <c r="AO200" i="12"/>
  <c r="AN200" i="12"/>
  <c r="AI200" i="12"/>
  <c r="AF200" i="12"/>
  <c r="R200" i="12"/>
  <c r="L200" i="12"/>
  <c r="EB200" i="12" s="1"/>
  <c r="C200" i="12"/>
  <c r="G200" i="12" s="1"/>
  <c r="EC199" i="12"/>
  <c r="DU199" i="12"/>
  <c r="DS199" i="12"/>
  <c r="DR199" i="12"/>
  <c r="DQ199" i="12"/>
  <c r="DO199" i="12"/>
  <c r="CN199" i="12"/>
  <c r="CM199" i="12"/>
  <c r="CK199" i="12"/>
  <c r="CJ199" i="12"/>
  <c r="CI199" i="12"/>
  <c r="CG199" i="12"/>
  <c r="CE199" i="12"/>
  <c r="CC199" i="12"/>
  <c r="BX199" i="12"/>
  <c r="BW199" i="12"/>
  <c r="BV199" i="12"/>
  <c r="BU199" i="12"/>
  <c r="BT199" i="12"/>
  <c r="BR199" i="12"/>
  <c r="BQ199" i="12"/>
  <c r="BP199" i="12"/>
  <c r="BO199" i="12"/>
  <c r="BN199" i="12"/>
  <c r="BL199" i="12"/>
  <c r="BK199" i="12"/>
  <c r="BJ199" i="12"/>
  <c r="BI199" i="12"/>
  <c r="BH199" i="12"/>
  <c r="BG199" i="12"/>
  <c r="BE199" i="12"/>
  <c r="BD199" i="12"/>
  <c r="BC199" i="12"/>
  <c r="BB199" i="12"/>
  <c r="AZ199" i="12"/>
  <c r="AY199" i="12"/>
  <c r="AW199" i="12"/>
  <c r="AV199" i="12"/>
  <c r="AT199" i="12"/>
  <c r="AS199" i="12"/>
  <c r="AP199" i="12"/>
  <c r="AO199" i="12"/>
  <c r="AN199" i="12"/>
  <c r="AI199" i="12"/>
  <c r="AF199" i="12"/>
  <c r="R199" i="12"/>
  <c r="L199" i="12"/>
  <c r="EB199" i="12" s="1"/>
  <c r="C199" i="12"/>
  <c r="G199" i="12" s="1"/>
  <c r="EC198" i="12"/>
  <c r="DU198" i="12"/>
  <c r="DS198" i="12"/>
  <c r="DR198" i="12"/>
  <c r="DQ198" i="12"/>
  <c r="CN198" i="12"/>
  <c r="CM198" i="12"/>
  <c r="CK198" i="12"/>
  <c r="CJ198" i="12"/>
  <c r="CI198" i="12"/>
  <c r="CG198" i="12"/>
  <c r="CE198" i="12"/>
  <c r="CC198" i="12"/>
  <c r="BX198" i="12"/>
  <c r="BW198" i="12"/>
  <c r="BV198" i="12"/>
  <c r="BU198" i="12"/>
  <c r="BT198" i="12"/>
  <c r="BR198" i="12"/>
  <c r="BQ198" i="12"/>
  <c r="BP198" i="12"/>
  <c r="BO198" i="12"/>
  <c r="BN198" i="12"/>
  <c r="BL198" i="12"/>
  <c r="BK198" i="12"/>
  <c r="BJ198" i="12"/>
  <c r="BI198" i="12"/>
  <c r="BH198" i="12"/>
  <c r="BG198" i="12"/>
  <c r="BE198" i="12"/>
  <c r="BD198" i="12"/>
  <c r="BC198" i="12"/>
  <c r="BB198" i="12"/>
  <c r="AZ198" i="12"/>
  <c r="AY198" i="12"/>
  <c r="AW198" i="12"/>
  <c r="AV198" i="12"/>
  <c r="AT198" i="12"/>
  <c r="AS198" i="12"/>
  <c r="AP198" i="12"/>
  <c r="AO198" i="12"/>
  <c r="AN198" i="12"/>
  <c r="AI198" i="12"/>
  <c r="AF198" i="12"/>
  <c r="L198" i="12"/>
  <c r="EB198" i="12" s="1"/>
  <c r="H198" i="12"/>
  <c r="C198" i="12"/>
  <c r="G198" i="12" s="1"/>
  <c r="R198" i="12" s="1"/>
  <c r="EC197" i="12"/>
  <c r="DU197" i="12"/>
  <c r="DS197" i="12"/>
  <c r="DR197" i="12"/>
  <c r="DQ197" i="12"/>
  <c r="CN197" i="12"/>
  <c r="CM197" i="12"/>
  <c r="CK197" i="12"/>
  <c r="CJ197" i="12"/>
  <c r="CI197" i="12"/>
  <c r="CG197" i="12"/>
  <c r="CE197" i="12"/>
  <c r="CC197" i="12"/>
  <c r="BX197" i="12"/>
  <c r="BW197" i="12"/>
  <c r="BV197" i="12"/>
  <c r="BU197" i="12"/>
  <c r="BT197" i="12"/>
  <c r="BR197" i="12"/>
  <c r="BQ197" i="12"/>
  <c r="BP197" i="12"/>
  <c r="BO197" i="12"/>
  <c r="BN197" i="12"/>
  <c r="BL197" i="12"/>
  <c r="BK197" i="12"/>
  <c r="BJ197" i="12"/>
  <c r="BI197" i="12"/>
  <c r="BH197" i="12"/>
  <c r="BG197" i="12"/>
  <c r="BE197" i="12"/>
  <c r="BD197" i="12"/>
  <c r="BC197" i="12"/>
  <c r="BB197" i="12"/>
  <c r="AZ197" i="12"/>
  <c r="AY197" i="12"/>
  <c r="AW197" i="12"/>
  <c r="AV197" i="12"/>
  <c r="AT197" i="12"/>
  <c r="AS197" i="12"/>
  <c r="AP197" i="12"/>
  <c r="AO197" i="12"/>
  <c r="AN197" i="12"/>
  <c r="AI197" i="12"/>
  <c r="AF197" i="12"/>
  <c r="L197" i="12"/>
  <c r="EB197" i="12" s="1"/>
  <c r="H197" i="12"/>
  <c r="C197" i="12"/>
  <c r="G197" i="12" s="1"/>
  <c r="EC196" i="12"/>
  <c r="DU196" i="12"/>
  <c r="DS196" i="12"/>
  <c r="DR196" i="12"/>
  <c r="DQ196" i="12"/>
  <c r="CN196" i="12"/>
  <c r="CM196" i="12"/>
  <c r="CK196" i="12"/>
  <c r="CJ196" i="12"/>
  <c r="CI196" i="12"/>
  <c r="CG196" i="12"/>
  <c r="CE196" i="12"/>
  <c r="CC196" i="12"/>
  <c r="BX196" i="12"/>
  <c r="BW196" i="12"/>
  <c r="BV196" i="12"/>
  <c r="BU196" i="12"/>
  <c r="BT196" i="12"/>
  <c r="BR196" i="12"/>
  <c r="BQ196" i="12"/>
  <c r="BP196" i="12"/>
  <c r="BO196" i="12"/>
  <c r="BN196" i="12"/>
  <c r="BL196" i="12"/>
  <c r="BK196" i="12"/>
  <c r="BJ196" i="12"/>
  <c r="BI196" i="12"/>
  <c r="BH196" i="12"/>
  <c r="BG196" i="12"/>
  <c r="BE196" i="12"/>
  <c r="BD196" i="12"/>
  <c r="BC196" i="12"/>
  <c r="BB196" i="12"/>
  <c r="AZ196" i="12"/>
  <c r="AY196" i="12"/>
  <c r="AW196" i="12"/>
  <c r="AV196" i="12"/>
  <c r="AT196" i="12"/>
  <c r="AS196" i="12"/>
  <c r="AP196" i="12"/>
  <c r="AO196" i="12"/>
  <c r="AN196" i="12"/>
  <c r="AI196" i="12"/>
  <c r="AF196" i="12"/>
  <c r="L196" i="12"/>
  <c r="EB196" i="12" s="1"/>
  <c r="C196" i="12"/>
  <c r="G196" i="12" s="1"/>
  <c r="P196" i="12" s="1"/>
  <c r="EC195" i="12"/>
  <c r="DU195" i="12"/>
  <c r="DS195" i="12"/>
  <c r="DR195" i="12"/>
  <c r="DQ195" i="12"/>
  <c r="CN195" i="12"/>
  <c r="CM195" i="12"/>
  <c r="CK195" i="12"/>
  <c r="CJ195" i="12"/>
  <c r="CI195" i="12"/>
  <c r="CG195" i="12"/>
  <c r="CE195" i="12"/>
  <c r="CC195" i="12"/>
  <c r="BX195" i="12"/>
  <c r="BW195" i="12"/>
  <c r="BV195" i="12"/>
  <c r="BU195" i="12"/>
  <c r="BT195" i="12"/>
  <c r="BR195" i="12"/>
  <c r="BQ195" i="12"/>
  <c r="BP195" i="12"/>
  <c r="BO195" i="12"/>
  <c r="BN195" i="12"/>
  <c r="BL195" i="12"/>
  <c r="BK195" i="12"/>
  <c r="BJ195" i="12"/>
  <c r="BI195" i="12"/>
  <c r="BH195" i="12"/>
  <c r="BG195" i="12"/>
  <c r="BE195" i="12"/>
  <c r="BD195" i="12"/>
  <c r="BC195" i="12"/>
  <c r="BB195" i="12"/>
  <c r="AZ195" i="12"/>
  <c r="AY195" i="12"/>
  <c r="AW195" i="12"/>
  <c r="AV195" i="12"/>
  <c r="AT195" i="12"/>
  <c r="AS195" i="12"/>
  <c r="AP195" i="12"/>
  <c r="AO195" i="12"/>
  <c r="AN195" i="12"/>
  <c r="AI195" i="12"/>
  <c r="AF195" i="12"/>
  <c r="L195" i="12"/>
  <c r="EB195" i="12" s="1"/>
  <c r="C195" i="12"/>
  <c r="G195" i="12" s="1"/>
  <c r="EC194" i="12"/>
  <c r="DU194" i="12"/>
  <c r="DS194" i="12"/>
  <c r="DR194" i="12"/>
  <c r="DQ194" i="12"/>
  <c r="CN194" i="12"/>
  <c r="CM194" i="12"/>
  <c r="CK194" i="12"/>
  <c r="CJ194" i="12"/>
  <c r="CI194" i="12"/>
  <c r="CG194" i="12"/>
  <c r="CE194" i="12"/>
  <c r="CC194" i="12"/>
  <c r="BX194" i="12"/>
  <c r="BW194" i="12"/>
  <c r="BV194" i="12"/>
  <c r="BU194" i="12"/>
  <c r="BT194" i="12"/>
  <c r="BR194" i="12"/>
  <c r="BQ194" i="12"/>
  <c r="BP194" i="12"/>
  <c r="BO194" i="12"/>
  <c r="BN194" i="12"/>
  <c r="BL194" i="12"/>
  <c r="BK194" i="12"/>
  <c r="BJ194" i="12"/>
  <c r="BI194" i="12"/>
  <c r="BH194" i="12"/>
  <c r="BG194" i="12"/>
  <c r="BE194" i="12"/>
  <c r="BD194" i="12"/>
  <c r="BC194" i="12"/>
  <c r="BB194" i="12"/>
  <c r="AZ194" i="12"/>
  <c r="AY194" i="12"/>
  <c r="AW194" i="12"/>
  <c r="AV194" i="12"/>
  <c r="AT194" i="12"/>
  <c r="AS194" i="12"/>
  <c r="AP194" i="12"/>
  <c r="AO194" i="12"/>
  <c r="AN194" i="12"/>
  <c r="AI194" i="12"/>
  <c r="AF194" i="12"/>
  <c r="L194" i="12"/>
  <c r="EB194" i="12" s="1"/>
  <c r="C194" i="12"/>
  <c r="G194" i="12" s="1"/>
  <c r="R194" i="12" s="1"/>
  <c r="EC193" i="12"/>
  <c r="DU193" i="12"/>
  <c r="DS193" i="12"/>
  <c r="DR193" i="12"/>
  <c r="DQ193" i="12"/>
  <c r="CN193" i="12"/>
  <c r="CM193" i="12"/>
  <c r="CK193" i="12"/>
  <c r="CJ193" i="12"/>
  <c r="CI193" i="12"/>
  <c r="CG193" i="12"/>
  <c r="CE193" i="12"/>
  <c r="CC193" i="12"/>
  <c r="BX193" i="12"/>
  <c r="BW193" i="12"/>
  <c r="BV193" i="12"/>
  <c r="BU193" i="12"/>
  <c r="BT193" i="12"/>
  <c r="BR193" i="12"/>
  <c r="BQ193" i="12"/>
  <c r="BP193" i="12"/>
  <c r="BO193" i="12"/>
  <c r="BN193" i="12"/>
  <c r="BL193" i="12"/>
  <c r="BK193" i="12"/>
  <c r="BJ193" i="12"/>
  <c r="BI193" i="12"/>
  <c r="BH193" i="12"/>
  <c r="BG193" i="12"/>
  <c r="BE193" i="12"/>
  <c r="BD193" i="12"/>
  <c r="BC193" i="12"/>
  <c r="BB193" i="12"/>
  <c r="AZ193" i="12"/>
  <c r="AY193" i="12"/>
  <c r="AW193" i="12"/>
  <c r="AV193" i="12"/>
  <c r="AT193" i="12"/>
  <c r="AS193" i="12"/>
  <c r="AP193" i="12"/>
  <c r="AO193" i="12"/>
  <c r="AN193" i="12"/>
  <c r="AI193" i="12"/>
  <c r="AF193" i="12"/>
  <c r="L193" i="12"/>
  <c r="EB193" i="12" s="1"/>
  <c r="C193" i="12"/>
  <c r="G193" i="12" s="1"/>
  <c r="EC192" i="12"/>
  <c r="DU192" i="12"/>
  <c r="DS192" i="12"/>
  <c r="DR192" i="12"/>
  <c r="DQ192" i="12"/>
  <c r="CN192" i="12"/>
  <c r="CM192" i="12"/>
  <c r="CK192" i="12"/>
  <c r="CJ192" i="12"/>
  <c r="CI192" i="12"/>
  <c r="CG192" i="12"/>
  <c r="CE192" i="12"/>
  <c r="CC192" i="12"/>
  <c r="BX192" i="12"/>
  <c r="BW192" i="12"/>
  <c r="BV192" i="12"/>
  <c r="BU192" i="12"/>
  <c r="BT192" i="12"/>
  <c r="BR192" i="12"/>
  <c r="BQ192" i="12"/>
  <c r="BP192" i="12"/>
  <c r="BO192" i="12"/>
  <c r="BN192" i="12"/>
  <c r="BL192" i="12"/>
  <c r="BK192" i="12"/>
  <c r="BJ192" i="12"/>
  <c r="BI192" i="12"/>
  <c r="BH192" i="12"/>
  <c r="BG192" i="12"/>
  <c r="BE192" i="12"/>
  <c r="BD192" i="12"/>
  <c r="BC192" i="12"/>
  <c r="BB192" i="12"/>
  <c r="AZ192" i="12"/>
  <c r="AY192" i="12"/>
  <c r="AW192" i="12"/>
  <c r="AV192" i="12"/>
  <c r="AT192" i="12"/>
  <c r="AS192" i="12"/>
  <c r="AP192" i="12"/>
  <c r="AO192" i="12"/>
  <c r="AN192" i="12"/>
  <c r="AI192" i="12"/>
  <c r="AF192" i="12"/>
  <c r="L192" i="12"/>
  <c r="EB192" i="12" s="1"/>
  <c r="C192" i="12"/>
  <c r="G192" i="12" s="1"/>
  <c r="EC191" i="12"/>
  <c r="DU191" i="12"/>
  <c r="DS191" i="12"/>
  <c r="DR191" i="12"/>
  <c r="DQ191" i="12"/>
  <c r="CN191" i="12"/>
  <c r="CM191" i="12"/>
  <c r="CK191" i="12"/>
  <c r="CJ191" i="12"/>
  <c r="CI191" i="12"/>
  <c r="CG191" i="12"/>
  <c r="CE191" i="12"/>
  <c r="CC191" i="12"/>
  <c r="BX191" i="12"/>
  <c r="BW191" i="12"/>
  <c r="BV191" i="12"/>
  <c r="BU191" i="12"/>
  <c r="BS191" i="12" s="1"/>
  <c r="BT191" i="12"/>
  <c r="BR191" i="12"/>
  <c r="BQ191" i="12"/>
  <c r="BP191" i="12"/>
  <c r="BO191" i="12"/>
  <c r="BN191" i="12"/>
  <c r="BL191" i="12"/>
  <c r="BK191" i="12"/>
  <c r="BJ191" i="12"/>
  <c r="BI191" i="12"/>
  <c r="BH191" i="12"/>
  <c r="BG191" i="12"/>
  <c r="BE191" i="12"/>
  <c r="BD191" i="12"/>
  <c r="BC191" i="12"/>
  <c r="BB191" i="12"/>
  <c r="AZ191" i="12"/>
  <c r="AY191" i="12"/>
  <c r="AW191" i="12"/>
  <c r="AV191" i="12"/>
  <c r="AT191" i="12"/>
  <c r="AS191" i="12"/>
  <c r="AP191" i="12"/>
  <c r="AO191" i="12"/>
  <c r="AN191" i="12"/>
  <c r="AI191" i="12"/>
  <c r="AF191" i="12"/>
  <c r="L191" i="12"/>
  <c r="EB191" i="12" s="1"/>
  <c r="C191" i="12"/>
  <c r="G191" i="12" s="1"/>
  <c r="EC190" i="12"/>
  <c r="DU190" i="12"/>
  <c r="DS190" i="12"/>
  <c r="DR190" i="12"/>
  <c r="DQ190" i="12"/>
  <c r="CN190" i="12"/>
  <c r="CM190" i="12"/>
  <c r="CK190" i="12"/>
  <c r="CJ190" i="12"/>
  <c r="CI190" i="12"/>
  <c r="CG190" i="12"/>
  <c r="CE190" i="12"/>
  <c r="CC190" i="12"/>
  <c r="BX190" i="12"/>
  <c r="BW190" i="12"/>
  <c r="BV190" i="12"/>
  <c r="BU190" i="12"/>
  <c r="BT190" i="12"/>
  <c r="BR190" i="12"/>
  <c r="BQ190" i="12"/>
  <c r="BP190" i="12"/>
  <c r="BO190" i="12"/>
  <c r="BN190" i="12"/>
  <c r="BL190" i="12"/>
  <c r="BK190" i="12"/>
  <c r="BJ190" i="12"/>
  <c r="BI190" i="12"/>
  <c r="BH190" i="12"/>
  <c r="BG190" i="12"/>
  <c r="BE190" i="12"/>
  <c r="BD190" i="12"/>
  <c r="BC190" i="12"/>
  <c r="BB190" i="12"/>
  <c r="AZ190" i="12"/>
  <c r="AY190" i="12"/>
  <c r="AW190" i="12"/>
  <c r="AV190" i="12"/>
  <c r="AT190" i="12"/>
  <c r="AS190" i="12"/>
  <c r="AP190" i="12"/>
  <c r="AO190" i="12"/>
  <c r="AN190" i="12"/>
  <c r="AI190" i="12"/>
  <c r="AF190" i="12"/>
  <c r="L190" i="12"/>
  <c r="EB190" i="12" s="1"/>
  <c r="C190" i="12"/>
  <c r="G190" i="12" s="1"/>
  <c r="EC189" i="12"/>
  <c r="DU189" i="12"/>
  <c r="DS189" i="12"/>
  <c r="DR189" i="12"/>
  <c r="DQ189" i="12"/>
  <c r="CN189" i="12"/>
  <c r="CM189" i="12"/>
  <c r="CK189" i="12"/>
  <c r="CJ189" i="12"/>
  <c r="CI189" i="12"/>
  <c r="CG189" i="12"/>
  <c r="CE189" i="12"/>
  <c r="CC189" i="12"/>
  <c r="BX189" i="12"/>
  <c r="BW189" i="12"/>
  <c r="BV189" i="12"/>
  <c r="BU189" i="12"/>
  <c r="BT189" i="12"/>
  <c r="BR189" i="12"/>
  <c r="BQ189" i="12"/>
  <c r="BP189" i="12"/>
  <c r="BO189" i="12"/>
  <c r="BN189" i="12"/>
  <c r="BL189" i="12"/>
  <c r="BK189" i="12"/>
  <c r="BJ189" i="12"/>
  <c r="BI189" i="12"/>
  <c r="BH189" i="12"/>
  <c r="BG189" i="12"/>
  <c r="BE189" i="12"/>
  <c r="BD189" i="12"/>
  <c r="BC189" i="12"/>
  <c r="BB189" i="12"/>
  <c r="AZ189" i="12"/>
  <c r="AY189" i="12"/>
  <c r="AW189" i="12"/>
  <c r="AV189" i="12"/>
  <c r="AT189" i="12"/>
  <c r="AS189" i="12"/>
  <c r="AP189" i="12"/>
  <c r="AO189" i="12"/>
  <c r="AN189" i="12"/>
  <c r="AI189" i="12"/>
  <c r="AF189" i="12"/>
  <c r="L189" i="12"/>
  <c r="EB189" i="12" s="1"/>
  <c r="C189" i="12"/>
  <c r="G189" i="12" s="1"/>
  <c r="P189" i="12" s="1"/>
  <c r="EC188" i="12"/>
  <c r="DU188" i="12"/>
  <c r="DS188" i="12"/>
  <c r="DR188" i="12"/>
  <c r="DQ188" i="12"/>
  <c r="CN188" i="12"/>
  <c r="CM188" i="12"/>
  <c r="CK188" i="12"/>
  <c r="CJ188" i="12"/>
  <c r="CI188" i="12"/>
  <c r="CG188" i="12"/>
  <c r="CE188" i="12"/>
  <c r="CC188" i="12"/>
  <c r="BX188" i="12"/>
  <c r="BW188" i="12"/>
  <c r="BV188" i="12"/>
  <c r="BU188" i="12"/>
  <c r="BT188" i="12"/>
  <c r="BR188" i="12"/>
  <c r="BQ188" i="12"/>
  <c r="BP188" i="12"/>
  <c r="BO188" i="12"/>
  <c r="BN188" i="12"/>
  <c r="BL188" i="12"/>
  <c r="BK188" i="12"/>
  <c r="BJ188" i="12"/>
  <c r="BI188" i="12"/>
  <c r="BH188" i="12"/>
  <c r="BG188" i="12"/>
  <c r="BE188" i="12"/>
  <c r="BD188" i="12"/>
  <c r="BC188" i="12"/>
  <c r="BB188" i="12"/>
  <c r="AZ188" i="12"/>
  <c r="AY188" i="12"/>
  <c r="AW188" i="12"/>
  <c r="AV188" i="12"/>
  <c r="AT188" i="12"/>
  <c r="AS188" i="12"/>
  <c r="AP188" i="12"/>
  <c r="AO188" i="12"/>
  <c r="AN188" i="12"/>
  <c r="AI188" i="12"/>
  <c r="AF188" i="12"/>
  <c r="L188" i="12"/>
  <c r="EB188" i="12" s="1"/>
  <c r="C188" i="12"/>
  <c r="G188" i="12" s="1"/>
  <c r="P188" i="12" s="1"/>
  <c r="EC187" i="12"/>
  <c r="DU187" i="12"/>
  <c r="DS187" i="12"/>
  <c r="DR187" i="12"/>
  <c r="DQ187" i="12"/>
  <c r="CN187" i="12"/>
  <c r="CM187" i="12"/>
  <c r="CK187" i="12"/>
  <c r="CJ187" i="12"/>
  <c r="CI187" i="12"/>
  <c r="CG187" i="12"/>
  <c r="CE187" i="12"/>
  <c r="CC187" i="12"/>
  <c r="BX187" i="12"/>
  <c r="BW187" i="12"/>
  <c r="BV187" i="12"/>
  <c r="BU187" i="12"/>
  <c r="BT187" i="12"/>
  <c r="BR187" i="12"/>
  <c r="BQ187" i="12"/>
  <c r="BP187" i="12"/>
  <c r="BO187" i="12"/>
  <c r="BN187" i="12"/>
  <c r="BL187" i="12"/>
  <c r="BK187" i="12"/>
  <c r="BJ187" i="12"/>
  <c r="BI187" i="12"/>
  <c r="BH187" i="12"/>
  <c r="BG187" i="12"/>
  <c r="BE187" i="12"/>
  <c r="BD187" i="12"/>
  <c r="BC187" i="12"/>
  <c r="BB187" i="12"/>
  <c r="AZ187" i="12"/>
  <c r="AY187" i="12"/>
  <c r="AW187" i="12"/>
  <c r="AV187" i="12"/>
  <c r="AT187" i="12"/>
  <c r="AS187" i="12"/>
  <c r="AP187" i="12"/>
  <c r="AO187" i="12"/>
  <c r="AN187" i="12"/>
  <c r="AI187" i="12"/>
  <c r="AF187" i="12"/>
  <c r="L187" i="12"/>
  <c r="EB187" i="12" s="1"/>
  <c r="C187" i="12"/>
  <c r="G187" i="12" s="1"/>
  <c r="P187" i="12" s="1"/>
  <c r="EC186" i="12"/>
  <c r="DU186" i="12"/>
  <c r="DS186" i="12"/>
  <c r="DR186" i="12"/>
  <c r="DQ186" i="12"/>
  <c r="CN186" i="12"/>
  <c r="CM186" i="12"/>
  <c r="CK186" i="12"/>
  <c r="CJ186" i="12"/>
  <c r="CI186" i="12"/>
  <c r="CG186" i="12"/>
  <c r="CE186" i="12"/>
  <c r="CC186" i="12"/>
  <c r="BX186" i="12"/>
  <c r="BW186" i="12"/>
  <c r="BV186" i="12"/>
  <c r="BU186" i="12"/>
  <c r="BT186" i="12"/>
  <c r="BR186" i="12"/>
  <c r="BQ186" i="12"/>
  <c r="BP186" i="12"/>
  <c r="BO186" i="12"/>
  <c r="BN186" i="12"/>
  <c r="BL186" i="12"/>
  <c r="BK186" i="12"/>
  <c r="BJ186" i="12"/>
  <c r="BI186" i="12"/>
  <c r="BH186" i="12"/>
  <c r="BG186" i="12"/>
  <c r="BE186" i="12"/>
  <c r="BD186" i="12"/>
  <c r="BC186" i="12"/>
  <c r="BB186" i="12"/>
  <c r="AZ186" i="12"/>
  <c r="AY186" i="12"/>
  <c r="AW186" i="12"/>
  <c r="AV186" i="12"/>
  <c r="AT186" i="12"/>
  <c r="AS186" i="12"/>
  <c r="AP186" i="12"/>
  <c r="AO186" i="12"/>
  <c r="AN186" i="12"/>
  <c r="AI186" i="12"/>
  <c r="AF186" i="12"/>
  <c r="L186" i="12"/>
  <c r="EB186" i="12" s="1"/>
  <c r="H186" i="12"/>
  <c r="C186" i="12"/>
  <c r="G186" i="12" s="1"/>
  <c r="EC185" i="12"/>
  <c r="DU185" i="12"/>
  <c r="DS185" i="12"/>
  <c r="DR185" i="12"/>
  <c r="DQ185" i="12"/>
  <c r="CN185" i="12"/>
  <c r="CM185" i="12"/>
  <c r="CK185" i="12"/>
  <c r="CJ185" i="12"/>
  <c r="CI185" i="12"/>
  <c r="CG185" i="12"/>
  <c r="CE185" i="12"/>
  <c r="CC185" i="12"/>
  <c r="BX185" i="12"/>
  <c r="BW185" i="12"/>
  <c r="BV185" i="12"/>
  <c r="BU185" i="12"/>
  <c r="BT185" i="12"/>
  <c r="BR185" i="12"/>
  <c r="BQ185" i="12"/>
  <c r="BP185" i="12"/>
  <c r="BO185" i="12"/>
  <c r="BN185" i="12"/>
  <c r="BL185" i="12"/>
  <c r="BK185" i="12"/>
  <c r="BJ185" i="12"/>
  <c r="BI185" i="12"/>
  <c r="BH185" i="12"/>
  <c r="BG185" i="12"/>
  <c r="BE185" i="12"/>
  <c r="BD185" i="12"/>
  <c r="BC185" i="12"/>
  <c r="BB185" i="12"/>
  <c r="AZ185" i="12"/>
  <c r="AY185" i="12"/>
  <c r="AW185" i="12"/>
  <c r="AV185" i="12"/>
  <c r="AT185" i="12"/>
  <c r="AS185" i="12"/>
  <c r="AP185" i="12"/>
  <c r="AO185" i="12"/>
  <c r="AN185" i="12"/>
  <c r="AI185" i="12"/>
  <c r="AF185" i="12"/>
  <c r="L185" i="12"/>
  <c r="EB185" i="12" s="1"/>
  <c r="C185" i="12"/>
  <c r="G185" i="12" s="1"/>
  <c r="R185" i="12" s="1"/>
  <c r="EC184" i="12"/>
  <c r="DU184" i="12"/>
  <c r="DS184" i="12"/>
  <c r="DR184" i="12"/>
  <c r="DQ184" i="12"/>
  <c r="CN184" i="12"/>
  <c r="CM184" i="12"/>
  <c r="CK184" i="12"/>
  <c r="CJ184" i="12"/>
  <c r="CI184" i="12"/>
  <c r="CG184" i="12"/>
  <c r="CE184" i="12"/>
  <c r="CC184" i="12"/>
  <c r="BX184" i="12"/>
  <c r="BW184" i="12"/>
  <c r="BV184" i="12"/>
  <c r="BU184" i="12"/>
  <c r="BT184" i="12"/>
  <c r="BR184" i="12"/>
  <c r="BQ184" i="12"/>
  <c r="BP184" i="12"/>
  <c r="BO184" i="12"/>
  <c r="BN184" i="12"/>
  <c r="BL184" i="12"/>
  <c r="BK184" i="12"/>
  <c r="BJ184" i="12"/>
  <c r="BI184" i="12"/>
  <c r="BH184" i="12"/>
  <c r="BG184" i="12"/>
  <c r="BE184" i="12"/>
  <c r="BD184" i="12"/>
  <c r="BC184" i="12"/>
  <c r="BB184" i="12"/>
  <c r="AZ184" i="12"/>
  <c r="AY184" i="12"/>
  <c r="AW184" i="12"/>
  <c r="AV184" i="12"/>
  <c r="AT184" i="12"/>
  <c r="AS184" i="12"/>
  <c r="AP184" i="12"/>
  <c r="AO184" i="12"/>
  <c r="AN184" i="12"/>
  <c r="AI184" i="12"/>
  <c r="AF184" i="12"/>
  <c r="L184" i="12"/>
  <c r="EB184" i="12" s="1"/>
  <c r="C184" i="12"/>
  <c r="G184" i="12" s="1"/>
  <c r="R184" i="12" s="1"/>
  <c r="EC183" i="12"/>
  <c r="DU183" i="12"/>
  <c r="DS183" i="12"/>
  <c r="DR183" i="12"/>
  <c r="DQ183" i="12"/>
  <c r="DO183" i="12"/>
  <c r="CN183" i="12"/>
  <c r="CM183" i="12"/>
  <c r="CK183" i="12"/>
  <c r="CJ183" i="12"/>
  <c r="CI183" i="12"/>
  <c r="CG183" i="12"/>
  <c r="CE183" i="12"/>
  <c r="CC183" i="12"/>
  <c r="BX183" i="12"/>
  <c r="BW183" i="12"/>
  <c r="BV183" i="12"/>
  <c r="BU183" i="12"/>
  <c r="BT183" i="12"/>
  <c r="BR183" i="12"/>
  <c r="BQ183" i="12"/>
  <c r="BP183" i="12"/>
  <c r="BO183" i="12"/>
  <c r="BN183" i="12"/>
  <c r="BL183" i="12"/>
  <c r="BK183" i="12"/>
  <c r="BJ183" i="12"/>
  <c r="BI183" i="12"/>
  <c r="BH183" i="12"/>
  <c r="BG183" i="12"/>
  <c r="BE183" i="12"/>
  <c r="BD183" i="12"/>
  <c r="BC183" i="12"/>
  <c r="BB183" i="12"/>
  <c r="AZ183" i="12"/>
  <c r="AY183" i="12"/>
  <c r="AW183" i="12"/>
  <c r="AV183" i="12"/>
  <c r="AT183" i="12"/>
  <c r="AS183" i="12"/>
  <c r="AP183" i="12"/>
  <c r="AO183" i="12"/>
  <c r="AN183" i="12"/>
  <c r="AI183" i="12"/>
  <c r="AF183" i="12"/>
  <c r="R183" i="12"/>
  <c r="L183" i="12"/>
  <c r="EB183" i="12" s="1"/>
  <c r="H183" i="12"/>
  <c r="C183" i="12"/>
  <c r="G183" i="12" s="1"/>
  <c r="P183" i="12" s="1"/>
  <c r="EC182" i="12"/>
  <c r="DU182" i="12"/>
  <c r="DS182" i="12"/>
  <c r="DR182" i="12"/>
  <c r="DQ182" i="12"/>
  <c r="CN182" i="12"/>
  <c r="CM182" i="12"/>
  <c r="CK182" i="12"/>
  <c r="CJ182" i="12"/>
  <c r="CI182" i="12"/>
  <c r="CG182" i="12"/>
  <c r="CE182" i="12"/>
  <c r="CC182" i="12"/>
  <c r="BX182" i="12"/>
  <c r="BW182" i="12"/>
  <c r="BV182" i="12"/>
  <c r="BU182" i="12"/>
  <c r="BT182" i="12"/>
  <c r="BR182" i="12"/>
  <c r="BQ182" i="12"/>
  <c r="BP182" i="12"/>
  <c r="BO182" i="12"/>
  <c r="BN182" i="12"/>
  <c r="BL182" i="12"/>
  <c r="BK182" i="12"/>
  <c r="BJ182" i="12"/>
  <c r="BI182" i="12"/>
  <c r="BH182" i="12"/>
  <c r="BG182" i="12"/>
  <c r="BE182" i="12"/>
  <c r="BD182" i="12"/>
  <c r="BC182" i="12"/>
  <c r="BB182" i="12"/>
  <c r="AZ182" i="12"/>
  <c r="AY182" i="12"/>
  <c r="AW182" i="12"/>
  <c r="AV182" i="12"/>
  <c r="AT182" i="12"/>
  <c r="AS182" i="12"/>
  <c r="AP182" i="12"/>
  <c r="AO182" i="12"/>
  <c r="AN182" i="12"/>
  <c r="AI182" i="12"/>
  <c r="AF182" i="12"/>
  <c r="L182" i="12"/>
  <c r="EB182" i="12" s="1"/>
  <c r="H182" i="12"/>
  <c r="C182" i="12"/>
  <c r="G182" i="12" s="1"/>
  <c r="P182" i="12" s="1"/>
  <c r="EC181" i="12"/>
  <c r="DU181" i="12"/>
  <c r="DS181" i="12"/>
  <c r="DR181" i="12"/>
  <c r="DQ181" i="12"/>
  <c r="CN181" i="12"/>
  <c r="CM181" i="12"/>
  <c r="CK181" i="12"/>
  <c r="CJ181" i="12"/>
  <c r="CI181" i="12"/>
  <c r="CG181" i="12"/>
  <c r="CE181" i="12"/>
  <c r="CC181" i="12"/>
  <c r="BX181" i="12"/>
  <c r="BW181" i="12"/>
  <c r="BV181" i="12"/>
  <c r="BU181" i="12"/>
  <c r="BT181" i="12"/>
  <c r="BR181" i="12"/>
  <c r="BQ181" i="12"/>
  <c r="BP181" i="12"/>
  <c r="BO181" i="12"/>
  <c r="BN181" i="12"/>
  <c r="BL181" i="12"/>
  <c r="BK181" i="12"/>
  <c r="BJ181" i="12"/>
  <c r="BI181" i="12"/>
  <c r="BH181" i="12"/>
  <c r="BG181" i="12"/>
  <c r="BE181" i="12"/>
  <c r="BD181" i="12"/>
  <c r="BC181" i="12"/>
  <c r="BB181" i="12"/>
  <c r="AZ181" i="12"/>
  <c r="AY181" i="12"/>
  <c r="AW181" i="12"/>
  <c r="AV181" i="12"/>
  <c r="AT181" i="12"/>
  <c r="AS181" i="12"/>
  <c r="AP181" i="12"/>
  <c r="AO181" i="12"/>
  <c r="AN181" i="12"/>
  <c r="AI181" i="12"/>
  <c r="AF181" i="12"/>
  <c r="L181" i="12"/>
  <c r="EB181" i="12" s="1"/>
  <c r="H181" i="12"/>
  <c r="C181" i="12"/>
  <c r="G181" i="12" s="1"/>
  <c r="R181" i="12" s="1"/>
  <c r="EC180" i="12"/>
  <c r="DU180" i="12"/>
  <c r="DS180" i="12"/>
  <c r="DR180" i="12"/>
  <c r="DQ180" i="12"/>
  <c r="CN180" i="12"/>
  <c r="CM180" i="12"/>
  <c r="CK180" i="12"/>
  <c r="CJ180" i="12"/>
  <c r="CI180" i="12"/>
  <c r="CG180" i="12"/>
  <c r="CE180" i="12"/>
  <c r="CC180" i="12"/>
  <c r="BX180" i="12"/>
  <c r="BW180" i="12"/>
  <c r="BV180" i="12"/>
  <c r="BU180" i="12"/>
  <c r="BT180" i="12"/>
  <c r="BR180" i="12"/>
  <c r="BQ180" i="12"/>
  <c r="BP180" i="12"/>
  <c r="BO180" i="12"/>
  <c r="BN180" i="12"/>
  <c r="BL180" i="12"/>
  <c r="BK180" i="12"/>
  <c r="BJ180" i="12"/>
  <c r="BI180" i="12"/>
  <c r="BH180" i="12"/>
  <c r="BG180" i="12"/>
  <c r="BE180" i="12"/>
  <c r="BD180" i="12"/>
  <c r="BC180" i="12"/>
  <c r="BB180" i="12"/>
  <c r="AZ180" i="12"/>
  <c r="AY180" i="12"/>
  <c r="AW180" i="12"/>
  <c r="AV180" i="12"/>
  <c r="AT180" i="12"/>
  <c r="AS180" i="12"/>
  <c r="AP180" i="12"/>
  <c r="AO180" i="12"/>
  <c r="AN180" i="12"/>
  <c r="AI180" i="12"/>
  <c r="AF180" i="12"/>
  <c r="L180" i="12"/>
  <c r="EB180" i="12" s="1"/>
  <c r="H180" i="12"/>
  <c r="C180" i="12"/>
  <c r="G180" i="12" s="1"/>
  <c r="P180" i="12" s="1"/>
  <c r="EC179" i="12"/>
  <c r="DU179" i="12"/>
  <c r="DS179" i="12"/>
  <c r="DR179" i="12"/>
  <c r="DQ179" i="12"/>
  <c r="CN179" i="12"/>
  <c r="CM179" i="12"/>
  <c r="CK179" i="12"/>
  <c r="CJ179" i="12"/>
  <c r="CI179" i="12"/>
  <c r="CG179" i="12"/>
  <c r="CE179" i="12"/>
  <c r="CC179" i="12"/>
  <c r="BX179" i="12"/>
  <c r="BW179" i="12"/>
  <c r="BV179" i="12"/>
  <c r="BU179" i="12"/>
  <c r="BT179" i="12"/>
  <c r="BR179" i="12"/>
  <c r="BQ179" i="12"/>
  <c r="BP179" i="12"/>
  <c r="BO179" i="12"/>
  <c r="BN179" i="12"/>
  <c r="BL179" i="12"/>
  <c r="BK179" i="12"/>
  <c r="BJ179" i="12"/>
  <c r="BI179" i="12"/>
  <c r="BH179" i="12"/>
  <c r="BG179" i="12"/>
  <c r="BE179" i="12"/>
  <c r="BD179" i="12"/>
  <c r="BC179" i="12"/>
  <c r="BB179" i="12"/>
  <c r="AZ179" i="12"/>
  <c r="AY179" i="12"/>
  <c r="AW179" i="12"/>
  <c r="AV179" i="12"/>
  <c r="AT179" i="12"/>
  <c r="AS179" i="12"/>
  <c r="AP179" i="12"/>
  <c r="AO179" i="12"/>
  <c r="AN179" i="12"/>
  <c r="AI179" i="12"/>
  <c r="AF179" i="12"/>
  <c r="L179" i="12"/>
  <c r="EB179" i="12" s="1"/>
  <c r="H179" i="12"/>
  <c r="C179" i="12"/>
  <c r="G179" i="12" s="1"/>
  <c r="EC178" i="12"/>
  <c r="DU178" i="12"/>
  <c r="DS178" i="12"/>
  <c r="DR178" i="12"/>
  <c r="DQ178" i="12"/>
  <c r="CN178" i="12"/>
  <c r="CM178" i="12"/>
  <c r="CK178" i="12"/>
  <c r="CJ178" i="12"/>
  <c r="CI178" i="12"/>
  <c r="CG178" i="12"/>
  <c r="CE178" i="12"/>
  <c r="CC178" i="12"/>
  <c r="BX178" i="12"/>
  <c r="BW178" i="12"/>
  <c r="BV178" i="12"/>
  <c r="BU178" i="12"/>
  <c r="BT178" i="12"/>
  <c r="BR178" i="12"/>
  <c r="BQ178" i="12"/>
  <c r="BP178" i="12"/>
  <c r="BO178" i="12"/>
  <c r="BN178" i="12"/>
  <c r="BL178" i="12"/>
  <c r="BK178" i="12"/>
  <c r="BJ178" i="12"/>
  <c r="BI178" i="12"/>
  <c r="BH178" i="12"/>
  <c r="BG178" i="12"/>
  <c r="BE178" i="12"/>
  <c r="BD178" i="12"/>
  <c r="BC178" i="12"/>
  <c r="BB178" i="12"/>
  <c r="AZ178" i="12"/>
  <c r="AY178" i="12"/>
  <c r="AW178" i="12"/>
  <c r="AV178" i="12"/>
  <c r="AT178" i="12"/>
  <c r="AS178" i="12"/>
  <c r="AP178" i="12"/>
  <c r="AO178" i="12"/>
  <c r="AN178" i="12"/>
  <c r="AI178" i="12"/>
  <c r="AF178" i="12"/>
  <c r="Q178" i="12"/>
  <c r="Q179" i="12" s="1"/>
  <c r="O178" i="12"/>
  <c r="O179" i="12" s="1"/>
  <c r="M178" i="12"/>
  <c r="M179" i="12" s="1"/>
  <c r="L178" i="12"/>
  <c r="EB178" i="12" s="1"/>
  <c r="H178" i="12"/>
  <c r="C178" i="12"/>
  <c r="G178" i="12" s="1"/>
  <c r="P178" i="12" s="1"/>
  <c r="EC177" i="12"/>
  <c r="DU177" i="12"/>
  <c r="DS177" i="12"/>
  <c r="DR177" i="12"/>
  <c r="DQ177" i="12"/>
  <c r="CN177" i="12"/>
  <c r="CM177" i="12"/>
  <c r="CK177" i="12"/>
  <c r="CJ177" i="12"/>
  <c r="CI177" i="12"/>
  <c r="CG177" i="12"/>
  <c r="CE177" i="12"/>
  <c r="CC177" i="12"/>
  <c r="BX177" i="12"/>
  <c r="BW177" i="12"/>
  <c r="BV177" i="12"/>
  <c r="BU177" i="12"/>
  <c r="BT177" i="12"/>
  <c r="BR177" i="12"/>
  <c r="BQ177" i="12"/>
  <c r="BP177" i="12"/>
  <c r="BO177" i="12"/>
  <c r="BN177" i="12"/>
  <c r="BL177" i="12"/>
  <c r="BK177" i="12"/>
  <c r="BJ177" i="12"/>
  <c r="BI177" i="12"/>
  <c r="BH177" i="12"/>
  <c r="BG177" i="12"/>
  <c r="BE177" i="12"/>
  <c r="BD177" i="12"/>
  <c r="BC177" i="12"/>
  <c r="BB177" i="12"/>
  <c r="AZ177" i="12"/>
  <c r="AY177" i="12"/>
  <c r="AW177" i="12"/>
  <c r="AV177" i="12"/>
  <c r="AT177" i="12"/>
  <c r="AS177" i="12"/>
  <c r="AP177" i="12"/>
  <c r="AO177" i="12"/>
  <c r="AN177" i="12"/>
  <c r="AI177" i="12"/>
  <c r="AF177" i="12"/>
  <c r="L177" i="12"/>
  <c r="EB177" i="12" s="1"/>
  <c r="H177" i="12"/>
  <c r="C177" i="12"/>
  <c r="G177" i="12" s="1"/>
  <c r="R177" i="12" s="1"/>
  <c r="EC176" i="12"/>
  <c r="DU176" i="12"/>
  <c r="DS176" i="12"/>
  <c r="DR176" i="12"/>
  <c r="DQ176" i="12"/>
  <c r="CN176" i="12"/>
  <c r="CM176" i="12"/>
  <c r="CK176" i="12"/>
  <c r="CJ176" i="12"/>
  <c r="CI176" i="12"/>
  <c r="CG176" i="12"/>
  <c r="CE176" i="12"/>
  <c r="CC176" i="12"/>
  <c r="BX176" i="12"/>
  <c r="BW176" i="12"/>
  <c r="BV176" i="12"/>
  <c r="BU176" i="12"/>
  <c r="BT176" i="12"/>
  <c r="BR176" i="12"/>
  <c r="BQ176" i="12"/>
  <c r="BP176" i="12"/>
  <c r="BO176" i="12"/>
  <c r="BN176" i="12"/>
  <c r="BL176" i="12"/>
  <c r="BK176" i="12"/>
  <c r="BJ176" i="12"/>
  <c r="BI176" i="12"/>
  <c r="BH176" i="12"/>
  <c r="BG176" i="12"/>
  <c r="BE176" i="12"/>
  <c r="BD176" i="12"/>
  <c r="BC176" i="12"/>
  <c r="BB176" i="12"/>
  <c r="AZ176" i="12"/>
  <c r="AY176" i="12"/>
  <c r="AW176" i="12"/>
  <c r="AV176" i="12"/>
  <c r="AT176" i="12"/>
  <c r="AS176" i="12"/>
  <c r="AP176" i="12"/>
  <c r="AO176" i="12"/>
  <c r="AN176" i="12"/>
  <c r="AI176" i="12"/>
  <c r="AF176" i="12"/>
  <c r="L176" i="12"/>
  <c r="EB176" i="12" s="1"/>
  <c r="C176" i="12"/>
  <c r="G176" i="12" s="1"/>
  <c r="EC175" i="12"/>
  <c r="DY175" i="12" s="1"/>
  <c r="DU175" i="12"/>
  <c r="DS175" i="12"/>
  <c r="DR175" i="12"/>
  <c r="DQ175" i="12"/>
  <c r="CN175" i="12"/>
  <c r="CM175" i="12"/>
  <c r="CK175" i="12"/>
  <c r="CJ175" i="12"/>
  <c r="CI175" i="12"/>
  <c r="CG175" i="12"/>
  <c r="CE175" i="12"/>
  <c r="CC175" i="12"/>
  <c r="BX175" i="12"/>
  <c r="BW175" i="12"/>
  <c r="BV175" i="12"/>
  <c r="BU175" i="12"/>
  <c r="BT175" i="12"/>
  <c r="BR175" i="12"/>
  <c r="BQ175" i="12"/>
  <c r="BP175" i="12"/>
  <c r="BO175" i="12"/>
  <c r="BN175" i="12"/>
  <c r="BL175" i="12"/>
  <c r="BK175" i="12"/>
  <c r="BJ175" i="12"/>
  <c r="BI175" i="12"/>
  <c r="BH175" i="12"/>
  <c r="BG175" i="12"/>
  <c r="BE175" i="12"/>
  <c r="BD175" i="12"/>
  <c r="BC175" i="12"/>
  <c r="BB175" i="12"/>
  <c r="AZ175" i="12"/>
  <c r="AY175" i="12"/>
  <c r="AW175" i="12"/>
  <c r="AV175" i="12"/>
  <c r="AT175" i="12"/>
  <c r="AS175" i="12"/>
  <c r="AP175" i="12"/>
  <c r="AO175" i="12"/>
  <c r="AN175" i="12"/>
  <c r="AI175" i="12"/>
  <c r="AF175" i="12"/>
  <c r="L175" i="12"/>
  <c r="EB175" i="12" s="1"/>
  <c r="C175" i="12"/>
  <c r="G175" i="12" s="1"/>
  <c r="EC174" i="12"/>
  <c r="DU174" i="12"/>
  <c r="DS174" i="12"/>
  <c r="DR174" i="12"/>
  <c r="DQ174" i="12"/>
  <c r="DO174" i="12"/>
  <c r="CN174" i="12"/>
  <c r="CM174" i="12"/>
  <c r="CK174" i="12"/>
  <c r="CJ174" i="12"/>
  <c r="CI174" i="12"/>
  <c r="CG174" i="12"/>
  <c r="CE174" i="12"/>
  <c r="CC174" i="12"/>
  <c r="BX174" i="12"/>
  <c r="BW174" i="12"/>
  <c r="BV174" i="12"/>
  <c r="BU174" i="12"/>
  <c r="BT174" i="12"/>
  <c r="BR174" i="12"/>
  <c r="BQ174" i="12"/>
  <c r="BP174" i="12"/>
  <c r="BO174" i="12"/>
  <c r="BN174" i="12"/>
  <c r="BL174" i="12"/>
  <c r="BK174" i="12"/>
  <c r="BJ174" i="12"/>
  <c r="BI174" i="12"/>
  <c r="BH174" i="12"/>
  <c r="BG174" i="12"/>
  <c r="BE174" i="12"/>
  <c r="BD174" i="12"/>
  <c r="BC174" i="12"/>
  <c r="BB174" i="12"/>
  <c r="AZ174" i="12"/>
  <c r="AY174" i="12"/>
  <c r="AW174" i="12"/>
  <c r="AV174" i="12"/>
  <c r="AT174" i="12"/>
  <c r="AS174" i="12"/>
  <c r="AP174" i="12"/>
  <c r="AO174" i="12"/>
  <c r="AN174" i="12"/>
  <c r="AI174" i="12"/>
  <c r="AF174" i="12"/>
  <c r="R174" i="12"/>
  <c r="L174" i="12"/>
  <c r="EB174" i="12" s="1"/>
  <c r="H174" i="12"/>
  <c r="C174" i="12"/>
  <c r="G174" i="12" s="1"/>
  <c r="P174" i="12" s="1"/>
  <c r="EC173" i="12"/>
  <c r="DU173" i="12"/>
  <c r="DS173" i="12"/>
  <c r="DR173" i="12"/>
  <c r="DQ173" i="12"/>
  <c r="DO173" i="12"/>
  <c r="CN173" i="12"/>
  <c r="CM173" i="12"/>
  <c r="CK173" i="12"/>
  <c r="CJ173" i="12"/>
  <c r="CI173" i="12"/>
  <c r="CG173" i="12"/>
  <c r="CE173" i="12"/>
  <c r="CC173" i="12"/>
  <c r="BX173" i="12"/>
  <c r="BW173" i="12"/>
  <c r="BV173" i="12"/>
  <c r="BU173" i="12"/>
  <c r="BT173" i="12"/>
  <c r="BR173" i="12"/>
  <c r="BQ173" i="12"/>
  <c r="BP173" i="12"/>
  <c r="BO173" i="12"/>
  <c r="BN173" i="12"/>
  <c r="BL173" i="12"/>
  <c r="BK173" i="12"/>
  <c r="BJ173" i="12"/>
  <c r="BI173" i="12"/>
  <c r="BH173" i="12"/>
  <c r="BG173" i="12"/>
  <c r="BE173" i="12"/>
  <c r="BD173" i="12"/>
  <c r="BC173" i="12"/>
  <c r="BB173" i="12"/>
  <c r="AZ173" i="12"/>
  <c r="AY173" i="12"/>
  <c r="AW173" i="12"/>
  <c r="AV173" i="12"/>
  <c r="AT173" i="12"/>
  <c r="AS173" i="12"/>
  <c r="AP173" i="12"/>
  <c r="AO173" i="12"/>
  <c r="AN173" i="12"/>
  <c r="AI173" i="12"/>
  <c r="AF173" i="12"/>
  <c r="R173" i="12"/>
  <c r="L173" i="12"/>
  <c r="EB173" i="12" s="1"/>
  <c r="H173" i="12"/>
  <c r="C173" i="12"/>
  <c r="G173" i="12" s="1"/>
  <c r="EC172" i="12"/>
  <c r="DU172" i="12"/>
  <c r="DS172" i="12"/>
  <c r="DR172" i="12"/>
  <c r="DQ172" i="12"/>
  <c r="CN172" i="12"/>
  <c r="CM172" i="12"/>
  <c r="CK172" i="12"/>
  <c r="CJ172" i="12"/>
  <c r="CI172" i="12"/>
  <c r="CG172" i="12"/>
  <c r="CE172" i="12"/>
  <c r="CC172" i="12"/>
  <c r="BX172" i="12"/>
  <c r="BW172" i="12"/>
  <c r="BV172" i="12"/>
  <c r="BU172" i="12"/>
  <c r="BT172" i="12"/>
  <c r="BR172" i="12"/>
  <c r="BQ172" i="12"/>
  <c r="BP172" i="12"/>
  <c r="BO172" i="12"/>
  <c r="BN172" i="12"/>
  <c r="BL172" i="12"/>
  <c r="BK172" i="12"/>
  <c r="BJ172" i="12"/>
  <c r="BI172" i="12"/>
  <c r="BH172" i="12"/>
  <c r="BG172" i="12"/>
  <c r="BE172" i="12"/>
  <c r="BD172" i="12"/>
  <c r="BC172" i="12"/>
  <c r="BB172" i="12"/>
  <c r="AZ172" i="12"/>
  <c r="AY172" i="12"/>
  <c r="AW172" i="12"/>
  <c r="AV172" i="12"/>
  <c r="AT172" i="12"/>
  <c r="AS172" i="12"/>
  <c r="AP172" i="12"/>
  <c r="AO172" i="12"/>
  <c r="AN172" i="12"/>
  <c r="AI172" i="12"/>
  <c r="AF172" i="12"/>
  <c r="L172" i="12"/>
  <c r="EB172" i="12" s="1"/>
  <c r="H172" i="12"/>
  <c r="C172" i="12"/>
  <c r="G172" i="12" s="1"/>
  <c r="P172" i="12" s="1"/>
  <c r="EC171" i="12"/>
  <c r="DU171" i="12"/>
  <c r="DS171" i="12"/>
  <c r="DR171" i="12"/>
  <c r="DQ171" i="12"/>
  <c r="CN171" i="12"/>
  <c r="CM171" i="12"/>
  <c r="CK171" i="12"/>
  <c r="CJ171" i="12"/>
  <c r="CI171" i="12"/>
  <c r="CG171" i="12"/>
  <c r="CE171" i="12"/>
  <c r="CC171" i="12"/>
  <c r="BX171" i="12"/>
  <c r="BW171" i="12"/>
  <c r="BV171" i="12"/>
  <c r="BU171" i="12"/>
  <c r="BT171" i="12"/>
  <c r="BR171" i="12"/>
  <c r="BQ171" i="12"/>
  <c r="BP171" i="12"/>
  <c r="BO171" i="12"/>
  <c r="BN171" i="12"/>
  <c r="BL171" i="12"/>
  <c r="BK171" i="12"/>
  <c r="BJ171" i="12"/>
  <c r="BI171" i="12"/>
  <c r="BH171" i="12"/>
  <c r="BG171" i="12"/>
  <c r="BE171" i="12"/>
  <c r="BD171" i="12"/>
  <c r="BC171" i="12"/>
  <c r="BB171" i="12"/>
  <c r="AZ171" i="12"/>
  <c r="AY171" i="12"/>
  <c r="AW171" i="12"/>
  <c r="AV171" i="12"/>
  <c r="AT171" i="12"/>
  <c r="AS171" i="12"/>
  <c r="AP171" i="12"/>
  <c r="AO171" i="12"/>
  <c r="AN171" i="12"/>
  <c r="AI171" i="12"/>
  <c r="AF171" i="12"/>
  <c r="L171" i="12"/>
  <c r="EB171" i="12" s="1"/>
  <c r="C171" i="12"/>
  <c r="G171" i="12" s="1"/>
  <c r="P171" i="12" s="1"/>
  <c r="EC170" i="12"/>
  <c r="DU170" i="12"/>
  <c r="DS170" i="12"/>
  <c r="DR170" i="12"/>
  <c r="DQ170" i="12"/>
  <c r="CN170" i="12"/>
  <c r="CM170" i="12"/>
  <c r="CK170" i="12"/>
  <c r="CJ170" i="12"/>
  <c r="CI170" i="12"/>
  <c r="CG170" i="12"/>
  <c r="CE170" i="12"/>
  <c r="CC170" i="12"/>
  <c r="BX170" i="12"/>
  <c r="BW170" i="12"/>
  <c r="BV170" i="12"/>
  <c r="BU170" i="12"/>
  <c r="BT170" i="12"/>
  <c r="BR170" i="12"/>
  <c r="BQ170" i="12"/>
  <c r="BP170" i="12"/>
  <c r="BO170" i="12"/>
  <c r="BN170" i="12"/>
  <c r="BL170" i="12"/>
  <c r="BK170" i="12"/>
  <c r="BJ170" i="12"/>
  <c r="BI170" i="12"/>
  <c r="BH170" i="12"/>
  <c r="BG170" i="12"/>
  <c r="BE170" i="12"/>
  <c r="BD170" i="12"/>
  <c r="BC170" i="12"/>
  <c r="BB170" i="12"/>
  <c r="AZ170" i="12"/>
  <c r="AY170" i="12"/>
  <c r="AW170" i="12"/>
  <c r="AV170" i="12"/>
  <c r="AT170" i="12"/>
  <c r="AS170" i="12"/>
  <c r="AP170" i="12"/>
  <c r="AO170" i="12"/>
  <c r="AN170" i="12"/>
  <c r="AI170" i="12"/>
  <c r="AF170" i="12"/>
  <c r="L170" i="12"/>
  <c r="EB170" i="12" s="1"/>
  <c r="C170" i="12"/>
  <c r="G170" i="12" s="1"/>
  <c r="P170" i="12" s="1"/>
  <c r="EC169" i="12"/>
  <c r="DU169" i="12"/>
  <c r="DS169" i="12"/>
  <c r="DR169" i="12"/>
  <c r="DQ169" i="12"/>
  <c r="CN169" i="12"/>
  <c r="CM169" i="12"/>
  <c r="CK169" i="12"/>
  <c r="CJ169" i="12"/>
  <c r="CI169" i="12"/>
  <c r="CG169" i="12"/>
  <c r="CE169" i="12"/>
  <c r="CC169" i="12"/>
  <c r="BX169" i="12"/>
  <c r="BW169" i="12"/>
  <c r="BV169" i="12"/>
  <c r="BU169" i="12"/>
  <c r="BT169" i="12"/>
  <c r="BR169" i="12"/>
  <c r="BQ169" i="12"/>
  <c r="BP169" i="12"/>
  <c r="BO169" i="12"/>
  <c r="BN169" i="12"/>
  <c r="BL169" i="12"/>
  <c r="BK169" i="12"/>
  <c r="BJ169" i="12"/>
  <c r="BI169" i="12"/>
  <c r="BH169" i="12"/>
  <c r="BG169" i="12"/>
  <c r="BE169" i="12"/>
  <c r="BD169" i="12"/>
  <c r="BC169" i="12"/>
  <c r="BB169" i="12"/>
  <c r="AZ169" i="12"/>
  <c r="AY169" i="12"/>
  <c r="AW169" i="12"/>
  <c r="AV169" i="12"/>
  <c r="AT169" i="12"/>
  <c r="AS169" i="12"/>
  <c r="AP169" i="12"/>
  <c r="AO169" i="12"/>
  <c r="AN169" i="12"/>
  <c r="AI169" i="12"/>
  <c r="AF169" i="12"/>
  <c r="L169" i="12"/>
  <c r="EB169" i="12" s="1"/>
  <c r="H169" i="12"/>
  <c r="C169" i="12"/>
  <c r="G169" i="12" s="1"/>
  <c r="P169" i="12" s="1"/>
  <c r="EC168" i="12"/>
  <c r="DU168" i="12"/>
  <c r="DS168" i="12"/>
  <c r="DR168" i="12"/>
  <c r="DQ168" i="12"/>
  <c r="DO168" i="12"/>
  <c r="CN168" i="12"/>
  <c r="CM168" i="12"/>
  <c r="CK168" i="12"/>
  <c r="CJ168" i="12"/>
  <c r="CI168" i="12"/>
  <c r="CG168" i="12"/>
  <c r="CE168" i="12"/>
  <c r="CC168" i="12"/>
  <c r="BX168" i="12"/>
  <c r="BW168" i="12"/>
  <c r="BV168" i="12"/>
  <c r="BU168" i="12"/>
  <c r="BT168" i="12"/>
  <c r="BR168" i="12"/>
  <c r="BQ168" i="12"/>
  <c r="BP168" i="12"/>
  <c r="BO168" i="12"/>
  <c r="BN168" i="12"/>
  <c r="BL168" i="12"/>
  <c r="BK168" i="12"/>
  <c r="BJ168" i="12"/>
  <c r="BI168" i="12"/>
  <c r="BH168" i="12"/>
  <c r="BG168" i="12"/>
  <c r="BE168" i="12"/>
  <c r="BD168" i="12"/>
  <c r="BC168" i="12"/>
  <c r="BB168" i="12"/>
  <c r="AZ168" i="12"/>
  <c r="AY168" i="12"/>
  <c r="AW168" i="12"/>
  <c r="AV168" i="12"/>
  <c r="AT168" i="12"/>
  <c r="AS168" i="12"/>
  <c r="AP168" i="12"/>
  <c r="AO168" i="12"/>
  <c r="AN168" i="12"/>
  <c r="AI168" i="12"/>
  <c r="AF168" i="12"/>
  <c r="R168" i="12"/>
  <c r="L168" i="12"/>
  <c r="EB168" i="12" s="1"/>
  <c r="C168" i="12"/>
  <c r="G168" i="12" s="1"/>
  <c r="P168" i="12" s="1"/>
  <c r="EC167" i="12"/>
  <c r="DU167" i="12"/>
  <c r="DS167" i="12"/>
  <c r="DR167" i="12"/>
  <c r="DQ167" i="12"/>
  <c r="DO167" i="12"/>
  <c r="CN167" i="12"/>
  <c r="CM167" i="12"/>
  <c r="CK167" i="12"/>
  <c r="CJ167" i="12"/>
  <c r="CI167" i="12"/>
  <c r="CG167" i="12"/>
  <c r="CE167" i="12"/>
  <c r="CC167" i="12"/>
  <c r="BX167" i="12"/>
  <c r="BW167" i="12"/>
  <c r="BV167" i="12"/>
  <c r="BU167" i="12"/>
  <c r="BT167" i="12"/>
  <c r="BR167" i="12"/>
  <c r="BQ167" i="12"/>
  <c r="BP167" i="12"/>
  <c r="BO167" i="12"/>
  <c r="BN167" i="12"/>
  <c r="BL167" i="12"/>
  <c r="BK167" i="12"/>
  <c r="BJ167" i="12"/>
  <c r="BI167" i="12"/>
  <c r="BH167" i="12"/>
  <c r="BG167" i="12"/>
  <c r="BE167" i="12"/>
  <c r="BD167" i="12"/>
  <c r="BC167" i="12"/>
  <c r="BB167" i="12"/>
  <c r="AZ167" i="12"/>
  <c r="AY167" i="12"/>
  <c r="AW167" i="12"/>
  <c r="AV167" i="12"/>
  <c r="AT167" i="12"/>
  <c r="AS167" i="12"/>
  <c r="AP167" i="12"/>
  <c r="AO167" i="12"/>
  <c r="AN167" i="12"/>
  <c r="AI167" i="12"/>
  <c r="AF167" i="12"/>
  <c r="R167" i="12"/>
  <c r="L167" i="12"/>
  <c r="EB167" i="12" s="1"/>
  <c r="C167" i="12"/>
  <c r="G167" i="12" s="1"/>
  <c r="P167" i="12" s="1"/>
  <c r="EC166" i="12"/>
  <c r="DU166" i="12"/>
  <c r="DS166" i="12"/>
  <c r="DR166" i="12"/>
  <c r="DQ166" i="12"/>
  <c r="DO166" i="12"/>
  <c r="CN166" i="12"/>
  <c r="CM166" i="12"/>
  <c r="CK166" i="12"/>
  <c r="CJ166" i="12"/>
  <c r="CI166" i="12"/>
  <c r="CG166" i="12"/>
  <c r="CE166" i="12"/>
  <c r="CC166" i="12"/>
  <c r="BX166" i="12"/>
  <c r="BW166" i="12"/>
  <c r="BV166" i="12"/>
  <c r="BU166" i="12"/>
  <c r="BT166" i="12"/>
  <c r="BR166" i="12"/>
  <c r="BQ166" i="12"/>
  <c r="BP166" i="12"/>
  <c r="BO166" i="12"/>
  <c r="BN166" i="12"/>
  <c r="BL166" i="12"/>
  <c r="BK166" i="12"/>
  <c r="BJ166" i="12"/>
  <c r="BI166" i="12"/>
  <c r="BH166" i="12"/>
  <c r="BG166" i="12"/>
  <c r="BE166" i="12"/>
  <c r="BD166" i="12"/>
  <c r="BC166" i="12"/>
  <c r="BB166" i="12"/>
  <c r="AZ166" i="12"/>
  <c r="AY166" i="12"/>
  <c r="AW166" i="12"/>
  <c r="AV166" i="12"/>
  <c r="AT166" i="12"/>
  <c r="AS166" i="12"/>
  <c r="AP166" i="12"/>
  <c r="AO166" i="12"/>
  <c r="AN166" i="12"/>
  <c r="AI166" i="12"/>
  <c r="AF166" i="12"/>
  <c r="R166" i="12"/>
  <c r="L166" i="12"/>
  <c r="EB166" i="12" s="1"/>
  <c r="C166" i="12"/>
  <c r="G166" i="12" s="1"/>
  <c r="P166" i="12" s="1"/>
  <c r="EC165" i="12"/>
  <c r="DU165" i="12"/>
  <c r="DS165" i="12"/>
  <c r="DR165" i="12"/>
  <c r="DQ165" i="12"/>
  <c r="DO165" i="12"/>
  <c r="CN165" i="12"/>
  <c r="CM165" i="12"/>
  <c r="CK165" i="12"/>
  <c r="CJ165" i="12"/>
  <c r="CI165" i="12"/>
  <c r="CG165" i="12"/>
  <c r="CE165" i="12"/>
  <c r="CC165" i="12"/>
  <c r="BX165" i="12"/>
  <c r="BW165" i="12"/>
  <c r="BV165" i="12"/>
  <c r="BU165" i="12"/>
  <c r="BT165" i="12"/>
  <c r="BR165" i="12"/>
  <c r="BQ165" i="12"/>
  <c r="BP165" i="12"/>
  <c r="BO165" i="12"/>
  <c r="BN165" i="12"/>
  <c r="BL165" i="12"/>
  <c r="BK165" i="12"/>
  <c r="BJ165" i="12"/>
  <c r="BI165" i="12"/>
  <c r="BH165" i="12"/>
  <c r="BG165" i="12"/>
  <c r="BE165" i="12"/>
  <c r="BD165" i="12"/>
  <c r="BC165" i="12"/>
  <c r="BB165" i="12"/>
  <c r="AZ165" i="12"/>
  <c r="AY165" i="12"/>
  <c r="AW165" i="12"/>
  <c r="AV165" i="12"/>
  <c r="AT165" i="12"/>
  <c r="AS165" i="12"/>
  <c r="AP165" i="12"/>
  <c r="AO165" i="12"/>
  <c r="AN165" i="12"/>
  <c r="AI165" i="12"/>
  <c r="AF165" i="12"/>
  <c r="R165" i="12"/>
  <c r="L165" i="12"/>
  <c r="EB165" i="12" s="1"/>
  <c r="C165" i="12"/>
  <c r="G165" i="12" s="1"/>
  <c r="P165" i="12" s="1"/>
  <c r="EC164" i="12"/>
  <c r="DU164" i="12"/>
  <c r="DS164" i="12"/>
  <c r="DR164" i="12"/>
  <c r="DQ164" i="12"/>
  <c r="DO164" i="12"/>
  <c r="CN164" i="12"/>
  <c r="CM164" i="12"/>
  <c r="CK164" i="12"/>
  <c r="CJ164" i="12"/>
  <c r="CI164" i="12"/>
  <c r="CG164" i="12"/>
  <c r="CE164" i="12"/>
  <c r="CC164" i="12"/>
  <c r="BX164" i="12"/>
  <c r="BW164" i="12"/>
  <c r="BV164" i="12"/>
  <c r="BU164" i="12"/>
  <c r="BT164" i="12"/>
  <c r="BR164" i="12"/>
  <c r="BQ164" i="12"/>
  <c r="BP164" i="12"/>
  <c r="BO164" i="12"/>
  <c r="BN164" i="12"/>
  <c r="BL164" i="12"/>
  <c r="BK164" i="12"/>
  <c r="BJ164" i="12"/>
  <c r="BI164" i="12"/>
  <c r="BH164" i="12"/>
  <c r="BG164" i="12"/>
  <c r="BE164" i="12"/>
  <c r="BD164" i="12"/>
  <c r="BC164" i="12"/>
  <c r="BB164" i="12"/>
  <c r="AZ164" i="12"/>
  <c r="AY164" i="12"/>
  <c r="AW164" i="12"/>
  <c r="AV164" i="12"/>
  <c r="AT164" i="12"/>
  <c r="AS164" i="12"/>
  <c r="AP164" i="12"/>
  <c r="AO164" i="12"/>
  <c r="AN164" i="12"/>
  <c r="AI164" i="12"/>
  <c r="AF164" i="12"/>
  <c r="R164" i="12"/>
  <c r="L164" i="12"/>
  <c r="EB164" i="12" s="1"/>
  <c r="C164" i="12"/>
  <c r="G164" i="12" s="1"/>
  <c r="P164" i="12" s="1"/>
  <c r="EC163" i="12"/>
  <c r="DU163" i="12"/>
  <c r="DS163" i="12"/>
  <c r="DR163" i="12"/>
  <c r="DQ163" i="12"/>
  <c r="DO163" i="12"/>
  <c r="CN163" i="12"/>
  <c r="CM163" i="12"/>
  <c r="CK163" i="12"/>
  <c r="CJ163" i="12"/>
  <c r="CI163" i="12"/>
  <c r="CG163" i="12"/>
  <c r="CE163" i="12"/>
  <c r="CC163" i="12"/>
  <c r="BX163" i="12"/>
  <c r="BW163" i="12"/>
  <c r="BV163" i="12"/>
  <c r="BU163" i="12"/>
  <c r="BT163" i="12"/>
  <c r="BR163" i="12"/>
  <c r="BQ163" i="12"/>
  <c r="BP163" i="12"/>
  <c r="BO163" i="12"/>
  <c r="BN163" i="12"/>
  <c r="BL163" i="12"/>
  <c r="BK163" i="12"/>
  <c r="BJ163" i="12"/>
  <c r="BI163" i="12"/>
  <c r="BH163" i="12"/>
  <c r="BG163" i="12"/>
  <c r="BE163" i="12"/>
  <c r="BD163" i="12"/>
  <c r="BC163" i="12"/>
  <c r="BB163" i="12"/>
  <c r="AZ163" i="12"/>
  <c r="AY163" i="12"/>
  <c r="AW163" i="12"/>
  <c r="AV163" i="12"/>
  <c r="AT163" i="12"/>
  <c r="AS163" i="12"/>
  <c r="AP163" i="12"/>
  <c r="AO163" i="12"/>
  <c r="AN163" i="12"/>
  <c r="AI163" i="12"/>
  <c r="AF163" i="12"/>
  <c r="R163" i="12"/>
  <c r="L163" i="12"/>
  <c r="EB163" i="12" s="1"/>
  <c r="C163" i="12"/>
  <c r="G163" i="12" s="1"/>
  <c r="P163" i="12" s="1"/>
  <c r="EC162" i="12"/>
  <c r="DU162" i="12"/>
  <c r="DS162" i="12"/>
  <c r="DR162" i="12"/>
  <c r="DQ162" i="12"/>
  <c r="CN162" i="12"/>
  <c r="CM162" i="12"/>
  <c r="CK162" i="12"/>
  <c r="CJ162" i="12"/>
  <c r="CI162" i="12"/>
  <c r="CG162" i="12"/>
  <c r="CE162" i="12"/>
  <c r="CC162" i="12"/>
  <c r="BX162" i="12"/>
  <c r="BW162" i="12"/>
  <c r="BV162" i="12"/>
  <c r="BU162" i="12"/>
  <c r="BT162" i="12"/>
  <c r="BR162" i="12"/>
  <c r="BQ162" i="12"/>
  <c r="BP162" i="12"/>
  <c r="BO162" i="12"/>
  <c r="BN162" i="12"/>
  <c r="BL162" i="12"/>
  <c r="BK162" i="12"/>
  <c r="BJ162" i="12"/>
  <c r="BI162" i="12"/>
  <c r="BH162" i="12"/>
  <c r="BG162" i="12"/>
  <c r="BE162" i="12"/>
  <c r="BD162" i="12"/>
  <c r="BC162" i="12"/>
  <c r="BB162" i="12"/>
  <c r="AZ162" i="12"/>
  <c r="AY162" i="12"/>
  <c r="AW162" i="12"/>
  <c r="AV162" i="12"/>
  <c r="AT162" i="12"/>
  <c r="AS162" i="12"/>
  <c r="AP162" i="12"/>
  <c r="AO162" i="12"/>
  <c r="AN162" i="12"/>
  <c r="AI162" i="12"/>
  <c r="AF162" i="12"/>
  <c r="L162" i="12"/>
  <c r="EB162" i="12" s="1"/>
  <c r="H162" i="12"/>
  <c r="C162" i="12"/>
  <c r="G162" i="12" s="1"/>
  <c r="P162" i="12" s="1"/>
  <c r="EC161" i="12"/>
  <c r="DU161" i="12"/>
  <c r="DS161" i="12"/>
  <c r="DR161" i="12"/>
  <c r="DQ161" i="12"/>
  <c r="DO161" i="12"/>
  <c r="CN161" i="12"/>
  <c r="CM161" i="12"/>
  <c r="CK161" i="12"/>
  <c r="CJ161" i="12"/>
  <c r="CI161" i="12"/>
  <c r="CG161" i="12"/>
  <c r="CE161" i="12"/>
  <c r="CC161" i="12"/>
  <c r="BX161" i="12"/>
  <c r="BW161" i="12"/>
  <c r="BV161" i="12"/>
  <c r="BU161" i="12"/>
  <c r="BT161" i="12"/>
  <c r="BR161" i="12"/>
  <c r="BQ161" i="12"/>
  <c r="BP161" i="12"/>
  <c r="BO161" i="12"/>
  <c r="BN161" i="12"/>
  <c r="BL161" i="12"/>
  <c r="BK161" i="12"/>
  <c r="BJ161" i="12"/>
  <c r="BI161" i="12"/>
  <c r="BH161" i="12"/>
  <c r="BG161" i="12"/>
  <c r="BE161" i="12"/>
  <c r="BD161" i="12"/>
  <c r="BC161" i="12"/>
  <c r="BB161" i="12"/>
  <c r="AZ161" i="12"/>
  <c r="AY161" i="12"/>
  <c r="AW161" i="12"/>
  <c r="AV161" i="12"/>
  <c r="AT161" i="12"/>
  <c r="AS161" i="12"/>
  <c r="AP161" i="12"/>
  <c r="AO161" i="12"/>
  <c r="AN161" i="12"/>
  <c r="AI161" i="12"/>
  <c r="AF161" i="12"/>
  <c r="R161" i="12"/>
  <c r="L161" i="12"/>
  <c r="EB161" i="12" s="1"/>
  <c r="C161" i="12"/>
  <c r="G161" i="12" s="1"/>
  <c r="EC160" i="12"/>
  <c r="DU160" i="12"/>
  <c r="DS160" i="12"/>
  <c r="DR160" i="12"/>
  <c r="DQ160" i="12"/>
  <c r="DO160" i="12"/>
  <c r="CN160" i="12"/>
  <c r="CM160" i="12"/>
  <c r="CK160" i="12"/>
  <c r="CJ160" i="12"/>
  <c r="CI160" i="12"/>
  <c r="CG160" i="12"/>
  <c r="CE160" i="12"/>
  <c r="CC160" i="12"/>
  <c r="BX160" i="12"/>
  <c r="BW160" i="12"/>
  <c r="BV160" i="12"/>
  <c r="BU160" i="12"/>
  <c r="BT160" i="12"/>
  <c r="BR160" i="12"/>
  <c r="BQ160" i="12"/>
  <c r="BP160" i="12"/>
  <c r="BO160" i="12"/>
  <c r="BN160" i="12"/>
  <c r="BL160" i="12"/>
  <c r="BK160" i="12"/>
  <c r="BJ160" i="12"/>
  <c r="BI160" i="12"/>
  <c r="BH160" i="12"/>
  <c r="BG160" i="12"/>
  <c r="BE160" i="12"/>
  <c r="BD160" i="12"/>
  <c r="BC160" i="12"/>
  <c r="BB160" i="12"/>
  <c r="AZ160" i="12"/>
  <c r="AY160" i="12"/>
  <c r="AW160" i="12"/>
  <c r="AV160" i="12"/>
  <c r="AT160" i="12"/>
  <c r="AS160" i="12"/>
  <c r="AP160" i="12"/>
  <c r="AO160" i="12"/>
  <c r="AN160" i="12"/>
  <c r="AI160" i="12"/>
  <c r="AF160" i="12"/>
  <c r="R160" i="12"/>
  <c r="L160" i="12"/>
  <c r="EB160" i="12" s="1"/>
  <c r="C160" i="12"/>
  <c r="G160" i="12" s="1"/>
  <c r="EC159" i="12"/>
  <c r="DU159" i="12"/>
  <c r="DS159" i="12"/>
  <c r="DR159" i="12"/>
  <c r="DQ159" i="12"/>
  <c r="DO159" i="12"/>
  <c r="CN159" i="12"/>
  <c r="CM159" i="12"/>
  <c r="CK159" i="12"/>
  <c r="CJ159" i="12"/>
  <c r="CI159" i="12"/>
  <c r="CG159" i="12"/>
  <c r="CE159" i="12"/>
  <c r="CC159" i="12"/>
  <c r="BX159" i="12"/>
  <c r="BW159" i="12"/>
  <c r="BV159" i="12"/>
  <c r="BU159" i="12"/>
  <c r="BT159" i="12"/>
  <c r="BR159" i="12"/>
  <c r="BQ159" i="12"/>
  <c r="BP159" i="12"/>
  <c r="BO159" i="12"/>
  <c r="BN159" i="12"/>
  <c r="BL159" i="12"/>
  <c r="BK159" i="12"/>
  <c r="BJ159" i="12"/>
  <c r="BI159" i="12"/>
  <c r="BH159" i="12"/>
  <c r="BG159" i="12"/>
  <c r="BE159" i="12"/>
  <c r="BD159" i="12"/>
  <c r="BC159" i="12"/>
  <c r="BB159" i="12"/>
  <c r="AZ159" i="12"/>
  <c r="AY159" i="12"/>
  <c r="AW159" i="12"/>
  <c r="AV159" i="12"/>
  <c r="AT159" i="12"/>
  <c r="AS159" i="12"/>
  <c r="AP159" i="12"/>
  <c r="AO159" i="12"/>
  <c r="AN159" i="12"/>
  <c r="AI159" i="12"/>
  <c r="AF159" i="12"/>
  <c r="R159" i="12"/>
  <c r="L159" i="12"/>
  <c r="EB159" i="12" s="1"/>
  <c r="C159" i="12"/>
  <c r="G159" i="12" s="1"/>
  <c r="EC158" i="12"/>
  <c r="DU158" i="12"/>
  <c r="DS158" i="12"/>
  <c r="DR158" i="12"/>
  <c r="DQ158" i="12"/>
  <c r="CN158" i="12"/>
  <c r="CM158" i="12"/>
  <c r="CK158" i="12"/>
  <c r="CJ158" i="12"/>
  <c r="CI158" i="12"/>
  <c r="CG158" i="12"/>
  <c r="CE158" i="12"/>
  <c r="CC158" i="12"/>
  <c r="BX158" i="12"/>
  <c r="BW158" i="12"/>
  <c r="BV158" i="12"/>
  <c r="BU158" i="12"/>
  <c r="BT158" i="12"/>
  <c r="BR158" i="12"/>
  <c r="BQ158" i="12"/>
  <c r="BP158" i="12"/>
  <c r="BO158" i="12"/>
  <c r="BN158" i="12"/>
  <c r="BL158" i="12"/>
  <c r="BK158" i="12"/>
  <c r="BJ158" i="12"/>
  <c r="BI158" i="12"/>
  <c r="BH158" i="12"/>
  <c r="BG158" i="12"/>
  <c r="BE158" i="12"/>
  <c r="BD158" i="12"/>
  <c r="BC158" i="12"/>
  <c r="BB158" i="12"/>
  <c r="AZ158" i="12"/>
  <c r="AY158" i="12"/>
  <c r="AW158" i="12"/>
  <c r="AV158" i="12"/>
  <c r="AT158" i="12"/>
  <c r="AS158" i="12"/>
  <c r="AP158" i="12"/>
  <c r="AO158" i="12"/>
  <c r="AN158" i="12"/>
  <c r="AI158" i="12"/>
  <c r="AF158" i="12"/>
  <c r="L158" i="12"/>
  <c r="EB158" i="12" s="1"/>
  <c r="C158" i="12"/>
  <c r="G158" i="12" s="1"/>
  <c r="P158" i="12" s="1"/>
  <c r="EC157" i="12"/>
  <c r="DU157" i="12"/>
  <c r="DS157" i="12"/>
  <c r="DR157" i="12"/>
  <c r="DQ157" i="12"/>
  <c r="CN157" i="12"/>
  <c r="CM157" i="12"/>
  <c r="CK157" i="12"/>
  <c r="CJ157" i="12"/>
  <c r="CI157" i="12"/>
  <c r="CG157" i="12"/>
  <c r="CE157" i="12"/>
  <c r="CC157" i="12"/>
  <c r="BX157" i="12"/>
  <c r="BW157" i="12"/>
  <c r="BV157" i="12"/>
  <c r="BU157" i="12"/>
  <c r="BT157" i="12"/>
  <c r="BR157" i="12"/>
  <c r="BQ157" i="12"/>
  <c r="BP157" i="12"/>
  <c r="BO157" i="12"/>
  <c r="BN157" i="12"/>
  <c r="BL157" i="12"/>
  <c r="BK157" i="12"/>
  <c r="BJ157" i="12"/>
  <c r="BI157" i="12"/>
  <c r="BH157" i="12"/>
  <c r="BG157" i="12"/>
  <c r="BE157" i="12"/>
  <c r="BD157" i="12"/>
  <c r="BC157" i="12"/>
  <c r="BB157" i="12"/>
  <c r="AZ157" i="12"/>
  <c r="AY157" i="12"/>
  <c r="AW157" i="12"/>
  <c r="AV157" i="12"/>
  <c r="AT157" i="12"/>
  <c r="AS157" i="12"/>
  <c r="AP157" i="12"/>
  <c r="AO157" i="12"/>
  <c r="AN157" i="12"/>
  <c r="AI157" i="12"/>
  <c r="AF157" i="12"/>
  <c r="L157" i="12"/>
  <c r="EB157" i="12" s="1"/>
  <c r="C157" i="12"/>
  <c r="G157" i="12" s="1"/>
  <c r="EC156" i="12"/>
  <c r="DU156" i="12"/>
  <c r="DS156" i="12"/>
  <c r="DR156" i="12"/>
  <c r="DQ156" i="12"/>
  <c r="DO156" i="12"/>
  <c r="CN156" i="12"/>
  <c r="CM156" i="12"/>
  <c r="CK156" i="12"/>
  <c r="CJ156" i="12"/>
  <c r="CI156" i="12"/>
  <c r="CG156" i="12"/>
  <c r="CE156" i="12"/>
  <c r="CC156" i="12"/>
  <c r="BX156" i="12"/>
  <c r="BW156" i="12"/>
  <c r="BV156" i="12"/>
  <c r="BU156" i="12"/>
  <c r="BT156" i="12"/>
  <c r="BR156" i="12"/>
  <c r="BQ156" i="12"/>
  <c r="BP156" i="12"/>
  <c r="BO156" i="12"/>
  <c r="BN156" i="12"/>
  <c r="BL156" i="12"/>
  <c r="BK156" i="12"/>
  <c r="BJ156" i="12"/>
  <c r="BI156" i="12"/>
  <c r="BH156" i="12"/>
  <c r="BG156" i="12"/>
  <c r="BE156" i="12"/>
  <c r="BD156" i="12"/>
  <c r="BC156" i="12"/>
  <c r="BB156" i="12"/>
  <c r="AZ156" i="12"/>
  <c r="AY156" i="12"/>
  <c r="AW156" i="12"/>
  <c r="AV156" i="12"/>
  <c r="AT156" i="12"/>
  <c r="AS156" i="12"/>
  <c r="AP156" i="12"/>
  <c r="AO156" i="12"/>
  <c r="AN156" i="12"/>
  <c r="AI156" i="12"/>
  <c r="AF156" i="12"/>
  <c r="R156" i="12"/>
  <c r="L156" i="12"/>
  <c r="EB156" i="12" s="1"/>
  <c r="C156" i="12"/>
  <c r="G156" i="12" s="1"/>
  <c r="P156" i="12" s="1"/>
  <c r="EC155" i="12"/>
  <c r="DU155" i="12"/>
  <c r="DS155" i="12"/>
  <c r="DR155" i="12"/>
  <c r="DQ155" i="12"/>
  <c r="DO155" i="12"/>
  <c r="CN155" i="12"/>
  <c r="CM155" i="12"/>
  <c r="CK155" i="12"/>
  <c r="CJ155" i="12"/>
  <c r="CI155" i="12"/>
  <c r="CG155" i="12"/>
  <c r="CE155" i="12"/>
  <c r="CC155" i="12"/>
  <c r="BX155" i="12"/>
  <c r="BW155" i="12"/>
  <c r="BV155" i="12"/>
  <c r="BU155" i="12"/>
  <c r="BT155" i="12"/>
  <c r="BR155" i="12"/>
  <c r="BQ155" i="12"/>
  <c r="BP155" i="12"/>
  <c r="BO155" i="12"/>
  <c r="BN155" i="12"/>
  <c r="BL155" i="12"/>
  <c r="BK155" i="12"/>
  <c r="BJ155" i="12"/>
  <c r="BI155" i="12"/>
  <c r="BH155" i="12"/>
  <c r="BG155" i="12"/>
  <c r="BE155" i="12"/>
  <c r="BD155" i="12"/>
  <c r="BC155" i="12"/>
  <c r="BB155" i="12"/>
  <c r="AZ155" i="12"/>
  <c r="AY155" i="12"/>
  <c r="AW155" i="12"/>
  <c r="AV155" i="12"/>
  <c r="AT155" i="12"/>
  <c r="AS155" i="12"/>
  <c r="AP155" i="12"/>
  <c r="AO155" i="12"/>
  <c r="AN155" i="12"/>
  <c r="AI155" i="12"/>
  <c r="AF155" i="12"/>
  <c r="R155" i="12"/>
  <c r="L155" i="12"/>
  <c r="EB155" i="12" s="1"/>
  <c r="C155" i="12"/>
  <c r="G155" i="12" s="1"/>
  <c r="N155" i="12" s="1"/>
  <c r="EC154" i="12"/>
  <c r="DU154" i="12"/>
  <c r="DS154" i="12"/>
  <c r="DR154" i="12"/>
  <c r="DQ154" i="12"/>
  <c r="DO154" i="12"/>
  <c r="CN154" i="12"/>
  <c r="CM154" i="12"/>
  <c r="CK154" i="12"/>
  <c r="CJ154" i="12"/>
  <c r="CI154" i="12"/>
  <c r="CG154" i="12"/>
  <c r="CE154" i="12"/>
  <c r="CC154" i="12"/>
  <c r="BX154" i="12"/>
  <c r="BW154" i="12"/>
  <c r="BV154" i="12"/>
  <c r="BU154" i="12"/>
  <c r="BT154" i="12"/>
  <c r="BR154" i="12"/>
  <c r="BQ154" i="12"/>
  <c r="BP154" i="12"/>
  <c r="BO154" i="12"/>
  <c r="BN154" i="12"/>
  <c r="BL154" i="12"/>
  <c r="BK154" i="12"/>
  <c r="BJ154" i="12"/>
  <c r="BI154" i="12"/>
  <c r="BH154" i="12"/>
  <c r="BG154" i="12"/>
  <c r="BE154" i="12"/>
  <c r="BD154" i="12"/>
  <c r="BC154" i="12"/>
  <c r="BB154" i="12"/>
  <c r="AZ154" i="12"/>
  <c r="AY154" i="12"/>
  <c r="AW154" i="12"/>
  <c r="AV154" i="12"/>
  <c r="AT154" i="12"/>
  <c r="AS154" i="12"/>
  <c r="AP154" i="12"/>
  <c r="AO154" i="12"/>
  <c r="AN154" i="12"/>
  <c r="AI154" i="12"/>
  <c r="AF154" i="12"/>
  <c r="R154" i="12"/>
  <c r="L154" i="12"/>
  <c r="EB154" i="12" s="1"/>
  <c r="C154" i="12"/>
  <c r="G154" i="12" s="1"/>
  <c r="H154" i="12" s="1"/>
  <c r="EC153" i="12"/>
  <c r="DU153" i="12"/>
  <c r="DS153" i="12"/>
  <c r="DR153" i="12"/>
  <c r="DQ153" i="12"/>
  <c r="DO153" i="12"/>
  <c r="CN153" i="12"/>
  <c r="CM153" i="12"/>
  <c r="CK153" i="12"/>
  <c r="CJ153" i="12"/>
  <c r="CI153" i="12"/>
  <c r="CG153" i="12"/>
  <c r="CE153" i="12"/>
  <c r="CC153" i="12"/>
  <c r="BX153" i="12"/>
  <c r="BW153" i="12"/>
  <c r="BV153" i="12"/>
  <c r="BU153" i="12"/>
  <c r="BT153" i="12"/>
  <c r="BR153" i="12"/>
  <c r="BQ153" i="12"/>
  <c r="BP153" i="12"/>
  <c r="BO153" i="12"/>
  <c r="BN153" i="12"/>
  <c r="BL153" i="12"/>
  <c r="BK153" i="12"/>
  <c r="BJ153" i="12"/>
  <c r="BI153" i="12"/>
  <c r="BH153" i="12"/>
  <c r="BG153" i="12"/>
  <c r="BE153" i="12"/>
  <c r="BD153" i="12"/>
  <c r="BC153" i="12"/>
  <c r="BB153" i="12"/>
  <c r="AZ153" i="12"/>
  <c r="AY153" i="12"/>
  <c r="AW153" i="12"/>
  <c r="AV153" i="12"/>
  <c r="AT153" i="12"/>
  <c r="AS153" i="12"/>
  <c r="AP153" i="12"/>
  <c r="AO153" i="12"/>
  <c r="AN153" i="12"/>
  <c r="AI153" i="12"/>
  <c r="AF153" i="12"/>
  <c r="R153" i="12"/>
  <c r="L153" i="12"/>
  <c r="EB153" i="12" s="1"/>
  <c r="C153" i="12"/>
  <c r="G153" i="12" s="1"/>
  <c r="EC152" i="12"/>
  <c r="DU152" i="12"/>
  <c r="DS152" i="12"/>
  <c r="DR152" i="12"/>
  <c r="DQ152" i="12"/>
  <c r="DO152" i="12"/>
  <c r="CN152" i="12"/>
  <c r="CM152" i="12"/>
  <c r="CK152" i="12"/>
  <c r="CJ152" i="12"/>
  <c r="CI152" i="12"/>
  <c r="CG152" i="12"/>
  <c r="CE152" i="12"/>
  <c r="CC152" i="12"/>
  <c r="BX152" i="12"/>
  <c r="BW152" i="12"/>
  <c r="BV152" i="12"/>
  <c r="BU152" i="12"/>
  <c r="BT152" i="12"/>
  <c r="BR152" i="12"/>
  <c r="BQ152" i="12"/>
  <c r="BP152" i="12"/>
  <c r="BO152" i="12"/>
  <c r="BN152" i="12"/>
  <c r="BL152" i="12"/>
  <c r="BK152" i="12"/>
  <c r="BJ152" i="12"/>
  <c r="BI152" i="12"/>
  <c r="BH152" i="12"/>
  <c r="BG152" i="12"/>
  <c r="BE152" i="12"/>
  <c r="BD152" i="12"/>
  <c r="BC152" i="12"/>
  <c r="BB152" i="12"/>
  <c r="AZ152" i="12"/>
  <c r="AY152" i="12"/>
  <c r="AW152" i="12"/>
  <c r="AV152" i="12"/>
  <c r="AT152" i="12"/>
  <c r="AS152" i="12"/>
  <c r="AP152" i="12"/>
  <c r="AO152" i="12"/>
  <c r="AN152" i="12"/>
  <c r="AI152" i="12"/>
  <c r="AF152" i="12"/>
  <c r="R152" i="12"/>
  <c r="L152" i="12"/>
  <c r="EB152" i="12" s="1"/>
  <c r="C152" i="12"/>
  <c r="G152" i="12" s="1"/>
  <c r="P152" i="12" s="1"/>
  <c r="EC151" i="12"/>
  <c r="DU151" i="12"/>
  <c r="DS151" i="12"/>
  <c r="DR151" i="12"/>
  <c r="DQ151" i="12"/>
  <c r="DO151" i="12"/>
  <c r="CN151" i="12"/>
  <c r="CM151" i="12"/>
  <c r="CK151" i="12"/>
  <c r="CJ151" i="12"/>
  <c r="CI151" i="12"/>
  <c r="CG151" i="12"/>
  <c r="CE151" i="12"/>
  <c r="CC151" i="12"/>
  <c r="BX151" i="12"/>
  <c r="BW151" i="12"/>
  <c r="BV151" i="12"/>
  <c r="BU151" i="12"/>
  <c r="BT151" i="12"/>
  <c r="BR151" i="12"/>
  <c r="BQ151" i="12"/>
  <c r="BP151" i="12"/>
  <c r="BO151" i="12"/>
  <c r="BN151" i="12"/>
  <c r="BL151" i="12"/>
  <c r="BK151" i="12"/>
  <c r="BJ151" i="12"/>
  <c r="BI151" i="12"/>
  <c r="BH151" i="12"/>
  <c r="BG151" i="12"/>
  <c r="BE151" i="12"/>
  <c r="BD151" i="12"/>
  <c r="BC151" i="12"/>
  <c r="BB151" i="12"/>
  <c r="AZ151" i="12"/>
  <c r="AY151" i="12"/>
  <c r="AW151" i="12"/>
  <c r="AV151" i="12"/>
  <c r="AT151" i="12"/>
  <c r="AS151" i="12"/>
  <c r="AP151" i="12"/>
  <c r="AO151" i="12"/>
  <c r="AN151" i="12"/>
  <c r="AI151" i="12"/>
  <c r="AF151" i="12"/>
  <c r="R151" i="12"/>
  <c r="L151" i="12"/>
  <c r="EB151" i="12" s="1"/>
  <c r="C151" i="12"/>
  <c r="G151" i="12" s="1"/>
  <c r="EC150" i="12"/>
  <c r="DU150" i="12"/>
  <c r="DS150" i="12"/>
  <c r="DR150" i="12"/>
  <c r="DQ150" i="12"/>
  <c r="DO150" i="12"/>
  <c r="CN150" i="12"/>
  <c r="CM150" i="12"/>
  <c r="CK150" i="12"/>
  <c r="CJ150" i="12"/>
  <c r="CI150" i="12"/>
  <c r="CG150" i="12"/>
  <c r="CE150" i="12"/>
  <c r="CC150" i="12"/>
  <c r="BX150" i="12"/>
  <c r="BW150" i="12"/>
  <c r="BV150" i="12"/>
  <c r="BU150" i="12"/>
  <c r="BT150" i="12"/>
  <c r="BR150" i="12"/>
  <c r="BQ150" i="12"/>
  <c r="BP150" i="12"/>
  <c r="BO150" i="12"/>
  <c r="BN150" i="12"/>
  <c r="BL150" i="12"/>
  <c r="BK150" i="12"/>
  <c r="BJ150" i="12"/>
  <c r="BI150" i="12"/>
  <c r="BH150" i="12"/>
  <c r="BG150" i="12"/>
  <c r="BE150" i="12"/>
  <c r="BD150" i="12"/>
  <c r="BC150" i="12"/>
  <c r="BB150" i="12"/>
  <c r="AZ150" i="12"/>
  <c r="AY150" i="12"/>
  <c r="AW150" i="12"/>
  <c r="AV150" i="12"/>
  <c r="AT150" i="12"/>
  <c r="AS150" i="12"/>
  <c r="AP150" i="12"/>
  <c r="AO150" i="12"/>
  <c r="AN150" i="12"/>
  <c r="AI150" i="12"/>
  <c r="AF150" i="12"/>
  <c r="R150" i="12"/>
  <c r="L150" i="12"/>
  <c r="EB150" i="12" s="1"/>
  <c r="C150" i="12"/>
  <c r="G150" i="12" s="1"/>
  <c r="P150" i="12" s="1"/>
  <c r="EC149" i="12"/>
  <c r="DU149" i="12"/>
  <c r="DS149" i="12"/>
  <c r="DR149" i="12"/>
  <c r="DQ149" i="12"/>
  <c r="DO149" i="12"/>
  <c r="CN149" i="12"/>
  <c r="CM149" i="12"/>
  <c r="CK149" i="12"/>
  <c r="CJ149" i="12"/>
  <c r="CI149" i="12"/>
  <c r="CG149" i="12"/>
  <c r="CE149" i="12"/>
  <c r="CC149" i="12"/>
  <c r="BX149" i="12"/>
  <c r="BW149" i="12"/>
  <c r="BV149" i="12"/>
  <c r="BU149" i="12"/>
  <c r="BT149" i="12"/>
  <c r="BR149" i="12"/>
  <c r="BQ149" i="12"/>
  <c r="BP149" i="12"/>
  <c r="BO149" i="12"/>
  <c r="BN149" i="12"/>
  <c r="BL149" i="12"/>
  <c r="BK149" i="12"/>
  <c r="BJ149" i="12"/>
  <c r="BI149" i="12"/>
  <c r="BH149" i="12"/>
  <c r="BG149" i="12"/>
  <c r="BE149" i="12"/>
  <c r="BD149" i="12"/>
  <c r="BC149" i="12"/>
  <c r="BB149" i="12"/>
  <c r="AZ149" i="12"/>
  <c r="AY149" i="12"/>
  <c r="AW149" i="12"/>
  <c r="AV149" i="12"/>
  <c r="AT149" i="12"/>
  <c r="AS149" i="12"/>
  <c r="AP149" i="12"/>
  <c r="AO149" i="12"/>
  <c r="AN149" i="12"/>
  <c r="AI149" i="12"/>
  <c r="AF149" i="12"/>
  <c r="R149" i="12"/>
  <c r="L149" i="12"/>
  <c r="EB149" i="12" s="1"/>
  <c r="C149" i="12"/>
  <c r="G149" i="12" s="1"/>
  <c r="EC148" i="12"/>
  <c r="DU148" i="12"/>
  <c r="DS148" i="12"/>
  <c r="DR148" i="12"/>
  <c r="DQ148" i="12"/>
  <c r="CN148" i="12"/>
  <c r="CM148" i="12"/>
  <c r="CK148" i="12"/>
  <c r="CJ148" i="12"/>
  <c r="CI148" i="12"/>
  <c r="CG148" i="12"/>
  <c r="CE148" i="12"/>
  <c r="CC148" i="12"/>
  <c r="BX148" i="12"/>
  <c r="BW148" i="12"/>
  <c r="BV148" i="12"/>
  <c r="BU148" i="12"/>
  <c r="BT148" i="12"/>
  <c r="BR148" i="12"/>
  <c r="BQ148" i="12"/>
  <c r="BP148" i="12"/>
  <c r="BO148" i="12"/>
  <c r="BN148" i="12"/>
  <c r="BL148" i="12"/>
  <c r="BK148" i="12"/>
  <c r="BJ148" i="12"/>
  <c r="BI148" i="12"/>
  <c r="BH148" i="12"/>
  <c r="BG148" i="12"/>
  <c r="BE148" i="12"/>
  <c r="BD148" i="12"/>
  <c r="BC148" i="12"/>
  <c r="BB148" i="12"/>
  <c r="AZ148" i="12"/>
  <c r="AY148" i="12"/>
  <c r="AW148" i="12"/>
  <c r="AV148" i="12"/>
  <c r="AT148" i="12"/>
  <c r="AS148" i="12"/>
  <c r="AP148" i="12"/>
  <c r="AO148" i="12"/>
  <c r="AN148" i="12"/>
  <c r="AI148" i="12"/>
  <c r="AF148" i="12"/>
  <c r="L148" i="12"/>
  <c r="EB148" i="12" s="1"/>
  <c r="C148" i="12"/>
  <c r="G148" i="12" s="1"/>
  <c r="P148" i="12" s="1"/>
  <c r="EC147" i="12"/>
  <c r="DY147" i="12" s="1"/>
  <c r="DU147" i="12"/>
  <c r="DS147" i="12"/>
  <c r="DR147" i="12"/>
  <c r="DQ147" i="12"/>
  <c r="CN147" i="12"/>
  <c r="CM147" i="12"/>
  <c r="CK147" i="12"/>
  <c r="CJ147" i="12"/>
  <c r="CI147" i="12"/>
  <c r="CG147" i="12"/>
  <c r="CE147" i="12"/>
  <c r="CC147" i="12"/>
  <c r="BX147" i="12"/>
  <c r="BW147" i="12"/>
  <c r="BV147" i="12"/>
  <c r="BU147" i="12"/>
  <c r="BT147" i="12"/>
  <c r="BR147" i="12"/>
  <c r="BQ147" i="12"/>
  <c r="BP147" i="12"/>
  <c r="BO147" i="12"/>
  <c r="BN147" i="12"/>
  <c r="BL147" i="12"/>
  <c r="BK147" i="12"/>
  <c r="BJ147" i="12"/>
  <c r="BI147" i="12"/>
  <c r="BH147" i="12"/>
  <c r="BG147" i="12"/>
  <c r="BE147" i="12"/>
  <c r="BD147" i="12"/>
  <c r="BC147" i="12"/>
  <c r="BB147" i="12"/>
  <c r="AZ147" i="12"/>
  <c r="AY147" i="12"/>
  <c r="AX147" i="12" s="1"/>
  <c r="AW147" i="12"/>
  <c r="AV147" i="12"/>
  <c r="AT147" i="12"/>
  <c r="AS147" i="12"/>
  <c r="AP147" i="12"/>
  <c r="AO147" i="12"/>
  <c r="AN147" i="12"/>
  <c r="AI147" i="12"/>
  <c r="AF147" i="12"/>
  <c r="L147" i="12"/>
  <c r="EB147" i="12" s="1"/>
  <c r="C147" i="12"/>
  <c r="G147" i="12" s="1"/>
  <c r="P147" i="12" s="1"/>
  <c r="EC146" i="12"/>
  <c r="DU146" i="12"/>
  <c r="DS146" i="12"/>
  <c r="DR146" i="12"/>
  <c r="DQ146" i="12"/>
  <c r="CN146" i="12"/>
  <c r="CM146" i="12"/>
  <c r="CK146" i="12"/>
  <c r="CJ146" i="12"/>
  <c r="CI146" i="12"/>
  <c r="CG146" i="12"/>
  <c r="CE146" i="12"/>
  <c r="CC146" i="12"/>
  <c r="BX146" i="12"/>
  <c r="BW146" i="12"/>
  <c r="BV146" i="12"/>
  <c r="BU146" i="12"/>
  <c r="BT146" i="12"/>
  <c r="BR146" i="12"/>
  <c r="BQ146" i="12"/>
  <c r="BP146" i="12"/>
  <c r="BO146" i="12"/>
  <c r="BN146" i="12"/>
  <c r="BL146" i="12"/>
  <c r="BK146" i="12"/>
  <c r="BJ146" i="12"/>
  <c r="BI146" i="12"/>
  <c r="BH146" i="12"/>
  <c r="BG146" i="12"/>
  <c r="BE146" i="12"/>
  <c r="BD146" i="12"/>
  <c r="BC146" i="12"/>
  <c r="BB146" i="12"/>
  <c r="AZ146" i="12"/>
  <c r="AY146" i="12"/>
  <c r="AW146" i="12"/>
  <c r="AV146" i="12"/>
  <c r="AT146" i="12"/>
  <c r="AS146" i="12"/>
  <c r="AP146" i="12"/>
  <c r="AO146" i="12"/>
  <c r="AN146" i="12"/>
  <c r="AI146" i="12"/>
  <c r="AF146" i="12"/>
  <c r="L146" i="12"/>
  <c r="EB146" i="12" s="1"/>
  <c r="C146" i="12"/>
  <c r="G146" i="12" s="1"/>
  <c r="EC145" i="12"/>
  <c r="DU145" i="12"/>
  <c r="DS145" i="12"/>
  <c r="DR145" i="12"/>
  <c r="DQ145" i="12"/>
  <c r="CN145" i="12"/>
  <c r="CM145" i="12"/>
  <c r="CK145" i="12"/>
  <c r="CJ145" i="12"/>
  <c r="CI145" i="12"/>
  <c r="CG145" i="12"/>
  <c r="CE145" i="12"/>
  <c r="CC145" i="12"/>
  <c r="BX145" i="12"/>
  <c r="BW145" i="12"/>
  <c r="BV145" i="12"/>
  <c r="BU145" i="12"/>
  <c r="BT145" i="12"/>
  <c r="BR145" i="12"/>
  <c r="BQ145" i="12"/>
  <c r="BP145" i="12"/>
  <c r="BO145" i="12"/>
  <c r="BN145" i="12"/>
  <c r="BL145" i="12"/>
  <c r="BK145" i="12"/>
  <c r="BJ145" i="12"/>
  <c r="BI145" i="12"/>
  <c r="BH145" i="12"/>
  <c r="BG145" i="12"/>
  <c r="BE145" i="12"/>
  <c r="BD145" i="12"/>
  <c r="BC145" i="12"/>
  <c r="BB145" i="12"/>
  <c r="AZ145" i="12"/>
  <c r="AY145" i="12"/>
  <c r="AW145" i="12"/>
  <c r="AV145" i="12"/>
  <c r="AT145" i="12"/>
  <c r="AS145" i="12"/>
  <c r="AP145" i="12"/>
  <c r="AO145" i="12"/>
  <c r="AN145" i="12"/>
  <c r="AI145" i="12"/>
  <c r="AF145" i="12"/>
  <c r="L145" i="12"/>
  <c r="EB145" i="12" s="1"/>
  <c r="C145" i="12"/>
  <c r="G145" i="12" s="1"/>
  <c r="N145" i="12" s="1"/>
  <c r="EC144" i="12"/>
  <c r="DU144" i="12"/>
  <c r="DS144" i="12"/>
  <c r="DR144" i="12"/>
  <c r="DQ144" i="12"/>
  <c r="CN144" i="12"/>
  <c r="CM144" i="12"/>
  <c r="CK144" i="12"/>
  <c r="CJ144" i="12"/>
  <c r="CI144" i="12"/>
  <c r="CG144" i="12"/>
  <c r="CE144" i="12"/>
  <c r="CC144" i="12"/>
  <c r="BX144" i="12"/>
  <c r="BW144" i="12"/>
  <c r="BV144" i="12"/>
  <c r="BU144" i="12"/>
  <c r="BT144" i="12"/>
  <c r="BR144" i="12"/>
  <c r="BQ144" i="12"/>
  <c r="BP144" i="12"/>
  <c r="BO144" i="12"/>
  <c r="BN144" i="12"/>
  <c r="BL144" i="12"/>
  <c r="BK144" i="12"/>
  <c r="BJ144" i="12"/>
  <c r="BI144" i="12"/>
  <c r="BH144" i="12"/>
  <c r="BG144" i="12"/>
  <c r="BE144" i="12"/>
  <c r="BD144" i="12"/>
  <c r="BC144" i="12"/>
  <c r="BB144" i="12"/>
  <c r="AZ144" i="12"/>
  <c r="AY144" i="12"/>
  <c r="AW144" i="12"/>
  <c r="AV144" i="12"/>
  <c r="AT144" i="12"/>
  <c r="AS144" i="12"/>
  <c r="AP144" i="12"/>
  <c r="AO144" i="12"/>
  <c r="AN144" i="12"/>
  <c r="AI144" i="12"/>
  <c r="AF144" i="12"/>
  <c r="L144" i="12"/>
  <c r="EB144" i="12" s="1"/>
  <c r="C144" i="12"/>
  <c r="G144" i="12" s="1"/>
  <c r="N144" i="12" s="1"/>
  <c r="EC143" i="12"/>
  <c r="DU143" i="12"/>
  <c r="DS143" i="12"/>
  <c r="DR143" i="12"/>
  <c r="DQ143" i="12"/>
  <c r="CN143" i="12"/>
  <c r="CM143" i="12"/>
  <c r="CK143" i="12"/>
  <c r="CJ143" i="12"/>
  <c r="CI143" i="12"/>
  <c r="CG143" i="12"/>
  <c r="CE143" i="12"/>
  <c r="CC143" i="12"/>
  <c r="BX143" i="12"/>
  <c r="BW143" i="12"/>
  <c r="BV143" i="12"/>
  <c r="BU143" i="12"/>
  <c r="BT143" i="12"/>
  <c r="BR143" i="12"/>
  <c r="BQ143" i="12"/>
  <c r="BP143" i="12"/>
  <c r="BO143" i="12"/>
  <c r="BN143" i="12"/>
  <c r="BL143" i="12"/>
  <c r="BK143" i="12"/>
  <c r="BJ143" i="12"/>
  <c r="BI143" i="12"/>
  <c r="BH143" i="12"/>
  <c r="BG143" i="12"/>
  <c r="BE143" i="12"/>
  <c r="BD143" i="12"/>
  <c r="BC143" i="12"/>
  <c r="BB143" i="12"/>
  <c r="AZ143" i="12"/>
  <c r="AY143" i="12"/>
  <c r="AW143" i="12"/>
  <c r="AV143" i="12"/>
  <c r="AT143" i="12"/>
  <c r="AS143" i="12"/>
  <c r="AP143" i="12"/>
  <c r="AO143" i="12"/>
  <c r="AN143" i="12"/>
  <c r="AI143" i="12"/>
  <c r="AF143" i="12"/>
  <c r="L143" i="12"/>
  <c r="EB143" i="12" s="1"/>
  <c r="C143" i="12"/>
  <c r="G143" i="12" s="1"/>
  <c r="EC142" i="12"/>
  <c r="DU142" i="12"/>
  <c r="DS142" i="12"/>
  <c r="DR142" i="12"/>
  <c r="DQ142" i="12"/>
  <c r="DO142" i="12"/>
  <c r="CN142" i="12"/>
  <c r="CM142" i="12"/>
  <c r="CK142" i="12"/>
  <c r="CJ142" i="12"/>
  <c r="CI142" i="12"/>
  <c r="CG142" i="12"/>
  <c r="CE142" i="12"/>
  <c r="CC142" i="12"/>
  <c r="BX142" i="12"/>
  <c r="BW142" i="12"/>
  <c r="BV142" i="12"/>
  <c r="BU142" i="12"/>
  <c r="BT142" i="12"/>
  <c r="BR142" i="12"/>
  <c r="BQ142" i="12"/>
  <c r="BP142" i="12"/>
  <c r="BO142" i="12"/>
  <c r="BN142" i="12"/>
  <c r="BL142" i="12"/>
  <c r="BK142" i="12"/>
  <c r="BJ142" i="12"/>
  <c r="BI142" i="12"/>
  <c r="BH142" i="12"/>
  <c r="BG142" i="12"/>
  <c r="BE142" i="12"/>
  <c r="BD142" i="12"/>
  <c r="BC142" i="12"/>
  <c r="BB142" i="12"/>
  <c r="AZ142" i="12"/>
  <c r="AY142" i="12"/>
  <c r="AW142" i="12"/>
  <c r="AV142" i="12"/>
  <c r="AT142" i="12"/>
  <c r="AS142" i="12"/>
  <c r="AP142" i="12"/>
  <c r="AO142" i="12"/>
  <c r="AN142" i="12"/>
  <c r="AI142" i="12"/>
  <c r="AF142" i="12"/>
  <c r="R142" i="12"/>
  <c r="L142" i="12"/>
  <c r="EB142" i="12" s="1"/>
  <c r="C142" i="12"/>
  <c r="G142" i="12" s="1"/>
  <c r="N142" i="12" s="1"/>
  <c r="EC141" i="12"/>
  <c r="DU141" i="12"/>
  <c r="DS141" i="12"/>
  <c r="DR141" i="12"/>
  <c r="DQ141" i="12"/>
  <c r="CN141" i="12"/>
  <c r="CM141" i="12"/>
  <c r="CK141" i="12"/>
  <c r="CJ141" i="12"/>
  <c r="CI141" i="12"/>
  <c r="CG141" i="12"/>
  <c r="CE141" i="12"/>
  <c r="CC141" i="12"/>
  <c r="BX141" i="12"/>
  <c r="BW141" i="12"/>
  <c r="BV141" i="12"/>
  <c r="BU141" i="12"/>
  <c r="BT141" i="12"/>
  <c r="BR141" i="12"/>
  <c r="BQ141" i="12"/>
  <c r="BP141" i="12"/>
  <c r="BO141" i="12"/>
  <c r="BN141" i="12"/>
  <c r="BL141" i="12"/>
  <c r="BK141" i="12"/>
  <c r="BJ141" i="12"/>
  <c r="BI141" i="12"/>
  <c r="BH141" i="12"/>
  <c r="BG141" i="12"/>
  <c r="BE141" i="12"/>
  <c r="BD141" i="12"/>
  <c r="BC141" i="12"/>
  <c r="BB141" i="12"/>
  <c r="AZ141" i="12"/>
  <c r="AY141" i="12"/>
  <c r="AW141" i="12"/>
  <c r="AV141" i="12"/>
  <c r="AT141" i="12"/>
  <c r="AS141" i="12"/>
  <c r="AP141" i="12"/>
  <c r="AO141" i="12"/>
  <c r="AN141" i="12"/>
  <c r="AI141" i="12"/>
  <c r="AF141" i="12"/>
  <c r="L141" i="12"/>
  <c r="EB141" i="12" s="1"/>
  <c r="C141" i="12"/>
  <c r="G141" i="12" s="1"/>
  <c r="EC140" i="12"/>
  <c r="DU140" i="12"/>
  <c r="DS140" i="12"/>
  <c r="DR140" i="12"/>
  <c r="DQ140" i="12"/>
  <c r="CN140" i="12"/>
  <c r="CM140" i="12"/>
  <c r="CK140" i="12"/>
  <c r="CJ140" i="12"/>
  <c r="CI140" i="12"/>
  <c r="CG140" i="12"/>
  <c r="CE140" i="12"/>
  <c r="CC140" i="12"/>
  <c r="BX140" i="12"/>
  <c r="BW140" i="12"/>
  <c r="BV140" i="12"/>
  <c r="BU140" i="12"/>
  <c r="BT140" i="12"/>
  <c r="BR140" i="12"/>
  <c r="BQ140" i="12"/>
  <c r="BP140" i="12"/>
  <c r="BO140" i="12"/>
  <c r="BN140" i="12"/>
  <c r="BL140" i="12"/>
  <c r="BK140" i="12"/>
  <c r="BJ140" i="12"/>
  <c r="BI140" i="12"/>
  <c r="BH140" i="12"/>
  <c r="BG140" i="12"/>
  <c r="BE140" i="12"/>
  <c r="BD140" i="12"/>
  <c r="BC140" i="12"/>
  <c r="BB140" i="12"/>
  <c r="AZ140" i="12"/>
  <c r="AY140" i="12"/>
  <c r="AW140" i="12"/>
  <c r="AV140" i="12"/>
  <c r="AT140" i="12"/>
  <c r="AS140" i="12"/>
  <c r="AP140" i="12"/>
  <c r="AO140" i="12"/>
  <c r="AN140" i="12"/>
  <c r="AI140" i="12"/>
  <c r="AF140" i="12"/>
  <c r="L140" i="12"/>
  <c r="EB140" i="12" s="1"/>
  <c r="C140" i="12"/>
  <c r="G140" i="12" s="1"/>
  <c r="EC139" i="12"/>
  <c r="DY139" i="12" s="1"/>
  <c r="DU139" i="12"/>
  <c r="DS139" i="12"/>
  <c r="DR139" i="12"/>
  <c r="DQ139" i="12"/>
  <c r="CN139" i="12"/>
  <c r="CM139" i="12"/>
  <c r="CK139" i="12"/>
  <c r="CJ139" i="12"/>
  <c r="CI139" i="12"/>
  <c r="CG139" i="12"/>
  <c r="CE139" i="12"/>
  <c r="CC139" i="12"/>
  <c r="BX139" i="12"/>
  <c r="BW139" i="12"/>
  <c r="BV139" i="12"/>
  <c r="BU139" i="12"/>
  <c r="BT139" i="12"/>
  <c r="BR139" i="12"/>
  <c r="BQ139" i="12"/>
  <c r="BP139" i="12"/>
  <c r="BO139" i="12"/>
  <c r="BN139" i="12"/>
  <c r="BL139" i="12"/>
  <c r="BK139" i="12"/>
  <c r="BJ139" i="12"/>
  <c r="BI139" i="12"/>
  <c r="BH139" i="12"/>
  <c r="BG139" i="12"/>
  <c r="BE139" i="12"/>
  <c r="BD139" i="12"/>
  <c r="BC139" i="12"/>
  <c r="BB139" i="12"/>
  <c r="AZ139" i="12"/>
  <c r="AY139" i="12"/>
  <c r="AW139" i="12"/>
  <c r="AV139" i="12"/>
  <c r="AT139" i="12"/>
  <c r="AS139" i="12"/>
  <c r="AP139" i="12"/>
  <c r="AO139" i="12"/>
  <c r="AN139" i="12"/>
  <c r="AI139" i="12"/>
  <c r="AF139" i="12"/>
  <c r="L139" i="12"/>
  <c r="EB139" i="12" s="1"/>
  <c r="C139" i="12"/>
  <c r="G139" i="12" s="1"/>
  <c r="R139" i="12" s="1"/>
  <c r="EC138" i="12"/>
  <c r="DU138" i="12"/>
  <c r="DS138" i="12"/>
  <c r="DR138" i="12"/>
  <c r="DQ138" i="12"/>
  <c r="CN138" i="12"/>
  <c r="CM138" i="12"/>
  <c r="CK138" i="12"/>
  <c r="CJ138" i="12"/>
  <c r="CI138" i="12"/>
  <c r="CG138" i="12"/>
  <c r="CE138" i="12"/>
  <c r="CC138" i="12"/>
  <c r="BX138" i="12"/>
  <c r="BW138" i="12"/>
  <c r="BV138" i="12"/>
  <c r="BU138" i="12"/>
  <c r="BT138" i="12"/>
  <c r="BR138" i="12"/>
  <c r="BQ138" i="12"/>
  <c r="BP138" i="12"/>
  <c r="BO138" i="12"/>
  <c r="BN138" i="12"/>
  <c r="BL138" i="12"/>
  <c r="BK138" i="12"/>
  <c r="BJ138" i="12"/>
  <c r="BI138" i="12"/>
  <c r="BH138" i="12"/>
  <c r="BG138" i="12"/>
  <c r="BE138" i="12"/>
  <c r="BD138" i="12"/>
  <c r="BC138" i="12"/>
  <c r="BB138" i="12"/>
  <c r="AZ138" i="12"/>
  <c r="AY138" i="12"/>
  <c r="AW138" i="12"/>
  <c r="AV138" i="12"/>
  <c r="AT138" i="12"/>
  <c r="AS138" i="12"/>
  <c r="AP138" i="12"/>
  <c r="AO138" i="12"/>
  <c r="AN138" i="12"/>
  <c r="AI138" i="12"/>
  <c r="AF138" i="12"/>
  <c r="L138" i="12"/>
  <c r="EB138" i="12" s="1"/>
  <c r="H138" i="12"/>
  <c r="C138" i="12"/>
  <c r="G138" i="12" s="1"/>
  <c r="R138" i="12" s="1"/>
  <c r="EC137" i="12"/>
  <c r="DU137" i="12"/>
  <c r="DS137" i="12"/>
  <c r="DR137" i="12"/>
  <c r="DQ137" i="12"/>
  <c r="CN137" i="12"/>
  <c r="CM137" i="12"/>
  <c r="CK137" i="12"/>
  <c r="CJ137" i="12"/>
  <c r="CI137" i="12"/>
  <c r="CG137" i="12"/>
  <c r="CE137" i="12"/>
  <c r="CC137" i="12"/>
  <c r="BX137" i="12"/>
  <c r="BW137" i="12"/>
  <c r="BV137" i="12"/>
  <c r="BU137" i="12"/>
  <c r="BT137" i="12"/>
  <c r="BR137" i="12"/>
  <c r="BQ137" i="12"/>
  <c r="BP137" i="12"/>
  <c r="BO137" i="12"/>
  <c r="BN137" i="12"/>
  <c r="BL137" i="12"/>
  <c r="BK137" i="12"/>
  <c r="BJ137" i="12"/>
  <c r="BI137" i="12"/>
  <c r="BH137" i="12"/>
  <c r="BG137" i="12"/>
  <c r="BE137" i="12"/>
  <c r="BD137" i="12"/>
  <c r="BC137" i="12"/>
  <c r="BB137" i="12"/>
  <c r="AZ137" i="12"/>
  <c r="AY137" i="12"/>
  <c r="AW137" i="12"/>
  <c r="AV137" i="12"/>
  <c r="AT137" i="12"/>
  <c r="AS137" i="12"/>
  <c r="AP137" i="12"/>
  <c r="AO137" i="12"/>
  <c r="AN137" i="12"/>
  <c r="AI137" i="12"/>
  <c r="AF137" i="12"/>
  <c r="L137" i="12"/>
  <c r="EB137" i="12" s="1"/>
  <c r="C137" i="12"/>
  <c r="G137" i="12" s="1"/>
  <c r="R137" i="12" s="1"/>
  <c r="EC136" i="12"/>
  <c r="DU136" i="12"/>
  <c r="DS136" i="12"/>
  <c r="DR136" i="12"/>
  <c r="DQ136" i="12"/>
  <c r="DO136" i="12"/>
  <c r="CN136" i="12"/>
  <c r="CM136" i="12"/>
  <c r="CK136" i="12"/>
  <c r="CJ136" i="12"/>
  <c r="CI136" i="12"/>
  <c r="CG136" i="12"/>
  <c r="CE136" i="12"/>
  <c r="CC136" i="12"/>
  <c r="BX136" i="12"/>
  <c r="BW136" i="12"/>
  <c r="BV136" i="12"/>
  <c r="BU136" i="12"/>
  <c r="BT136" i="12"/>
  <c r="BR136" i="12"/>
  <c r="BQ136" i="12"/>
  <c r="BP136" i="12"/>
  <c r="BO136" i="12"/>
  <c r="BN136" i="12"/>
  <c r="BL136" i="12"/>
  <c r="BK136" i="12"/>
  <c r="BJ136" i="12"/>
  <c r="BI136" i="12"/>
  <c r="BH136" i="12"/>
  <c r="BG136" i="12"/>
  <c r="BE136" i="12"/>
  <c r="BD136" i="12"/>
  <c r="BC136" i="12"/>
  <c r="BB136" i="12"/>
  <c r="AZ136" i="12"/>
  <c r="AY136" i="12"/>
  <c r="AW136" i="12"/>
  <c r="AV136" i="12"/>
  <c r="AT136" i="12"/>
  <c r="AS136" i="12"/>
  <c r="AP136" i="12"/>
  <c r="AO136" i="12"/>
  <c r="AN136" i="12"/>
  <c r="AI136" i="12"/>
  <c r="AF136" i="12"/>
  <c r="R136" i="12"/>
  <c r="L136" i="12"/>
  <c r="EB136" i="12" s="1"/>
  <c r="C136" i="12"/>
  <c r="G136" i="12" s="1"/>
  <c r="H136" i="12" s="1"/>
  <c r="EC135" i="12"/>
  <c r="DU135" i="12"/>
  <c r="DS135" i="12"/>
  <c r="DR135" i="12"/>
  <c r="DQ135" i="12"/>
  <c r="CN135" i="12"/>
  <c r="CM135" i="12"/>
  <c r="CK135" i="12"/>
  <c r="CJ135" i="12"/>
  <c r="CI135" i="12"/>
  <c r="CG135" i="12"/>
  <c r="CE135" i="12"/>
  <c r="CC135" i="12"/>
  <c r="BX135" i="12"/>
  <c r="BW135" i="12"/>
  <c r="BV135" i="12"/>
  <c r="BU135" i="12"/>
  <c r="BT135" i="12"/>
  <c r="BR135" i="12"/>
  <c r="BQ135" i="12"/>
  <c r="BP135" i="12"/>
  <c r="BO135" i="12"/>
  <c r="BN135" i="12"/>
  <c r="BL135" i="12"/>
  <c r="BK135" i="12"/>
  <c r="BJ135" i="12"/>
  <c r="BI135" i="12"/>
  <c r="BH135" i="12"/>
  <c r="BG135" i="12"/>
  <c r="BE135" i="12"/>
  <c r="BD135" i="12"/>
  <c r="BC135" i="12"/>
  <c r="BB135" i="12"/>
  <c r="AZ135" i="12"/>
  <c r="AY135" i="12"/>
  <c r="AW135" i="12"/>
  <c r="AV135" i="12"/>
  <c r="AT135" i="12"/>
  <c r="AS135" i="12"/>
  <c r="AP135" i="12"/>
  <c r="AO135" i="12"/>
  <c r="AN135" i="12"/>
  <c r="AI135" i="12"/>
  <c r="AF135" i="12"/>
  <c r="L135" i="12"/>
  <c r="EB135" i="12" s="1"/>
  <c r="C135" i="12"/>
  <c r="G135" i="12" s="1"/>
  <c r="P135" i="12" s="1"/>
  <c r="EC134" i="12"/>
  <c r="DU134" i="12"/>
  <c r="DS134" i="12"/>
  <c r="DR134" i="12"/>
  <c r="DQ134" i="12"/>
  <c r="DO134" i="12"/>
  <c r="CN134" i="12"/>
  <c r="CM134" i="12"/>
  <c r="CK134" i="12"/>
  <c r="CJ134" i="12"/>
  <c r="CI134" i="12"/>
  <c r="CG134" i="12"/>
  <c r="CE134" i="12"/>
  <c r="CC134" i="12"/>
  <c r="BX134" i="12"/>
  <c r="BW134" i="12"/>
  <c r="BV134" i="12"/>
  <c r="BU134" i="12"/>
  <c r="BT134" i="12"/>
  <c r="BR134" i="12"/>
  <c r="BQ134" i="12"/>
  <c r="BP134" i="12"/>
  <c r="BO134" i="12"/>
  <c r="BN134" i="12"/>
  <c r="BL134" i="12"/>
  <c r="BK134" i="12"/>
  <c r="BJ134" i="12"/>
  <c r="BI134" i="12"/>
  <c r="BH134" i="12"/>
  <c r="BG134" i="12"/>
  <c r="BE134" i="12"/>
  <c r="BD134" i="12"/>
  <c r="BC134" i="12"/>
  <c r="BB134" i="12"/>
  <c r="AZ134" i="12"/>
  <c r="AY134" i="12"/>
  <c r="AW134" i="12"/>
  <c r="AV134" i="12"/>
  <c r="AT134" i="12"/>
  <c r="AS134" i="12"/>
  <c r="AP134" i="12"/>
  <c r="AO134" i="12"/>
  <c r="AN134" i="12"/>
  <c r="AI134" i="12"/>
  <c r="AF134" i="12"/>
  <c r="R134" i="12"/>
  <c r="L134" i="12"/>
  <c r="EB134" i="12" s="1"/>
  <c r="C134" i="12"/>
  <c r="G134" i="12" s="1"/>
  <c r="EC133" i="12"/>
  <c r="DU133" i="12"/>
  <c r="DS133" i="12"/>
  <c r="DR133" i="12"/>
  <c r="DQ133" i="12"/>
  <c r="CN133" i="12"/>
  <c r="CM133" i="12"/>
  <c r="CK133" i="12"/>
  <c r="CJ133" i="12"/>
  <c r="CI133" i="12"/>
  <c r="CG133" i="12"/>
  <c r="CE133" i="12"/>
  <c r="CC133" i="12"/>
  <c r="BX133" i="12"/>
  <c r="BW133" i="12"/>
  <c r="BV133" i="12"/>
  <c r="BU133" i="12"/>
  <c r="BT133" i="12"/>
  <c r="BR133" i="12"/>
  <c r="BQ133" i="12"/>
  <c r="BP133" i="12"/>
  <c r="BO133" i="12"/>
  <c r="BN133" i="12"/>
  <c r="BL133" i="12"/>
  <c r="BK133" i="12"/>
  <c r="BJ133" i="12"/>
  <c r="BI133" i="12"/>
  <c r="BH133" i="12"/>
  <c r="BG133" i="12"/>
  <c r="BE133" i="12"/>
  <c r="BD133" i="12"/>
  <c r="BC133" i="12"/>
  <c r="BB133" i="12"/>
  <c r="AZ133" i="12"/>
  <c r="AY133" i="12"/>
  <c r="AW133" i="12"/>
  <c r="AV133" i="12"/>
  <c r="AT133" i="12"/>
  <c r="AS133" i="12"/>
  <c r="AP133" i="12"/>
  <c r="AO133" i="12"/>
  <c r="AN133" i="12"/>
  <c r="AI133" i="12"/>
  <c r="AF133" i="12"/>
  <c r="L133" i="12"/>
  <c r="EB133" i="12" s="1"/>
  <c r="C133" i="12"/>
  <c r="G133" i="12" s="1"/>
  <c r="P133" i="12" s="1"/>
  <c r="EC132" i="12"/>
  <c r="DU132" i="12"/>
  <c r="DS132" i="12"/>
  <c r="DR132" i="12"/>
  <c r="DQ132" i="12"/>
  <c r="CN132" i="12"/>
  <c r="CM132" i="12"/>
  <c r="CK132" i="12"/>
  <c r="CJ132" i="12"/>
  <c r="CI132" i="12"/>
  <c r="CG132" i="12"/>
  <c r="CE132" i="12"/>
  <c r="CC132" i="12"/>
  <c r="BX132" i="12"/>
  <c r="BW132" i="12"/>
  <c r="BV132" i="12"/>
  <c r="BU132" i="12"/>
  <c r="BT132" i="12"/>
  <c r="BR132" i="12"/>
  <c r="BQ132" i="12"/>
  <c r="BP132" i="12"/>
  <c r="BO132" i="12"/>
  <c r="BN132" i="12"/>
  <c r="BL132" i="12"/>
  <c r="BK132" i="12"/>
  <c r="BJ132" i="12"/>
  <c r="BI132" i="12"/>
  <c r="BH132" i="12"/>
  <c r="BG132" i="12"/>
  <c r="BE132" i="12"/>
  <c r="BD132" i="12"/>
  <c r="BC132" i="12"/>
  <c r="BB132" i="12"/>
  <c r="AZ132" i="12"/>
  <c r="AY132" i="12"/>
  <c r="AW132" i="12"/>
  <c r="AV132" i="12"/>
  <c r="AT132" i="12"/>
  <c r="AS132" i="12"/>
  <c r="AP132" i="12"/>
  <c r="AO132" i="12"/>
  <c r="AN132" i="12"/>
  <c r="AI132" i="12"/>
  <c r="AF132" i="12"/>
  <c r="L132" i="12"/>
  <c r="EB132" i="12" s="1"/>
  <c r="C132" i="12"/>
  <c r="G132" i="12" s="1"/>
  <c r="N132" i="12" s="1"/>
  <c r="EC131" i="12"/>
  <c r="DU131" i="12"/>
  <c r="DS131" i="12"/>
  <c r="DR131" i="12"/>
  <c r="DQ131" i="12"/>
  <c r="DO131" i="12"/>
  <c r="CN131" i="12"/>
  <c r="CM131" i="12"/>
  <c r="CK131" i="12"/>
  <c r="CJ131" i="12"/>
  <c r="CI131" i="12"/>
  <c r="CG131" i="12"/>
  <c r="CE131" i="12"/>
  <c r="CC131" i="12"/>
  <c r="BX131" i="12"/>
  <c r="BW131" i="12"/>
  <c r="BV131" i="12"/>
  <c r="BU131" i="12"/>
  <c r="BT131" i="12"/>
  <c r="BR131" i="12"/>
  <c r="BQ131" i="12"/>
  <c r="BP131" i="12"/>
  <c r="BO131" i="12"/>
  <c r="BN131" i="12"/>
  <c r="BL131" i="12"/>
  <c r="BK131" i="12"/>
  <c r="BJ131" i="12"/>
  <c r="BI131" i="12"/>
  <c r="BH131" i="12"/>
  <c r="BG131" i="12"/>
  <c r="BE131" i="12"/>
  <c r="BD131" i="12"/>
  <c r="BC131" i="12"/>
  <c r="BB131" i="12"/>
  <c r="AZ131" i="12"/>
  <c r="AY131" i="12"/>
  <c r="AW131" i="12"/>
  <c r="AV131" i="12"/>
  <c r="AT131" i="12"/>
  <c r="AS131" i="12"/>
  <c r="AP131" i="12"/>
  <c r="AO131" i="12"/>
  <c r="AN131" i="12"/>
  <c r="AI131" i="12"/>
  <c r="AF131" i="12"/>
  <c r="R131" i="12"/>
  <c r="L131" i="12"/>
  <c r="EB131" i="12" s="1"/>
  <c r="C131" i="12"/>
  <c r="G131" i="12" s="1"/>
  <c r="EC130" i="12"/>
  <c r="DU130" i="12"/>
  <c r="DS130" i="12"/>
  <c r="DR130" i="12"/>
  <c r="DQ130" i="12"/>
  <c r="DO130" i="12"/>
  <c r="CN130" i="12"/>
  <c r="CM130" i="12"/>
  <c r="CK130" i="12"/>
  <c r="CJ130" i="12"/>
  <c r="CI130" i="12"/>
  <c r="CG130" i="12"/>
  <c r="CE130" i="12"/>
  <c r="CC130" i="12"/>
  <c r="BX130" i="12"/>
  <c r="BW130" i="12"/>
  <c r="BV130" i="12"/>
  <c r="BU130" i="12"/>
  <c r="BT130" i="12"/>
  <c r="BR130" i="12"/>
  <c r="BQ130" i="12"/>
  <c r="BP130" i="12"/>
  <c r="BO130" i="12"/>
  <c r="BN130" i="12"/>
  <c r="BL130" i="12"/>
  <c r="BK130" i="12"/>
  <c r="BJ130" i="12"/>
  <c r="BI130" i="12"/>
  <c r="BH130" i="12"/>
  <c r="BG130" i="12"/>
  <c r="BE130" i="12"/>
  <c r="BD130" i="12"/>
  <c r="BC130" i="12"/>
  <c r="BB130" i="12"/>
  <c r="AZ130" i="12"/>
  <c r="AY130" i="12"/>
  <c r="AW130" i="12"/>
  <c r="AV130" i="12"/>
  <c r="AT130" i="12"/>
  <c r="AS130" i="12"/>
  <c r="AP130" i="12"/>
  <c r="AO130" i="12"/>
  <c r="AN130" i="12"/>
  <c r="AI130" i="12"/>
  <c r="AF130" i="12"/>
  <c r="R130" i="12"/>
  <c r="L130" i="12"/>
  <c r="EB130" i="12" s="1"/>
  <c r="C130" i="12"/>
  <c r="G130" i="12" s="1"/>
  <c r="N130" i="12" s="1"/>
  <c r="EC129" i="12"/>
  <c r="DU129" i="12"/>
  <c r="DS129" i="12"/>
  <c r="DR129" i="12"/>
  <c r="DQ129" i="12"/>
  <c r="DO129" i="12"/>
  <c r="CN129" i="12"/>
  <c r="CM129" i="12"/>
  <c r="CK129" i="12"/>
  <c r="CJ129" i="12"/>
  <c r="CI129" i="12"/>
  <c r="CG129" i="12"/>
  <c r="CE129" i="12"/>
  <c r="CC129" i="12"/>
  <c r="BX129" i="12"/>
  <c r="BW129" i="12"/>
  <c r="BV129" i="12"/>
  <c r="BU129" i="12"/>
  <c r="BT129" i="12"/>
  <c r="BR129" i="12"/>
  <c r="BQ129" i="12"/>
  <c r="BP129" i="12"/>
  <c r="BO129" i="12"/>
  <c r="BN129" i="12"/>
  <c r="BL129" i="12"/>
  <c r="BK129" i="12"/>
  <c r="BJ129" i="12"/>
  <c r="BI129" i="12"/>
  <c r="BH129" i="12"/>
  <c r="BG129" i="12"/>
  <c r="BE129" i="12"/>
  <c r="BD129" i="12"/>
  <c r="BC129" i="12"/>
  <c r="BB129" i="12"/>
  <c r="AZ129" i="12"/>
  <c r="AY129" i="12"/>
  <c r="AW129" i="12"/>
  <c r="AV129" i="12"/>
  <c r="AT129" i="12"/>
  <c r="AS129" i="12"/>
  <c r="AP129" i="12"/>
  <c r="AO129" i="12"/>
  <c r="AN129" i="12"/>
  <c r="AI129" i="12"/>
  <c r="AF129" i="12"/>
  <c r="R129" i="12"/>
  <c r="L129" i="12"/>
  <c r="EB129" i="12" s="1"/>
  <c r="C129" i="12"/>
  <c r="G129" i="12" s="1"/>
  <c r="EC128" i="12"/>
  <c r="DU128" i="12"/>
  <c r="DS128" i="12"/>
  <c r="DR128" i="12"/>
  <c r="DQ128" i="12"/>
  <c r="DO128" i="12"/>
  <c r="CN128" i="12"/>
  <c r="CM128" i="12"/>
  <c r="CK128" i="12"/>
  <c r="CJ128" i="12"/>
  <c r="CI128" i="12"/>
  <c r="CG128" i="12"/>
  <c r="CE128" i="12"/>
  <c r="CC128" i="12"/>
  <c r="BX128" i="12"/>
  <c r="BW128" i="12"/>
  <c r="BV128" i="12"/>
  <c r="BU128" i="12"/>
  <c r="BT128" i="12"/>
  <c r="BR128" i="12"/>
  <c r="BQ128" i="12"/>
  <c r="BP128" i="12"/>
  <c r="BO128" i="12"/>
  <c r="BN128" i="12"/>
  <c r="BL128" i="12"/>
  <c r="BK128" i="12"/>
  <c r="BJ128" i="12"/>
  <c r="BI128" i="12"/>
  <c r="BH128" i="12"/>
  <c r="BG128" i="12"/>
  <c r="BE128" i="12"/>
  <c r="BD128" i="12"/>
  <c r="BC128" i="12"/>
  <c r="BB128" i="12"/>
  <c r="AZ128" i="12"/>
  <c r="AY128" i="12"/>
  <c r="AW128" i="12"/>
  <c r="AV128" i="12"/>
  <c r="AT128" i="12"/>
  <c r="AS128" i="12"/>
  <c r="AP128" i="12"/>
  <c r="AO128" i="12"/>
  <c r="AN128" i="12"/>
  <c r="AI128" i="12"/>
  <c r="AF128" i="12"/>
  <c r="R128" i="12"/>
  <c r="L128" i="12"/>
  <c r="EB128" i="12" s="1"/>
  <c r="C128" i="12"/>
  <c r="G128" i="12" s="1"/>
  <c r="N128" i="12" s="1"/>
  <c r="EC127" i="12"/>
  <c r="DU127" i="12"/>
  <c r="DS127" i="12"/>
  <c r="DR127" i="12"/>
  <c r="DQ127" i="12"/>
  <c r="DO127" i="12"/>
  <c r="CN127" i="12"/>
  <c r="CM127" i="12"/>
  <c r="CK127" i="12"/>
  <c r="CJ127" i="12"/>
  <c r="CI127" i="12"/>
  <c r="CG127" i="12"/>
  <c r="CE127" i="12"/>
  <c r="CC127" i="12"/>
  <c r="BX127" i="12"/>
  <c r="BW127" i="12"/>
  <c r="BV127" i="12"/>
  <c r="BU127" i="12"/>
  <c r="BT127" i="12"/>
  <c r="BR127" i="12"/>
  <c r="BQ127" i="12"/>
  <c r="BP127" i="12"/>
  <c r="BO127" i="12"/>
  <c r="BN127" i="12"/>
  <c r="BL127" i="12"/>
  <c r="BK127" i="12"/>
  <c r="BJ127" i="12"/>
  <c r="BI127" i="12"/>
  <c r="BH127" i="12"/>
  <c r="BG127" i="12"/>
  <c r="BE127" i="12"/>
  <c r="BD127" i="12"/>
  <c r="BC127" i="12"/>
  <c r="BB127" i="12"/>
  <c r="AZ127" i="12"/>
  <c r="AY127" i="12"/>
  <c r="AW127" i="12"/>
  <c r="AV127" i="12"/>
  <c r="AT127" i="12"/>
  <c r="AS127" i="12"/>
  <c r="AP127" i="12"/>
  <c r="AO127" i="12"/>
  <c r="AN127" i="12"/>
  <c r="AI127" i="12"/>
  <c r="AF127" i="12"/>
  <c r="R127" i="12"/>
  <c r="L127" i="12"/>
  <c r="EB127" i="12" s="1"/>
  <c r="C127" i="12"/>
  <c r="G127" i="12" s="1"/>
  <c r="EC126" i="12"/>
  <c r="DU126" i="12"/>
  <c r="DS126" i="12"/>
  <c r="DR126" i="12"/>
  <c r="DQ126" i="12"/>
  <c r="CN126" i="12"/>
  <c r="CM126" i="12"/>
  <c r="CK126" i="12"/>
  <c r="CJ126" i="12"/>
  <c r="CI126" i="12"/>
  <c r="CG126" i="12"/>
  <c r="CE126" i="12"/>
  <c r="CC126" i="12"/>
  <c r="BX126" i="12"/>
  <c r="BW126" i="12"/>
  <c r="BV126" i="12"/>
  <c r="BU126" i="12"/>
  <c r="BT126" i="12"/>
  <c r="BR126" i="12"/>
  <c r="BQ126" i="12"/>
  <c r="BP126" i="12"/>
  <c r="BO126" i="12"/>
  <c r="BN126" i="12"/>
  <c r="BL126" i="12"/>
  <c r="BK126" i="12"/>
  <c r="BJ126" i="12"/>
  <c r="BI126" i="12"/>
  <c r="BH126" i="12"/>
  <c r="BG126" i="12"/>
  <c r="BE126" i="12"/>
  <c r="BD126" i="12"/>
  <c r="BC126" i="12"/>
  <c r="BB126" i="12"/>
  <c r="AZ126" i="12"/>
  <c r="AY126" i="12"/>
  <c r="AW126" i="12"/>
  <c r="AV126" i="12"/>
  <c r="AT126" i="12"/>
  <c r="AS126" i="12"/>
  <c r="AP126" i="12"/>
  <c r="AO126" i="12"/>
  <c r="AN126" i="12"/>
  <c r="AI126" i="12"/>
  <c r="AF126" i="12"/>
  <c r="L126" i="12"/>
  <c r="EB126" i="12" s="1"/>
  <c r="H126" i="12"/>
  <c r="C126" i="12"/>
  <c r="G126" i="12" s="1"/>
  <c r="N126" i="12" s="1"/>
  <c r="EC125" i="12"/>
  <c r="DU125" i="12"/>
  <c r="DS125" i="12"/>
  <c r="DR125" i="12"/>
  <c r="DQ125" i="12"/>
  <c r="DO125" i="12"/>
  <c r="CN125" i="12"/>
  <c r="CM125" i="12"/>
  <c r="CK125" i="12"/>
  <c r="CJ125" i="12"/>
  <c r="CI125" i="12"/>
  <c r="CG125" i="12"/>
  <c r="CE125" i="12"/>
  <c r="CC125" i="12"/>
  <c r="BX125" i="12"/>
  <c r="BW125" i="12"/>
  <c r="BV125" i="12"/>
  <c r="BU125" i="12"/>
  <c r="BT125" i="12"/>
  <c r="BR125" i="12"/>
  <c r="BQ125" i="12"/>
  <c r="BP125" i="12"/>
  <c r="BO125" i="12"/>
  <c r="BN125" i="12"/>
  <c r="BL125" i="12"/>
  <c r="BK125" i="12"/>
  <c r="BJ125" i="12"/>
  <c r="BI125" i="12"/>
  <c r="BH125" i="12"/>
  <c r="BG125" i="12"/>
  <c r="BE125" i="12"/>
  <c r="BD125" i="12"/>
  <c r="BC125" i="12"/>
  <c r="BB125" i="12"/>
  <c r="AZ125" i="12"/>
  <c r="AY125" i="12"/>
  <c r="AW125" i="12"/>
  <c r="AV125" i="12"/>
  <c r="AT125" i="12"/>
  <c r="AS125" i="12"/>
  <c r="AP125" i="12"/>
  <c r="AO125" i="12"/>
  <c r="AN125" i="12"/>
  <c r="AI125" i="12"/>
  <c r="AF125" i="12"/>
  <c r="R125" i="12"/>
  <c r="L125" i="12"/>
  <c r="EB125" i="12" s="1"/>
  <c r="C125" i="12"/>
  <c r="G125" i="12" s="1"/>
  <c r="N125" i="12" s="1"/>
  <c r="EC124" i="12"/>
  <c r="DU124" i="12"/>
  <c r="DS124" i="12"/>
  <c r="DR124" i="12"/>
  <c r="DQ124" i="12"/>
  <c r="DO124" i="12"/>
  <c r="CN124" i="12"/>
  <c r="CM124" i="12"/>
  <c r="CK124" i="12"/>
  <c r="CJ124" i="12"/>
  <c r="CI124" i="12"/>
  <c r="CG124" i="12"/>
  <c r="CE124" i="12"/>
  <c r="CC124" i="12"/>
  <c r="BX124" i="12"/>
  <c r="BW124" i="12"/>
  <c r="BV124" i="12"/>
  <c r="BU124" i="12"/>
  <c r="BT124" i="12"/>
  <c r="BR124" i="12"/>
  <c r="BQ124" i="12"/>
  <c r="BP124" i="12"/>
  <c r="BO124" i="12"/>
  <c r="BN124" i="12"/>
  <c r="BL124" i="12"/>
  <c r="BK124" i="12"/>
  <c r="BJ124" i="12"/>
  <c r="BI124" i="12"/>
  <c r="BH124" i="12"/>
  <c r="BG124" i="12"/>
  <c r="BE124" i="12"/>
  <c r="BD124" i="12"/>
  <c r="BC124" i="12"/>
  <c r="BB124" i="12"/>
  <c r="AZ124" i="12"/>
  <c r="AY124" i="12"/>
  <c r="AW124" i="12"/>
  <c r="AV124" i="12"/>
  <c r="AT124" i="12"/>
  <c r="AS124" i="12"/>
  <c r="AP124" i="12"/>
  <c r="AO124" i="12"/>
  <c r="AN124" i="12"/>
  <c r="AI124" i="12"/>
  <c r="AF124" i="12"/>
  <c r="R124" i="12"/>
  <c r="L124" i="12"/>
  <c r="EB124" i="12" s="1"/>
  <c r="C124" i="12"/>
  <c r="G124" i="12" s="1"/>
  <c r="N124" i="12" s="1"/>
  <c r="EC123" i="12"/>
  <c r="DU123" i="12"/>
  <c r="DS123" i="12"/>
  <c r="DR123" i="12"/>
  <c r="DQ123" i="12"/>
  <c r="DO123" i="12"/>
  <c r="CN123" i="12"/>
  <c r="CM123" i="12"/>
  <c r="CK123" i="12"/>
  <c r="CJ123" i="12"/>
  <c r="CI123" i="12"/>
  <c r="CG123" i="12"/>
  <c r="CE123" i="12"/>
  <c r="CC123" i="12"/>
  <c r="BX123" i="12"/>
  <c r="BW123" i="12"/>
  <c r="BV123" i="12"/>
  <c r="BU123" i="12"/>
  <c r="BT123" i="12"/>
  <c r="BR123" i="12"/>
  <c r="BQ123" i="12"/>
  <c r="BP123" i="12"/>
  <c r="BO123" i="12"/>
  <c r="BN123" i="12"/>
  <c r="BL123" i="12"/>
  <c r="BK123" i="12"/>
  <c r="BJ123" i="12"/>
  <c r="BI123" i="12"/>
  <c r="BH123" i="12"/>
  <c r="BG123" i="12"/>
  <c r="BE123" i="12"/>
  <c r="BD123" i="12"/>
  <c r="BC123" i="12"/>
  <c r="BB123" i="12"/>
  <c r="AZ123" i="12"/>
  <c r="AY123" i="12"/>
  <c r="AW123" i="12"/>
  <c r="AV123" i="12"/>
  <c r="AT123" i="12"/>
  <c r="AS123" i="12"/>
  <c r="AP123" i="12"/>
  <c r="AO123" i="12"/>
  <c r="AN123" i="12"/>
  <c r="AI123" i="12"/>
  <c r="AF123" i="12"/>
  <c r="R123" i="12"/>
  <c r="L123" i="12"/>
  <c r="EB123" i="12" s="1"/>
  <c r="C123" i="12"/>
  <c r="G123" i="12" s="1"/>
  <c r="EC122" i="12"/>
  <c r="DU122" i="12"/>
  <c r="DS122" i="12"/>
  <c r="DR122" i="12"/>
  <c r="DQ122" i="12"/>
  <c r="DO122" i="12"/>
  <c r="CN122" i="12"/>
  <c r="CM122" i="12"/>
  <c r="CK122" i="12"/>
  <c r="CJ122" i="12"/>
  <c r="CI122" i="12"/>
  <c r="CG122" i="12"/>
  <c r="CE122" i="12"/>
  <c r="CC122" i="12"/>
  <c r="BX122" i="12"/>
  <c r="BW122" i="12"/>
  <c r="BV122" i="12"/>
  <c r="BU122" i="12"/>
  <c r="BT122" i="12"/>
  <c r="BR122" i="12"/>
  <c r="BQ122" i="12"/>
  <c r="BP122" i="12"/>
  <c r="BO122" i="12"/>
  <c r="BN122" i="12"/>
  <c r="BL122" i="12"/>
  <c r="BK122" i="12"/>
  <c r="BJ122" i="12"/>
  <c r="BI122" i="12"/>
  <c r="BH122" i="12"/>
  <c r="BG122" i="12"/>
  <c r="BE122" i="12"/>
  <c r="BD122" i="12"/>
  <c r="BC122" i="12"/>
  <c r="BB122" i="12"/>
  <c r="AZ122" i="12"/>
  <c r="AY122" i="12"/>
  <c r="AW122" i="12"/>
  <c r="AV122" i="12"/>
  <c r="AT122" i="12"/>
  <c r="AS122" i="12"/>
  <c r="AP122" i="12"/>
  <c r="AO122" i="12"/>
  <c r="AN122" i="12"/>
  <c r="AI122" i="12"/>
  <c r="AF122" i="12"/>
  <c r="R122" i="12"/>
  <c r="L122" i="12"/>
  <c r="EB122" i="12" s="1"/>
  <c r="C122" i="12"/>
  <c r="G122" i="12" s="1"/>
  <c r="N122" i="12" s="1"/>
  <c r="EC121" i="12"/>
  <c r="DU121" i="12"/>
  <c r="DS121" i="12"/>
  <c r="DR121" i="12"/>
  <c r="DQ121" i="12"/>
  <c r="DO121" i="12"/>
  <c r="CN121" i="12"/>
  <c r="CM121" i="12"/>
  <c r="CK121" i="12"/>
  <c r="CJ121" i="12"/>
  <c r="CI121" i="12"/>
  <c r="CG121" i="12"/>
  <c r="CE121" i="12"/>
  <c r="CC121" i="12"/>
  <c r="BX121" i="12"/>
  <c r="BW121" i="12"/>
  <c r="BV121" i="12"/>
  <c r="BU121" i="12"/>
  <c r="BT121" i="12"/>
  <c r="BR121" i="12"/>
  <c r="BQ121" i="12"/>
  <c r="BP121" i="12"/>
  <c r="BO121" i="12"/>
  <c r="BN121" i="12"/>
  <c r="BL121" i="12"/>
  <c r="BK121" i="12"/>
  <c r="BJ121" i="12"/>
  <c r="BI121" i="12"/>
  <c r="BH121" i="12"/>
  <c r="BG121" i="12"/>
  <c r="BE121" i="12"/>
  <c r="BD121" i="12"/>
  <c r="BC121" i="12"/>
  <c r="BB121" i="12"/>
  <c r="AZ121" i="12"/>
  <c r="AY121" i="12"/>
  <c r="AW121" i="12"/>
  <c r="AV121" i="12"/>
  <c r="AT121" i="12"/>
  <c r="AS121" i="12"/>
  <c r="AP121" i="12"/>
  <c r="AO121" i="12"/>
  <c r="AN121" i="12"/>
  <c r="AI121" i="12"/>
  <c r="AF121" i="12"/>
  <c r="R121" i="12"/>
  <c r="L121" i="12"/>
  <c r="EB121" i="12" s="1"/>
  <c r="C121" i="12"/>
  <c r="G121" i="12" s="1"/>
  <c r="EC120" i="12"/>
  <c r="DU120" i="12"/>
  <c r="DS120" i="12"/>
  <c r="DR120" i="12"/>
  <c r="DQ120" i="12"/>
  <c r="DO120" i="12"/>
  <c r="CN120" i="12"/>
  <c r="CM120" i="12"/>
  <c r="CK120" i="12"/>
  <c r="CJ120" i="12"/>
  <c r="CI120" i="12"/>
  <c r="CG120" i="12"/>
  <c r="CE120" i="12"/>
  <c r="CC120" i="12"/>
  <c r="BX120" i="12"/>
  <c r="BW120" i="12"/>
  <c r="BV120" i="12"/>
  <c r="BU120" i="12"/>
  <c r="BT120" i="12"/>
  <c r="BR120" i="12"/>
  <c r="BQ120" i="12"/>
  <c r="BP120" i="12"/>
  <c r="BO120" i="12"/>
  <c r="BN120" i="12"/>
  <c r="BL120" i="12"/>
  <c r="BK120" i="12"/>
  <c r="BJ120" i="12"/>
  <c r="BI120" i="12"/>
  <c r="BH120" i="12"/>
  <c r="BG120" i="12"/>
  <c r="BE120" i="12"/>
  <c r="BD120" i="12"/>
  <c r="BC120" i="12"/>
  <c r="BB120" i="12"/>
  <c r="AZ120" i="12"/>
  <c r="AY120" i="12"/>
  <c r="AW120" i="12"/>
  <c r="AV120" i="12"/>
  <c r="AT120" i="12"/>
  <c r="AS120" i="12"/>
  <c r="AP120" i="12"/>
  <c r="AO120" i="12"/>
  <c r="AN120" i="12"/>
  <c r="AI120" i="12"/>
  <c r="AF120" i="12"/>
  <c r="R120" i="12"/>
  <c r="L120" i="12"/>
  <c r="EB120" i="12" s="1"/>
  <c r="C120" i="12"/>
  <c r="G120" i="12" s="1"/>
  <c r="EC119" i="12"/>
  <c r="DU119" i="12"/>
  <c r="DS119" i="12"/>
  <c r="DR119" i="12"/>
  <c r="DQ119" i="12"/>
  <c r="DO119" i="12"/>
  <c r="CN119" i="12"/>
  <c r="CM119" i="12"/>
  <c r="CK119" i="12"/>
  <c r="CJ119" i="12"/>
  <c r="CI119" i="12"/>
  <c r="CG119" i="12"/>
  <c r="CE119" i="12"/>
  <c r="CC119" i="12"/>
  <c r="BX119" i="12"/>
  <c r="BW119" i="12"/>
  <c r="BV119" i="12"/>
  <c r="BU119" i="12"/>
  <c r="BT119" i="12"/>
  <c r="BR119" i="12"/>
  <c r="BQ119" i="12"/>
  <c r="BP119" i="12"/>
  <c r="BO119" i="12"/>
  <c r="BN119" i="12"/>
  <c r="BL119" i="12"/>
  <c r="BK119" i="12"/>
  <c r="BJ119" i="12"/>
  <c r="BI119" i="12"/>
  <c r="BH119" i="12"/>
  <c r="BG119" i="12"/>
  <c r="BE119" i="12"/>
  <c r="BD119" i="12"/>
  <c r="BC119" i="12"/>
  <c r="BB119" i="12"/>
  <c r="AZ119" i="12"/>
  <c r="AY119" i="12"/>
  <c r="AW119" i="12"/>
  <c r="AV119" i="12"/>
  <c r="AT119" i="12"/>
  <c r="AS119" i="12"/>
  <c r="AP119" i="12"/>
  <c r="AO119" i="12"/>
  <c r="AN119" i="12"/>
  <c r="AI119" i="12"/>
  <c r="AF119" i="12"/>
  <c r="R119" i="12"/>
  <c r="L119" i="12"/>
  <c r="EB119" i="12" s="1"/>
  <c r="C119" i="12"/>
  <c r="G119" i="12" s="1"/>
  <c r="EC118" i="12"/>
  <c r="DU118" i="12"/>
  <c r="DS118" i="12"/>
  <c r="DR118" i="12"/>
  <c r="DQ118" i="12"/>
  <c r="CN118" i="12"/>
  <c r="CM118" i="12"/>
  <c r="CK118" i="12"/>
  <c r="CJ118" i="12"/>
  <c r="CI118" i="12"/>
  <c r="CG118" i="12"/>
  <c r="CE118" i="12"/>
  <c r="CC118" i="12"/>
  <c r="BX118" i="12"/>
  <c r="BW118" i="12"/>
  <c r="BV118" i="12"/>
  <c r="BU118" i="12"/>
  <c r="BT118" i="12"/>
  <c r="BR118" i="12"/>
  <c r="BQ118" i="12"/>
  <c r="BP118" i="12"/>
  <c r="BO118" i="12"/>
  <c r="BN118" i="12"/>
  <c r="BL118" i="12"/>
  <c r="BK118" i="12"/>
  <c r="BJ118" i="12"/>
  <c r="BI118" i="12"/>
  <c r="BH118" i="12"/>
  <c r="BG118" i="12"/>
  <c r="BE118" i="12"/>
  <c r="BD118" i="12"/>
  <c r="BC118" i="12"/>
  <c r="BB118" i="12"/>
  <c r="AZ118" i="12"/>
  <c r="AY118" i="12"/>
  <c r="AW118" i="12"/>
  <c r="AV118" i="12"/>
  <c r="AT118" i="12"/>
  <c r="AS118" i="12"/>
  <c r="AP118" i="12"/>
  <c r="AO118" i="12"/>
  <c r="AN118" i="12"/>
  <c r="AI118" i="12"/>
  <c r="AF118" i="12"/>
  <c r="L118" i="12"/>
  <c r="EB118" i="12" s="1"/>
  <c r="C118" i="12"/>
  <c r="G118" i="12" s="1"/>
  <c r="EC117" i="12"/>
  <c r="DS117" i="12"/>
  <c r="DR117" i="12"/>
  <c r="CN117" i="12"/>
  <c r="CM117" i="12"/>
  <c r="CK117" i="12"/>
  <c r="CJ117" i="12"/>
  <c r="CI117" i="12"/>
  <c r="CG117" i="12"/>
  <c r="CE117" i="12"/>
  <c r="CC117" i="12"/>
  <c r="BX117" i="12"/>
  <c r="BW117" i="12"/>
  <c r="BV117" i="12"/>
  <c r="BU117" i="12"/>
  <c r="BT117" i="12"/>
  <c r="BR117" i="12"/>
  <c r="BQ117" i="12"/>
  <c r="BP117" i="12"/>
  <c r="BO117" i="12"/>
  <c r="BN117" i="12"/>
  <c r="BL117" i="12"/>
  <c r="BK117" i="12"/>
  <c r="BJ117" i="12"/>
  <c r="BI117" i="12"/>
  <c r="BH117" i="12"/>
  <c r="BG117" i="12"/>
  <c r="BE117" i="12"/>
  <c r="BD117" i="12"/>
  <c r="BC117" i="12"/>
  <c r="BB117" i="12"/>
  <c r="AZ117" i="12"/>
  <c r="AY117" i="12"/>
  <c r="AW117" i="12"/>
  <c r="AT117" i="12"/>
  <c r="AS117" i="12"/>
  <c r="AP117" i="12"/>
  <c r="AO117" i="12"/>
  <c r="AN117" i="12"/>
  <c r="AI117" i="12"/>
  <c r="L117" i="12"/>
  <c r="EB117" i="12" s="1"/>
  <c r="C117" i="12"/>
  <c r="G117" i="12" s="1"/>
  <c r="H117" i="12" s="1"/>
  <c r="EC116" i="12"/>
  <c r="DS116" i="12"/>
  <c r="DR116" i="12"/>
  <c r="DQ116" i="12"/>
  <c r="CN116" i="12"/>
  <c r="CM116" i="12"/>
  <c r="CK116" i="12"/>
  <c r="CJ116" i="12"/>
  <c r="CI116" i="12"/>
  <c r="CG116" i="12"/>
  <c r="CE116" i="12"/>
  <c r="CC116" i="12"/>
  <c r="BX116" i="12"/>
  <c r="BW116" i="12"/>
  <c r="BV116" i="12"/>
  <c r="BU116" i="12"/>
  <c r="BT116" i="12"/>
  <c r="BS116" i="12" s="1"/>
  <c r="BR116" i="12"/>
  <c r="BQ116" i="12"/>
  <c r="BP116" i="12"/>
  <c r="BO116" i="12"/>
  <c r="BN116" i="12"/>
  <c r="BL116" i="12"/>
  <c r="BK116" i="12"/>
  <c r="BJ116" i="12"/>
  <c r="BI116" i="12"/>
  <c r="BH116" i="12"/>
  <c r="BG116" i="12"/>
  <c r="BE116" i="12"/>
  <c r="BD116" i="12"/>
  <c r="BC116" i="12"/>
  <c r="BB116" i="12"/>
  <c r="AZ116" i="12"/>
  <c r="AY116" i="12"/>
  <c r="AW116" i="12"/>
  <c r="AT116" i="12"/>
  <c r="AS116" i="12"/>
  <c r="AP116" i="12"/>
  <c r="AO116" i="12"/>
  <c r="AN116" i="12"/>
  <c r="AI116" i="12"/>
  <c r="Q116" i="12"/>
  <c r="O116" i="12"/>
  <c r="O117" i="12" s="1"/>
  <c r="M116" i="12"/>
  <c r="L116" i="12"/>
  <c r="EB116" i="12" s="1"/>
  <c r="C116" i="12"/>
  <c r="G116" i="12" s="1"/>
  <c r="EC115" i="12"/>
  <c r="DS115" i="12"/>
  <c r="DR115" i="12"/>
  <c r="CN115" i="12"/>
  <c r="CM115" i="12"/>
  <c r="CK115" i="12"/>
  <c r="CJ115" i="12"/>
  <c r="CI115" i="12"/>
  <c r="CG115" i="12"/>
  <c r="CE115" i="12"/>
  <c r="CC115" i="12"/>
  <c r="BX115" i="12"/>
  <c r="BW115" i="12"/>
  <c r="BV115" i="12"/>
  <c r="BU115" i="12"/>
  <c r="BT115" i="12"/>
  <c r="BR115" i="12"/>
  <c r="BQ115" i="12"/>
  <c r="BP115" i="12"/>
  <c r="BO115" i="12"/>
  <c r="BN115" i="12"/>
  <c r="BL115" i="12"/>
  <c r="BK115" i="12"/>
  <c r="BJ115" i="12"/>
  <c r="BI115" i="12"/>
  <c r="BG115" i="12"/>
  <c r="BE115" i="12"/>
  <c r="BD115" i="12"/>
  <c r="BC115" i="12"/>
  <c r="BB115" i="12"/>
  <c r="AZ115" i="12"/>
  <c r="AY115" i="12"/>
  <c r="AW115" i="12"/>
  <c r="AV115" i="12"/>
  <c r="AT115" i="12"/>
  <c r="AS115" i="12"/>
  <c r="AP115" i="12"/>
  <c r="AO115" i="12"/>
  <c r="AN115" i="12"/>
  <c r="AI115" i="12"/>
  <c r="L115" i="12"/>
  <c r="EB115" i="12" s="1"/>
  <c r="C115" i="12"/>
  <c r="G115" i="12" s="1"/>
  <c r="EC114" i="12"/>
  <c r="DS114" i="12"/>
  <c r="DR114" i="12"/>
  <c r="DQ114" i="12"/>
  <c r="DQ115" i="12" s="1"/>
  <c r="CN114" i="12"/>
  <c r="CM114" i="12"/>
  <c r="CK114" i="12"/>
  <c r="CJ114" i="12"/>
  <c r="CI114" i="12"/>
  <c r="CG114" i="12"/>
  <c r="CE114" i="12"/>
  <c r="CC114" i="12"/>
  <c r="BX114" i="12"/>
  <c r="BW114" i="12"/>
  <c r="BV114" i="12"/>
  <c r="BU114" i="12"/>
  <c r="BT114" i="12"/>
  <c r="BR114" i="12"/>
  <c r="BQ114" i="12"/>
  <c r="BP114" i="12"/>
  <c r="BO114" i="12"/>
  <c r="BN114" i="12"/>
  <c r="BL114" i="12"/>
  <c r="BK114" i="12"/>
  <c r="BJ114" i="12"/>
  <c r="BI114" i="12"/>
  <c r="BG114" i="12"/>
  <c r="BE114" i="12"/>
  <c r="BD114" i="12"/>
  <c r="BC114" i="12"/>
  <c r="BB114" i="12"/>
  <c r="AZ114" i="12"/>
  <c r="AY114" i="12"/>
  <c r="AW114" i="12"/>
  <c r="AV114" i="12"/>
  <c r="AT114" i="12"/>
  <c r="AS114" i="12"/>
  <c r="AP114" i="12"/>
  <c r="AO114" i="12"/>
  <c r="AN114" i="12"/>
  <c r="AI114" i="12"/>
  <c r="Q114" i="12"/>
  <c r="Q115" i="12" s="1"/>
  <c r="O114" i="12"/>
  <c r="O115" i="12" s="1"/>
  <c r="M114" i="12"/>
  <c r="M115" i="12" s="1"/>
  <c r="L114" i="12"/>
  <c r="EB114" i="12" s="1"/>
  <c r="C114" i="12"/>
  <c r="G114" i="12" s="1"/>
  <c r="EC113" i="12"/>
  <c r="DU113" i="12"/>
  <c r="DS113" i="12"/>
  <c r="DR113" i="12"/>
  <c r="DQ113" i="12"/>
  <c r="DO113" i="12"/>
  <c r="CN113" i="12"/>
  <c r="CM113" i="12"/>
  <c r="CK113" i="12"/>
  <c r="CJ113" i="12"/>
  <c r="CI113" i="12"/>
  <c r="CG113" i="12"/>
  <c r="CE113" i="12"/>
  <c r="CC113" i="12"/>
  <c r="BX113" i="12"/>
  <c r="BW113" i="12"/>
  <c r="BV113" i="12"/>
  <c r="BU113" i="12"/>
  <c r="BT113" i="12"/>
  <c r="BR113" i="12"/>
  <c r="BQ113" i="12"/>
  <c r="BP113" i="12"/>
  <c r="BO113" i="12"/>
  <c r="BN113" i="12"/>
  <c r="BL113" i="12"/>
  <c r="BK113" i="12"/>
  <c r="BJ113" i="12"/>
  <c r="BI113" i="12"/>
  <c r="BH113" i="12"/>
  <c r="BG113" i="12"/>
  <c r="BE113" i="12"/>
  <c r="BD113" i="12"/>
  <c r="BC113" i="12"/>
  <c r="BB113" i="12"/>
  <c r="AZ113" i="12"/>
  <c r="AY113" i="12"/>
  <c r="AW113" i="12"/>
  <c r="AV113" i="12"/>
  <c r="AT113" i="12"/>
  <c r="AS113" i="12"/>
  <c r="AP113" i="12"/>
  <c r="AO113" i="12"/>
  <c r="AN113" i="12"/>
  <c r="AI113" i="12"/>
  <c r="AF113" i="12"/>
  <c r="R113" i="12"/>
  <c r="L113" i="12"/>
  <c r="EB113" i="12" s="1"/>
  <c r="C113" i="12"/>
  <c r="G113" i="12" s="1"/>
  <c r="EC112" i="12"/>
  <c r="DU112" i="12"/>
  <c r="DS112" i="12"/>
  <c r="DR112" i="12"/>
  <c r="DQ112" i="12"/>
  <c r="DO112" i="12"/>
  <c r="CN112" i="12"/>
  <c r="CM112" i="12"/>
  <c r="CK112" i="12"/>
  <c r="CJ112" i="12"/>
  <c r="CI112" i="12"/>
  <c r="CG112" i="12"/>
  <c r="CE112" i="12"/>
  <c r="CC112" i="12"/>
  <c r="BX112" i="12"/>
  <c r="BW112" i="12"/>
  <c r="BV112" i="12"/>
  <c r="BU112" i="12"/>
  <c r="BT112" i="12"/>
  <c r="BR112" i="12"/>
  <c r="BQ112" i="12"/>
  <c r="BP112" i="12"/>
  <c r="BO112" i="12"/>
  <c r="BN112" i="12"/>
  <c r="BL112" i="12"/>
  <c r="BK112" i="12"/>
  <c r="BJ112" i="12"/>
  <c r="BI112" i="12"/>
  <c r="BH112" i="12"/>
  <c r="BG112" i="12"/>
  <c r="BE112" i="12"/>
  <c r="BD112" i="12"/>
  <c r="BC112" i="12"/>
  <c r="BB112" i="12"/>
  <c r="AZ112" i="12"/>
  <c r="AY112" i="12"/>
  <c r="AW112" i="12"/>
  <c r="AV112" i="12"/>
  <c r="AT112" i="12"/>
  <c r="AS112" i="12"/>
  <c r="AP112" i="12"/>
  <c r="AO112" i="12"/>
  <c r="AN112" i="12"/>
  <c r="AI112" i="12"/>
  <c r="AF112" i="12"/>
  <c r="R112" i="12"/>
  <c r="L112" i="12"/>
  <c r="EB112" i="12" s="1"/>
  <c r="C112" i="12"/>
  <c r="G112" i="12" s="1"/>
  <c r="P112" i="12" s="1"/>
  <c r="EC111" i="12"/>
  <c r="DU111" i="12"/>
  <c r="DS111" i="12"/>
  <c r="DR111" i="12"/>
  <c r="DQ111" i="12"/>
  <c r="DO111" i="12"/>
  <c r="CN111" i="12"/>
  <c r="CM111" i="12"/>
  <c r="CK111" i="12"/>
  <c r="CJ111" i="12"/>
  <c r="CI111" i="12"/>
  <c r="CG111" i="12"/>
  <c r="CE111" i="12"/>
  <c r="CC111" i="12"/>
  <c r="BX111" i="12"/>
  <c r="BW111" i="12"/>
  <c r="BV111" i="12"/>
  <c r="BU111" i="12"/>
  <c r="BT111" i="12"/>
  <c r="BR111" i="12"/>
  <c r="BQ111" i="12"/>
  <c r="BP111" i="12"/>
  <c r="BO111" i="12"/>
  <c r="BN111" i="12"/>
  <c r="BL111" i="12"/>
  <c r="BK111" i="12"/>
  <c r="BJ111" i="12"/>
  <c r="BI111" i="12"/>
  <c r="BH111" i="12"/>
  <c r="BG111" i="12"/>
  <c r="BE111" i="12"/>
  <c r="BD111" i="12"/>
  <c r="BC111" i="12"/>
  <c r="BB111" i="12"/>
  <c r="AZ111" i="12"/>
  <c r="AY111" i="12"/>
  <c r="AW111" i="12"/>
  <c r="AV111" i="12"/>
  <c r="AT111" i="12"/>
  <c r="AS111" i="12"/>
  <c r="AP111" i="12"/>
  <c r="AO111" i="12"/>
  <c r="AN111" i="12"/>
  <c r="AI111" i="12"/>
  <c r="AF111" i="12"/>
  <c r="R111" i="12"/>
  <c r="L111" i="12"/>
  <c r="EB111" i="12" s="1"/>
  <c r="C111" i="12"/>
  <c r="G111" i="12" s="1"/>
  <c r="P111" i="12" s="1"/>
  <c r="EC110" i="12"/>
  <c r="DU110" i="12"/>
  <c r="DS110" i="12"/>
  <c r="DR110" i="12"/>
  <c r="DQ110" i="12"/>
  <c r="DO110" i="12"/>
  <c r="CN110" i="12"/>
  <c r="CM110" i="12"/>
  <c r="CK110" i="12"/>
  <c r="CJ110" i="12"/>
  <c r="CI110" i="12"/>
  <c r="CG110" i="12"/>
  <c r="CE110" i="12"/>
  <c r="CC110" i="12"/>
  <c r="BX110" i="12"/>
  <c r="BW110" i="12"/>
  <c r="BV110" i="12"/>
  <c r="BU110" i="12"/>
  <c r="BT110" i="12"/>
  <c r="BR110" i="12"/>
  <c r="BQ110" i="12"/>
  <c r="BP110" i="12"/>
  <c r="BO110" i="12"/>
  <c r="BN110" i="12"/>
  <c r="BL110" i="12"/>
  <c r="BK110" i="12"/>
  <c r="BJ110" i="12"/>
  <c r="BI110" i="12"/>
  <c r="BH110" i="12"/>
  <c r="BG110" i="12"/>
  <c r="BE110" i="12"/>
  <c r="BD110" i="12"/>
  <c r="BC110" i="12"/>
  <c r="BB110" i="12"/>
  <c r="AZ110" i="12"/>
  <c r="AY110" i="12"/>
  <c r="AW110" i="12"/>
  <c r="AV110" i="12"/>
  <c r="AT110" i="12"/>
  <c r="AS110" i="12"/>
  <c r="AP110" i="12"/>
  <c r="AO110" i="12"/>
  <c r="AN110" i="12"/>
  <c r="AI110" i="12"/>
  <c r="AF110" i="12"/>
  <c r="R110" i="12"/>
  <c r="L110" i="12"/>
  <c r="EB110" i="12" s="1"/>
  <c r="C110" i="12"/>
  <c r="G110" i="12" s="1"/>
  <c r="P110" i="12" s="1"/>
  <c r="EC109" i="12"/>
  <c r="DU109" i="12"/>
  <c r="DS109" i="12"/>
  <c r="DR109" i="12"/>
  <c r="DQ109" i="12"/>
  <c r="DO109" i="12"/>
  <c r="CN109" i="12"/>
  <c r="CM109" i="12"/>
  <c r="CK109" i="12"/>
  <c r="CJ109" i="12"/>
  <c r="CI109" i="12"/>
  <c r="CG109" i="12"/>
  <c r="CE109" i="12"/>
  <c r="CC109" i="12"/>
  <c r="BX109" i="12"/>
  <c r="BW109" i="12"/>
  <c r="BV109" i="12"/>
  <c r="BU109" i="12"/>
  <c r="BT109" i="12"/>
  <c r="BR109" i="12"/>
  <c r="BQ109" i="12"/>
  <c r="BP109" i="12"/>
  <c r="BO109" i="12"/>
  <c r="BN109" i="12"/>
  <c r="BL109" i="12"/>
  <c r="BK109" i="12"/>
  <c r="BJ109" i="12"/>
  <c r="BI109" i="12"/>
  <c r="BH109" i="12"/>
  <c r="BG109" i="12"/>
  <c r="BE109" i="12"/>
  <c r="BD109" i="12"/>
  <c r="BC109" i="12"/>
  <c r="BB109" i="12"/>
  <c r="AZ109" i="12"/>
  <c r="AY109" i="12"/>
  <c r="AW109" i="12"/>
  <c r="AV109" i="12"/>
  <c r="AT109" i="12"/>
  <c r="AS109" i="12"/>
  <c r="AP109" i="12"/>
  <c r="AO109" i="12"/>
  <c r="AN109" i="12"/>
  <c r="AI109" i="12"/>
  <c r="AF109" i="12"/>
  <c r="R109" i="12"/>
  <c r="L109" i="12"/>
  <c r="EB109" i="12" s="1"/>
  <c r="C109" i="12"/>
  <c r="G109" i="12" s="1"/>
  <c r="P109" i="12" s="1"/>
  <c r="EC108" i="12"/>
  <c r="DU108" i="12"/>
  <c r="DS108" i="12"/>
  <c r="DR108" i="12"/>
  <c r="DQ108" i="12"/>
  <c r="DO108" i="12"/>
  <c r="CN108" i="12"/>
  <c r="CM108" i="12"/>
  <c r="CK108" i="12"/>
  <c r="CJ108" i="12"/>
  <c r="CI108" i="12"/>
  <c r="CG108" i="12"/>
  <c r="CE108" i="12"/>
  <c r="CC108" i="12"/>
  <c r="BX108" i="12"/>
  <c r="BW108" i="12"/>
  <c r="BV108" i="12"/>
  <c r="BU108" i="12"/>
  <c r="BT108" i="12"/>
  <c r="BR108" i="12"/>
  <c r="BQ108" i="12"/>
  <c r="BP108" i="12"/>
  <c r="BO108" i="12"/>
  <c r="BN108" i="12"/>
  <c r="BL108" i="12"/>
  <c r="BK108" i="12"/>
  <c r="BJ108" i="12"/>
  <c r="BI108" i="12"/>
  <c r="BH108" i="12"/>
  <c r="BG108" i="12"/>
  <c r="BE108" i="12"/>
  <c r="BD108" i="12"/>
  <c r="BC108" i="12"/>
  <c r="BB108" i="12"/>
  <c r="AZ108" i="12"/>
  <c r="AY108" i="12"/>
  <c r="AW108" i="12"/>
  <c r="AV108" i="12"/>
  <c r="AT108" i="12"/>
  <c r="AS108" i="12"/>
  <c r="AP108" i="12"/>
  <c r="AO108" i="12"/>
  <c r="AN108" i="12"/>
  <c r="AI108" i="12"/>
  <c r="AF108" i="12"/>
  <c r="R108" i="12"/>
  <c r="L108" i="12"/>
  <c r="EB108" i="12" s="1"/>
  <c r="C108" i="12"/>
  <c r="G108" i="12" s="1"/>
  <c r="P108" i="12" s="1"/>
  <c r="EC107" i="12"/>
  <c r="DU107" i="12"/>
  <c r="DS107" i="12"/>
  <c r="DR107" i="12"/>
  <c r="DQ107" i="12"/>
  <c r="DO107" i="12"/>
  <c r="CN107" i="12"/>
  <c r="CM107" i="12"/>
  <c r="CK107" i="12"/>
  <c r="CJ107" i="12"/>
  <c r="CI107" i="12"/>
  <c r="CG107" i="12"/>
  <c r="CE107" i="12"/>
  <c r="CC107" i="12"/>
  <c r="BX107" i="12"/>
  <c r="BW107" i="12"/>
  <c r="BV107" i="12"/>
  <c r="BU107" i="12"/>
  <c r="BT107" i="12"/>
  <c r="BR107" i="12"/>
  <c r="BQ107" i="12"/>
  <c r="BP107" i="12"/>
  <c r="BO107" i="12"/>
  <c r="BN107" i="12"/>
  <c r="BL107" i="12"/>
  <c r="BK107" i="12"/>
  <c r="BJ107" i="12"/>
  <c r="BI107" i="12"/>
  <c r="BH107" i="12"/>
  <c r="BG107" i="12"/>
  <c r="BE107" i="12"/>
  <c r="BD107" i="12"/>
  <c r="BC107" i="12"/>
  <c r="BB107" i="12"/>
  <c r="AZ107" i="12"/>
  <c r="AY107" i="12"/>
  <c r="AW107" i="12"/>
  <c r="AV107" i="12"/>
  <c r="AT107" i="12"/>
  <c r="AS107" i="12"/>
  <c r="AP107" i="12"/>
  <c r="AO107" i="12"/>
  <c r="AN107" i="12"/>
  <c r="AI107" i="12"/>
  <c r="AF107" i="12"/>
  <c r="R107" i="12"/>
  <c r="L107" i="12"/>
  <c r="EB107" i="12" s="1"/>
  <c r="C107" i="12"/>
  <c r="G107" i="12" s="1"/>
  <c r="P107" i="12" s="1"/>
  <c r="EC106" i="12"/>
  <c r="DU106" i="12"/>
  <c r="DS106" i="12"/>
  <c r="DR106" i="12"/>
  <c r="DQ106" i="12"/>
  <c r="DO106" i="12"/>
  <c r="CN106" i="12"/>
  <c r="CM106" i="12"/>
  <c r="CK106" i="12"/>
  <c r="CJ106" i="12"/>
  <c r="CI106" i="12"/>
  <c r="CG106" i="12"/>
  <c r="CE106" i="12"/>
  <c r="CC106" i="12"/>
  <c r="BX106" i="12"/>
  <c r="BW106" i="12"/>
  <c r="BV106" i="12"/>
  <c r="BU106" i="12"/>
  <c r="BT106" i="12"/>
  <c r="BR106" i="12"/>
  <c r="BQ106" i="12"/>
  <c r="BP106" i="12"/>
  <c r="BO106" i="12"/>
  <c r="BN106" i="12"/>
  <c r="BL106" i="12"/>
  <c r="BK106" i="12"/>
  <c r="BJ106" i="12"/>
  <c r="BI106" i="12"/>
  <c r="BH106" i="12"/>
  <c r="BG106" i="12"/>
  <c r="BE106" i="12"/>
  <c r="BD106" i="12"/>
  <c r="BC106" i="12"/>
  <c r="BB106" i="12"/>
  <c r="AZ106" i="12"/>
  <c r="AY106" i="12"/>
  <c r="AW106" i="12"/>
  <c r="AV106" i="12"/>
  <c r="AT106" i="12"/>
  <c r="AS106" i="12"/>
  <c r="AP106" i="12"/>
  <c r="AO106" i="12"/>
  <c r="AN106" i="12"/>
  <c r="AI106" i="12"/>
  <c r="AF106" i="12"/>
  <c r="R106" i="12"/>
  <c r="L106" i="12"/>
  <c r="EB106" i="12" s="1"/>
  <c r="C106" i="12"/>
  <c r="G106" i="12" s="1"/>
  <c r="P106" i="12" s="1"/>
  <c r="EC105" i="12"/>
  <c r="DU105" i="12"/>
  <c r="DS105" i="12"/>
  <c r="DR105" i="12"/>
  <c r="DQ105" i="12"/>
  <c r="DO105" i="12"/>
  <c r="CN105" i="12"/>
  <c r="CM105" i="12"/>
  <c r="CK105" i="12"/>
  <c r="CJ105" i="12"/>
  <c r="CI105" i="12"/>
  <c r="CG105" i="12"/>
  <c r="CE105" i="12"/>
  <c r="CC105" i="12"/>
  <c r="BX105" i="12"/>
  <c r="BW105" i="12"/>
  <c r="BV105" i="12"/>
  <c r="BU105" i="12"/>
  <c r="BT105" i="12"/>
  <c r="BR105" i="12"/>
  <c r="BQ105" i="12"/>
  <c r="BP105" i="12"/>
  <c r="BO105" i="12"/>
  <c r="BN105" i="12"/>
  <c r="BL105" i="12"/>
  <c r="BK105" i="12"/>
  <c r="BJ105" i="12"/>
  <c r="BI105" i="12"/>
  <c r="BH105" i="12"/>
  <c r="BG105" i="12"/>
  <c r="BE105" i="12"/>
  <c r="BD105" i="12"/>
  <c r="BC105" i="12"/>
  <c r="BB105" i="12"/>
  <c r="AZ105" i="12"/>
  <c r="AY105" i="12"/>
  <c r="AW105" i="12"/>
  <c r="AV105" i="12"/>
  <c r="AT105" i="12"/>
  <c r="AS105" i="12"/>
  <c r="AP105" i="12"/>
  <c r="AO105" i="12"/>
  <c r="AN105" i="12"/>
  <c r="AI105" i="12"/>
  <c r="AF105" i="12"/>
  <c r="R105" i="12"/>
  <c r="L105" i="12"/>
  <c r="EB105" i="12" s="1"/>
  <c r="C105" i="12"/>
  <c r="G105" i="12" s="1"/>
  <c r="P105" i="12" s="1"/>
  <c r="EC104" i="12"/>
  <c r="DS104" i="12"/>
  <c r="DR104" i="12"/>
  <c r="DQ104" i="12"/>
  <c r="CN104" i="12"/>
  <c r="CM104" i="12"/>
  <c r="CK104" i="12"/>
  <c r="CJ104" i="12"/>
  <c r="CI104" i="12"/>
  <c r="CG104" i="12"/>
  <c r="CE104" i="12"/>
  <c r="CC104" i="12"/>
  <c r="BX104" i="12"/>
  <c r="BW104" i="12"/>
  <c r="BU104" i="12"/>
  <c r="BT104" i="12"/>
  <c r="BR104" i="12"/>
  <c r="BQ104" i="12"/>
  <c r="BP104" i="12"/>
  <c r="BO104" i="12"/>
  <c r="BN104" i="12"/>
  <c r="BL104" i="12"/>
  <c r="BK104" i="12"/>
  <c r="BJ104" i="12"/>
  <c r="BI104" i="12"/>
  <c r="BH104" i="12"/>
  <c r="BG104" i="12"/>
  <c r="BE104" i="12"/>
  <c r="BD104" i="12"/>
  <c r="BC104" i="12"/>
  <c r="BB104" i="12"/>
  <c r="AZ104" i="12"/>
  <c r="AY104" i="12"/>
  <c r="AW104" i="12"/>
  <c r="AV104" i="12"/>
  <c r="AT104" i="12"/>
  <c r="AS104" i="12"/>
  <c r="AP104" i="12"/>
  <c r="AO104" i="12"/>
  <c r="AN104" i="12"/>
  <c r="AI104" i="12"/>
  <c r="L104" i="12"/>
  <c r="EB104" i="12" s="1"/>
  <c r="C104" i="12"/>
  <c r="G104" i="12" s="1"/>
  <c r="H104" i="12" s="1"/>
  <c r="EC103" i="12"/>
  <c r="DS103" i="12"/>
  <c r="DR103" i="12"/>
  <c r="DQ103" i="12"/>
  <c r="CN103" i="12"/>
  <c r="CM103" i="12"/>
  <c r="CK103" i="12"/>
  <c r="CJ103" i="12"/>
  <c r="CI103" i="12"/>
  <c r="CG103" i="12"/>
  <c r="CE103" i="12"/>
  <c r="CC103" i="12"/>
  <c r="BX103" i="12"/>
  <c r="BW103" i="12"/>
  <c r="BU103" i="12"/>
  <c r="BT103" i="12"/>
  <c r="BR103" i="12"/>
  <c r="BQ103" i="12"/>
  <c r="BP103" i="12"/>
  <c r="BO103" i="12"/>
  <c r="BN103" i="12"/>
  <c r="BL103" i="12"/>
  <c r="BK103" i="12"/>
  <c r="BJ103" i="12"/>
  <c r="BI103" i="12"/>
  <c r="BH103" i="12"/>
  <c r="BG103" i="12"/>
  <c r="BE103" i="12"/>
  <c r="BD103" i="12"/>
  <c r="BC103" i="12"/>
  <c r="BB103" i="12"/>
  <c r="AZ103" i="12"/>
  <c r="AY103" i="12"/>
  <c r="AW103" i="12"/>
  <c r="AV103" i="12"/>
  <c r="AT103" i="12"/>
  <c r="AS103" i="12"/>
  <c r="AP103" i="12"/>
  <c r="AO103" i="12"/>
  <c r="AN103" i="12"/>
  <c r="AI103" i="12"/>
  <c r="Q103" i="12"/>
  <c r="Q104" i="12" s="1"/>
  <c r="O103" i="12"/>
  <c r="O104" i="12" s="1"/>
  <c r="M103" i="12"/>
  <c r="M104" i="12" s="1"/>
  <c r="L103" i="12"/>
  <c r="EB103" i="12" s="1"/>
  <c r="C103" i="12"/>
  <c r="G103" i="12" s="1"/>
  <c r="EC102" i="12"/>
  <c r="DU102" i="12"/>
  <c r="DS102" i="12"/>
  <c r="DR102" i="12"/>
  <c r="DQ102" i="12"/>
  <c r="DO102" i="12"/>
  <c r="CN102" i="12"/>
  <c r="CM102" i="12"/>
  <c r="CK102" i="12"/>
  <c r="CJ102" i="12"/>
  <c r="CI102" i="12"/>
  <c r="CG102" i="12"/>
  <c r="CE102" i="12"/>
  <c r="CC102" i="12"/>
  <c r="BX102" i="12"/>
  <c r="BW102" i="12"/>
  <c r="BV102" i="12"/>
  <c r="BU102" i="12"/>
  <c r="BT102" i="12"/>
  <c r="BR102" i="12"/>
  <c r="BQ102" i="12"/>
  <c r="BP102" i="12"/>
  <c r="BO102" i="12"/>
  <c r="BN102" i="12"/>
  <c r="BL102" i="12"/>
  <c r="BK102" i="12"/>
  <c r="BJ102" i="12"/>
  <c r="BI102" i="12"/>
  <c r="BH102" i="12"/>
  <c r="BG102" i="12"/>
  <c r="BE102" i="12"/>
  <c r="BD102" i="12"/>
  <c r="BC102" i="12"/>
  <c r="BB102" i="12"/>
  <c r="AZ102" i="12"/>
  <c r="AY102" i="12"/>
  <c r="AW102" i="12"/>
  <c r="AV102" i="12"/>
  <c r="AT102" i="12"/>
  <c r="AS102" i="12"/>
  <c r="AP102" i="12"/>
  <c r="AO102" i="12"/>
  <c r="AN102" i="12"/>
  <c r="AI102" i="12"/>
  <c r="AF102" i="12"/>
  <c r="R102" i="12"/>
  <c r="L102" i="12"/>
  <c r="EB102" i="12" s="1"/>
  <c r="C102" i="12"/>
  <c r="G102" i="12" s="1"/>
  <c r="EC101" i="12"/>
  <c r="DU101" i="12"/>
  <c r="DS101" i="12"/>
  <c r="DR101" i="12"/>
  <c r="DQ101" i="12"/>
  <c r="CN101" i="12"/>
  <c r="CM101" i="12"/>
  <c r="CK101" i="12"/>
  <c r="CJ101" i="12"/>
  <c r="CI101" i="12"/>
  <c r="CG101" i="12"/>
  <c r="CE101" i="12"/>
  <c r="CC101" i="12"/>
  <c r="BX101" i="12"/>
  <c r="BW101" i="12"/>
  <c r="BV101" i="12"/>
  <c r="BU101" i="12"/>
  <c r="BT101" i="12"/>
  <c r="BR101" i="12"/>
  <c r="BQ101" i="12"/>
  <c r="BP101" i="12"/>
  <c r="BO101" i="12"/>
  <c r="BN101" i="12"/>
  <c r="BL101" i="12"/>
  <c r="BK101" i="12"/>
  <c r="BJ101" i="12"/>
  <c r="BI101" i="12"/>
  <c r="BH101" i="12"/>
  <c r="BG101" i="12"/>
  <c r="BE101" i="12"/>
  <c r="BD101" i="12"/>
  <c r="BC101" i="12"/>
  <c r="BB101" i="12"/>
  <c r="AZ101" i="12"/>
  <c r="AY101" i="12"/>
  <c r="AW101" i="12"/>
  <c r="AV101" i="12"/>
  <c r="AT101" i="12"/>
  <c r="AS101" i="12"/>
  <c r="AP101" i="12"/>
  <c r="AO101" i="12"/>
  <c r="AN101" i="12"/>
  <c r="AI101" i="12"/>
  <c r="AF101" i="12"/>
  <c r="L101" i="12"/>
  <c r="EB101" i="12" s="1"/>
  <c r="H101" i="12"/>
  <c r="C101" i="12"/>
  <c r="G101" i="12" s="1"/>
  <c r="EC100" i="12"/>
  <c r="DU100" i="12"/>
  <c r="DS100" i="12"/>
  <c r="DR100" i="12"/>
  <c r="CN100" i="12"/>
  <c r="CM100" i="12"/>
  <c r="CK100" i="12"/>
  <c r="CJ100" i="12"/>
  <c r="CI100" i="12"/>
  <c r="CG100" i="12"/>
  <c r="CE100" i="12"/>
  <c r="CC100" i="12"/>
  <c r="BX100" i="12"/>
  <c r="BW100" i="12"/>
  <c r="BV100" i="12"/>
  <c r="BU100" i="12"/>
  <c r="BT100" i="12"/>
  <c r="BR100" i="12"/>
  <c r="BQ100" i="12"/>
  <c r="BP100" i="12"/>
  <c r="BO100" i="12"/>
  <c r="BN100" i="12"/>
  <c r="BL100" i="12"/>
  <c r="BK100" i="12"/>
  <c r="BJ100" i="12"/>
  <c r="BI100" i="12"/>
  <c r="BH100" i="12"/>
  <c r="BG100" i="12"/>
  <c r="BE100" i="12"/>
  <c r="BD100" i="12"/>
  <c r="BC100" i="12"/>
  <c r="BB100" i="12"/>
  <c r="AZ100" i="12"/>
  <c r="AY100" i="12"/>
  <c r="AW100" i="12"/>
  <c r="AV100" i="12"/>
  <c r="AT100" i="12"/>
  <c r="AS100" i="12"/>
  <c r="AP100" i="12"/>
  <c r="AO100" i="12"/>
  <c r="AN100" i="12"/>
  <c r="AI100" i="12"/>
  <c r="AF100" i="12"/>
  <c r="L100" i="12"/>
  <c r="EB100" i="12" s="1"/>
  <c r="C100" i="12"/>
  <c r="G100" i="12" s="1"/>
  <c r="EC99" i="12"/>
  <c r="DU99" i="12"/>
  <c r="DS99" i="12"/>
  <c r="DR99" i="12"/>
  <c r="DQ99" i="12"/>
  <c r="DQ100" i="12" s="1"/>
  <c r="CN99" i="12"/>
  <c r="CM99" i="12"/>
  <c r="CK99" i="12"/>
  <c r="CJ99" i="12"/>
  <c r="CI99" i="12"/>
  <c r="CG99" i="12"/>
  <c r="CE99" i="12"/>
  <c r="CC99" i="12"/>
  <c r="BX99" i="12"/>
  <c r="BW99" i="12"/>
  <c r="BV99" i="12"/>
  <c r="BU99" i="12"/>
  <c r="BT99" i="12"/>
  <c r="BR99" i="12"/>
  <c r="BQ99" i="12"/>
  <c r="BP99" i="12"/>
  <c r="BO99" i="12"/>
  <c r="BN99" i="12"/>
  <c r="BL99" i="12"/>
  <c r="BK99" i="12"/>
  <c r="BJ99" i="12"/>
  <c r="BI99" i="12"/>
  <c r="BH99" i="12"/>
  <c r="BG99" i="12"/>
  <c r="BE99" i="12"/>
  <c r="BD99" i="12"/>
  <c r="BC99" i="12"/>
  <c r="BB99" i="12"/>
  <c r="AZ99" i="12"/>
  <c r="AY99" i="12"/>
  <c r="AW99" i="12"/>
  <c r="AV99" i="12"/>
  <c r="AT99" i="12"/>
  <c r="AS99" i="12"/>
  <c r="AP99" i="12"/>
  <c r="AO99" i="12"/>
  <c r="AN99" i="12"/>
  <c r="AI99" i="12"/>
  <c r="AF99" i="12"/>
  <c r="L99" i="12"/>
  <c r="EB99" i="12" s="1"/>
  <c r="C99" i="12"/>
  <c r="G99" i="12" s="1"/>
  <c r="EC98" i="12"/>
  <c r="DU98" i="12"/>
  <c r="DS98" i="12"/>
  <c r="DR98" i="12"/>
  <c r="DQ98" i="12"/>
  <c r="CN98" i="12"/>
  <c r="CM98" i="12"/>
  <c r="CK98" i="12"/>
  <c r="CJ98" i="12"/>
  <c r="CI98" i="12"/>
  <c r="CG98" i="12"/>
  <c r="CE98" i="12"/>
  <c r="CC98" i="12"/>
  <c r="BX98" i="12"/>
  <c r="BW98" i="12"/>
  <c r="BV98" i="12"/>
  <c r="BU98" i="12"/>
  <c r="BT98" i="12"/>
  <c r="BR98" i="12"/>
  <c r="BQ98" i="12"/>
  <c r="BP98" i="12"/>
  <c r="BO98" i="12"/>
  <c r="BN98" i="12"/>
  <c r="BL98" i="12"/>
  <c r="BK98" i="12"/>
  <c r="BJ98" i="12"/>
  <c r="BI98" i="12"/>
  <c r="BH98" i="12"/>
  <c r="BG98" i="12"/>
  <c r="BE98" i="12"/>
  <c r="BD98" i="12"/>
  <c r="BC98" i="12"/>
  <c r="BB98" i="12"/>
  <c r="AZ98" i="12"/>
  <c r="AY98" i="12"/>
  <c r="AW98" i="12"/>
  <c r="AV98" i="12"/>
  <c r="AT98" i="12"/>
  <c r="AS98" i="12"/>
  <c r="AP98" i="12"/>
  <c r="AO98" i="12"/>
  <c r="AN98" i="12"/>
  <c r="AI98" i="12"/>
  <c r="AF98" i="12"/>
  <c r="L98" i="12"/>
  <c r="EB98" i="12" s="1"/>
  <c r="C98" i="12"/>
  <c r="G98" i="12" s="1"/>
  <c r="EC97" i="12"/>
  <c r="DU97" i="12"/>
  <c r="DS97" i="12"/>
  <c r="DR97" i="12"/>
  <c r="DQ97" i="12"/>
  <c r="CN97" i="12"/>
  <c r="CM97" i="12"/>
  <c r="CK97" i="12"/>
  <c r="CJ97" i="12"/>
  <c r="CI97" i="12"/>
  <c r="CG97" i="12"/>
  <c r="CE97" i="12"/>
  <c r="CC97" i="12"/>
  <c r="BX97" i="12"/>
  <c r="BW97" i="12"/>
  <c r="BV97" i="12"/>
  <c r="BU97" i="12"/>
  <c r="BT97" i="12"/>
  <c r="BR97" i="12"/>
  <c r="BQ97" i="12"/>
  <c r="BP97" i="12"/>
  <c r="BO97" i="12"/>
  <c r="BN97" i="12"/>
  <c r="BL97" i="12"/>
  <c r="BK97" i="12"/>
  <c r="BJ97" i="12"/>
  <c r="BI97" i="12"/>
  <c r="BH97" i="12"/>
  <c r="BG97" i="12"/>
  <c r="BE97" i="12"/>
  <c r="BD97" i="12"/>
  <c r="BC97" i="12"/>
  <c r="BB97" i="12"/>
  <c r="AZ97" i="12"/>
  <c r="AY97" i="12"/>
  <c r="AW97" i="12"/>
  <c r="AV97" i="12"/>
  <c r="AT97" i="12"/>
  <c r="AS97" i="12"/>
  <c r="AP97" i="12"/>
  <c r="AO97" i="12"/>
  <c r="AN97" i="12"/>
  <c r="AI97" i="12"/>
  <c r="AF97" i="12"/>
  <c r="L97" i="12"/>
  <c r="EB97" i="12" s="1"/>
  <c r="C97" i="12"/>
  <c r="G97" i="12" s="1"/>
  <c r="P97" i="12" s="1"/>
  <c r="EC96" i="12"/>
  <c r="DY96" i="12" s="1"/>
  <c r="DU96" i="12"/>
  <c r="DS96" i="12"/>
  <c r="DR96" i="12"/>
  <c r="DQ96" i="12"/>
  <c r="CN96" i="12"/>
  <c r="CM96" i="12"/>
  <c r="CK96" i="12"/>
  <c r="CJ96" i="12"/>
  <c r="CI96" i="12"/>
  <c r="CG96" i="12"/>
  <c r="CE96" i="12"/>
  <c r="CC96" i="12"/>
  <c r="BX96" i="12"/>
  <c r="BW96" i="12"/>
  <c r="BV96" i="12"/>
  <c r="BU96" i="12"/>
  <c r="BT96" i="12"/>
  <c r="BR96" i="12"/>
  <c r="BQ96" i="12"/>
  <c r="BP96" i="12"/>
  <c r="BO96" i="12"/>
  <c r="BN96" i="12"/>
  <c r="BL96" i="12"/>
  <c r="BK96" i="12"/>
  <c r="BJ96" i="12"/>
  <c r="BI96" i="12"/>
  <c r="BH96" i="12"/>
  <c r="BG96" i="12"/>
  <c r="BE96" i="12"/>
  <c r="BD96" i="12"/>
  <c r="BC96" i="12"/>
  <c r="BB96" i="12"/>
  <c r="AZ96" i="12"/>
  <c r="AY96" i="12"/>
  <c r="AW96" i="12"/>
  <c r="AV96" i="12"/>
  <c r="AT96" i="12"/>
  <c r="AS96" i="12"/>
  <c r="AP96" i="12"/>
  <c r="AO96" i="12"/>
  <c r="AN96" i="12"/>
  <c r="AI96" i="12"/>
  <c r="L96" i="12"/>
  <c r="EB96" i="12" s="1"/>
  <c r="C96" i="12"/>
  <c r="G96" i="12" s="1"/>
  <c r="P96" i="12" s="1"/>
  <c r="EC95" i="12"/>
  <c r="DU95" i="12"/>
  <c r="DS95" i="12"/>
  <c r="DR95" i="12"/>
  <c r="DQ95" i="12"/>
  <c r="CN95" i="12"/>
  <c r="CM95" i="12"/>
  <c r="CK95" i="12"/>
  <c r="CJ95" i="12"/>
  <c r="CI95" i="12"/>
  <c r="CG95" i="12"/>
  <c r="CE95" i="12"/>
  <c r="CC95" i="12"/>
  <c r="BX95" i="12"/>
  <c r="BW95" i="12"/>
  <c r="BV95" i="12"/>
  <c r="BU95" i="12"/>
  <c r="BT95" i="12"/>
  <c r="BR95" i="12"/>
  <c r="BQ95" i="12"/>
  <c r="BP95" i="12"/>
  <c r="BO95" i="12"/>
  <c r="BN95" i="12"/>
  <c r="BL95" i="12"/>
  <c r="BK95" i="12"/>
  <c r="BJ95" i="12"/>
  <c r="BI95" i="12"/>
  <c r="BH95" i="12"/>
  <c r="BG95" i="12"/>
  <c r="BE95" i="12"/>
  <c r="BD95" i="12"/>
  <c r="BC95" i="12"/>
  <c r="BB95" i="12"/>
  <c r="AZ95" i="12"/>
  <c r="AY95" i="12"/>
  <c r="AW95" i="12"/>
  <c r="AV95" i="12"/>
  <c r="AT95" i="12"/>
  <c r="AS95" i="12"/>
  <c r="AP95" i="12"/>
  <c r="AO95" i="12"/>
  <c r="AN95" i="12"/>
  <c r="AI95" i="12"/>
  <c r="L95" i="12"/>
  <c r="EB95" i="12" s="1"/>
  <c r="C95" i="12"/>
  <c r="G95" i="12" s="1"/>
  <c r="EC94" i="12"/>
  <c r="DU94" i="12"/>
  <c r="DS94" i="12"/>
  <c r="DR94" i="12"/>
  <c r="DQ94" i="12"/>
  <c r="DO94" i="12"/>
  <c r="CN94" i="12"/>
  <c r="CM94" i="12"/>
  <c r="CK94" i="12"/>
  <c r="CJ94" i="12"/>
  <c r="CI94" i="12"/>
  <c r="CG94" i="12"/>
  <c r="CE94" i="12"/>
  <c r="CC94" i="12"/>
  <c r="BX94" i="12"/>
  <c r="BW94" i="12"/>
  <c r="BV94" i="12"/>
  <c r="BU94" i="12"/>
  <c r="BT94" i="12"/>
  <c r="BR94" i="12"/>
  <c r="BQ94" i="12"/>
  <c r="BP94" i="12"/>
  <c r="BO94" i="12"/>
  <c r="BN94" i="12"/>
  <c r="BL94" i="12"/>
  <c r="BK94" i="12"/>
  <c r="BJ94" i="12"/>
  <c r="BI94" i="12"/>
  <c r="BH94" i="12"/>
  <c r="BG94" i="12"/>
  <c r="BE94" i="12"/>
  <c r="BD94" i="12"/>
  <c r="BC94" i="12"/>
  <c r="BB94" i="12"/>
  <c r="AZ94" i="12"/>
  <c r="AY94" i="12"/>
  <c r="AW94" i="12"/>
  <c r="AV94" i="12"/>
  <c r="AT94" i="12"/>
  <c r="AS94" i="12"/>
  <c r="AP94" i="12"/>
  <c r="AO94" i="12"/>
  <c r="AN94" i="12"/>
  <c r="AI94" i="12"/>
  <c r="AF94" i="12"/>
  <c r="R94" i="12"/>
  <c r="L94" i="12"/>
  <c r="EB94" i="12" s="1"/>
  <c r="C94" i="12"/>
  <c r="G94" i="12" s="1"/>
  <c r="EC93" i="12"/>
  <c r="DU93" i="12"/>
  <c r="DS93" i="12"/>
  <c r="DR93" i="12"/>
  <c r="DQ93" i="12"/>
  <c r="DO93" i="12"/>
  <c r="CN93" i="12"/>
  <c r="CM93" i="12"/>
  <c r="CK93" i="12"/>
  <c r="CJ93" i="12"/>
  <c r="CI93" i="12"/>
  <c r="CG93" i="12"/>
  <c r="CE93" i="12"/>
  <c r="CC93" i="12"/>
  <c r="BX93" i="12"/>
  <c r="BW93" i="12"/>
  <c r="BV93" i="12"/>
  <c r="BU93" i="12"/>
  <c r="BT93" i="12"/>
  <c r="BR93" i="12"/>
  <c r="BQ93" i="12"/>
  <c r="BP93" i="12"/>
  <c r="BO93" i="12"/>
  <c r="BN93" i="12"/>
  <c r="BL93" i="12"/>
  <c r="BK93" i="12"/>
  <c r="BJ93" i="12"/>
  <c r="BI93" i="12"/>
  <c r="BH93" i="12"/>
  <c r="BG93" i="12"/>
  <c r="BE93" i="12"/>
  <c r="BD93" i="12"/>
  <c r="BC93" i="12"/>
  <c r="BB93" i="12"/>
  <c r="AZ93" i="12"/>
  <c r="AY93" i="12"/>
  <c r="AW93" i="12"/>
  <c r="AV93" i="12"/>
  <c r="AT93" i="12"/>
  <c r="AS93" i="12"/>
  <c r="AP93" i="12"/>
  <c r="AO93" i="12"/>
  <c r="AN93" i="12"/>
  <c r="AI93" i="12"/>
  <c r="AF93" i="12"/>
  <c r="R93" i="12"/>
  <c r="L93" i="12"/>
  <c r="EB93" i="12" s="1"/>
  <c r="C93" i="12"/>
  <c r="G93" i="12" s="1"/>
  <c r="EC92" i="12"/>
  <c r="DU92" i="12"/>
  <c r="DS92" i="12"/>
  <c r="DR92" i="12"/>
  <c r="DQ92" i="12"/>
  <c r="DO92" i="12"/>
  <c r="CN92" i="12"/>
  <c r="CM92" i="12"/>
  <c r="CK92" i="12"/>
  <c r="CJ92" i="12"/>
  <c r="CI92" i="12"/>
  <c r="CG92" i="12"/>
  <c r="CE92" i="12"/>
  <c r="CC92" i="12"/>
  <c r="BX92" i="12"/>
  <c r="BW92" i="12"/>
  <c r="BV92" i="12"/>
  <c r="BU92" i="12"/>
  <c r="BT92" i="12"/>
  <c r="BR92" i="12"/>
  <c r="BQ92" i="12"/>
  <c r="BP92" i="12"/>
  <c r="BO92" i="12"/>
  <c r="BN92" i="12"/>
  <c r="BL92" i="12"/>
  <c r="BK92" i="12"/>
  <c r="BJ92" i="12"/>
  <c r="BI92" i="12"/>
  <c r="BH92" i="12"/>
  <c r="BG92" i="12"/>
  <c r="BE92" i="12"/>
  <c r="BD92" i="12"/>
  <c r="BC92" i="12"/>
  <c r="BB92" i="12"/>
  <c r="AZ92" i="12"/>
  <c r="AY92" i="12"/>
  <c r="AW92" i="12"/>
  <c r="AV92" i="12"/>
  <c r="AT92" i="12"/>
  <c r="AS92" i="12"/>
  <c r="AP92" i="12"/>
  <c r="AO92" i="12"/>
  <c r="AN92" i="12"/>
  <c r="AI92" i="12"/>
  <c r="AF92" i="12"/>
  <c r="R92" i="12"/>
  <c r="L92" i="12"/>
  <c r="EB92" i="12" s="1"/>
  <c r="C92" i="12"/>
  <c r="G92" i="12" s="1"/>
  <c r="EC91" i="12"/>
  <c r="DU91" i="12"/>
  <c r="DS91" i="12"/>
  <c r="DR91" i="12"/>
  <c r="DQ91" i="12"/>
  <c r="DO91" i="12"/>
  <c r="CN91" i="12"/>
  <c r="CM91" i="12"/>
  <c r="CK91" i="12"/>
  <c r="CJ91" i="12"/>
  <c r="CI91" i="12"/>
  <c r="CG91" i="12"/>
  <c r="CE91" i="12"/>
  <c r="CC91" i="12"/>
  <c r="BX91" i="12"/>
  <c r="BW91" i="12"/>
  <c r="BV91" i="12"/>
  <c r="BU91" i="12"/>
  <c r="BT91" i="12"/>
  <c r="BR91" i="12"/>
  <c r="BQ91" i="12"/>
  <c r="BP91" i="12"/>
  <c r="BO91" i="12"/>
  <c r="BN91" i="12"/>
  <c r="BL91" i="12"/>
  <c r="BK91" i="12"/>
  <c r="BJ91" i="12"/>
  <c r="BI91" i="12"/>
  <c r="BH91" i="12"/>
  <c r="BG91" i="12"/>
  <c r="BE91" i="12"/>
  <c r="BD91" i="12"/>
  <c r="BC91" i="12"/>
  <c r="BB91" i="12"/>
  <c r="AZ91" i="12"/>
  <c r="AY91" i="12"/>
  <c r="AW91" i="12"/>
  <c r="AV91" i="12"/>
  <c r="AT91" i="12"/>
  <c r="AS91" i="12"/>
  <c r="AP91" i="12"/>
  <c r="AO91" i="12"/>
  <c r="AN91" i="12"/>
  <c r="AI91" i="12"/>
  <c r="AF91" i="12"/>
  <c r="R91" i="12"/>
  <c r="L91" i="12"/>
  <c r="EB91" i="12" s="1"/>
  <c r="C91" i="12"/>
  <c r="G91" i="12" s="1"/>
  <c r="EC90" i="12"/>
  <c r="DU90" i="12"/>
  <c r="DS90" i="12"/>
  <c r="DR90" i="12"/>
  <c r="DQ90" i="12"/>
  <c r="CN90" i="12"/>
  <c r="CM90" i="12"/>
  <c r="CK90" i="12"/>
  <c r="CJ90" i="12"/>
  <c r="CI90" i="12"/>
  <c r="CG90" i="12"/>
  <c r="CE90" i="12"/>
  <c r="CC90" i="12"/>
  <c r="BX90" i="12"/>
  <c r="BW90" i="12"/>
  <c r="BV90" i="12"/>
  <c r="BU90" i="12"/>
  <c r="BT90" i="12"/>
  <c r="BR90" i="12"/>
  <c r="BQ90" i="12"/>
  <c r="BP90" i="12"/>
  <c r="BO90" i="12"/>
  <c r="BN90" i="12"/>
  <c r="BL90" i="12"/>
  <c r="BK90" i="12"/>
  <c r="BJ90" i="12"/>
  <c r="BI90" i="12"/>
  <c r="BH90" i="12"/>
  <c r="BG90" i="12"/>
  <c r="BE90" i="12"/>
  <c r="BD90" i="12"/>
  <c r="BC90" i="12"/>
  <c r="BB90" i="12"/>
  <c r="AZ90" i="12"/>
  <c r="AY90" i="12"/>
  <c r="AW90" i="12"/>
  <c r="AV90" i="12"/>
  <c r="AT90" i="12"/>
  <c r="AS90" i="12"/>
  <c r="AP90" i="12"/>
  <c r="AO90" i="12"/>
  <c r="AN90" i="12"/>
  <c r="AI90" i="12"/>
  <c r="AF90" i="12"/>
  <c r="L90" i="12"/>
  <c r="EB90" i="12" s="1"/>
  <c r="C90" i="12"/>
  <c r="G90" i="12" s="1"/>
  <c r="N90" i="12" s="1"/>
  <c r="EC89" i="12"/>
  <c r="DS89" i="12"/>
  <c r="DR89" i="12"/>
  <c r="CN89" i="12"/>
  <c r="CM89" i="12"/>
  <c r="CK89" i="12"/>
  <c r="CJ89" i="12"/>
  <c r="CI89" i="12"/>
  <c r="CG89" i="12"/>
  <c r="CE89" i="12"/>
  <c r="CC89" i="12"/>
  <c r="BX89" i="12"/>
  <c r="BW89" i="12"/>
  <c r="BV89" i="12"/>
  <c r="BU89" i="12"/>
  <c r="BT89" i="12"/>
  <c r="BR89" i="12"/>
  <c r="BQ89" i="12"/>
  <c r="BP89" i="12"/>
  <c r="BO89" i="12"/>
  <c r="BN89" i="12"/>
  <c r="BL89" i="12"/>
  <c r="BK89" i="12"/>
  <c r="BJ89" i="12"/>
  <c r="BI89" i="12"/>
  <c r="BH89" i="12"/>
  <c r="BG89" i="12"/>
  <c r="BE89" i="12"/>
  <c r="BD89" i="12"/>
  <c r="BC89" i="12"/>
  <c r="BB89" i="12"/>
  <c r="AZ89" i="12"/>
  <c r="AY89" i="12"/>
  <c r="AW89" i="12"/>
  <c r="AV89" i="12"/>
  <c r="AT89" i="12"/>
  <c r="AS89" i="12"/>
  <c r="AP89" i="12"/>
  <c r="AO89" i="12"/>
  <c r="AN89" i="12"/>
  <c r="AI89" i="12"/>
  <c r="L89" i="12"/>
  <c r="EB89" i="12" s="1"/>
  <c r="C89" i="12"/>
  <c r="G89" i="12" s="1"/>
  <c r="H89" i="12" s="1"/>
  <c r="EC88" i="12"/>
  <c r="DS88" i="12"/>
  <c r="DR88" i="12"/>
  <c r="DQ88" i="12"/>
  <c r="DQ89" i="12" s="1"/>
  <c r="CN88" i="12"/>
  <c r="CM88" i="12"/>
  <c r="CK88" i="12"/>
  <c r="CJ88" i="12"/>
  <c r="CI88" i="12"/>
  <c r="CG88" i="12"/>
  <c r="CE88" i="12"/>
  <c r="CC88" i="12"/>
  <c r="BX88" i="12"/>
  <c r="BW88" i="12"/>
  <c r="BV88" i="12"/>
  <c r="BU88" i="12"/>
  <c r="BT88" i="12"/>
  <c r="BR88" i="12"/>
  <c r="BQ88" i="12"/>
  <c r="BP88" i="12"/>
  <c r="BO88" i="12"/>
  <c r="BN88" i="12"/>
  <c r="BL88" i="12"/>
  <c r="BK88" i="12"/>
  <c r="BJ88" i="12"/>
  <c r="BI88" i="12"/>
  <c r="BH88" i="12"/>
  <c r="BG88" i="12"/>
  <c r="BE88" i="12"/>
  <c r="BD88" i="12"/>
  <c r="BC88" i="12"/>
  <c r="BB88" i="12"/>
  <c r="AZ88" i="12"/>
  <c r="AY88" i="12"/>
  <c r="AW88" i="12"/>
  <c r="AV88" i="12"/>
  <c r="AT88" i="12"/>
  <c r="AS88" i="12"/>
  <c r="AP88" i="12"/>
  <c r="AO88" i="12"/>
  <c r="AN88" i="12"/>
  <c r="AI88" i="12"/>
  <c r="Q88" i="12"/>
  <c r="O88" i="12"/>
  <c r="O89" i="12" s="1"/>
  <c r="M88" i="12"/>
  <c r="L88" i="12"/>
  <c r="EB88" i="12" s="1"/>
  <c r="C88" i="12"/>
  <c r="G88" i="12" s="1"/>
  <c r="H88" i="12" s="1"/>
  <c r="EC87" i="12"/>
  <c r="DU87" i="12"/>
  <c r="DS87" i="12"/>
  <c r="DR87" i="12"/>
  <c r="DQ87" i="12"/>
  <c r="DO87" i="12"/>
  <c r="CN87" i="12"/>
  <c r="CM87" i="12"/>
  <c r="CK87" i="12"/>
  <c r="CJ87" i="12"/>
  <c r="CI87" i="12"/>
  <c r="CG87" i="12"/>
  <c r="CE87" i="12"/>
  <c r="CC87" i="12"/>
  <c r="BX87" i="12"/>
  <c r="BW87" i="12"/>
  <c r="BV87" i="12"/>
  <c r="BU87" i="12"/>
  <c r="BT87" i="12"/>
  <c r="BR87" i="12"/>
  <c r="BQ87" i="12"/>
  <c r="BP87" i="12"/>
  <c r="BO87" i="12"/>
  <c r="BN87" i="12"/>
  <c r="BL87" i="12"/>
  <c r="BK87" i="12"/>
  <c r="BJ87" i="12"/>
  <c r="BI87" i="12"/>
  <c r="BH87" i="12"/>
  <c r="BG87" i="12"/>
  <c r="BE87" i="12"/>
  <c r="BD87" i="12"/>
  <c r="BC87" i="12"/>
  <c r="BB87" i="12"/>
  <c r="AZ87" i="12"/>
  <c r="AY87" i="12"/>
  <c r="AW87" i="12"/>
  <c r="AV87" i="12"/>
  <c r="AT87" i="12"/>
  <c r="AS87" i="12"/>
  <c r="AP87" i="12"/>
  <c r="AO87" i="12"/>
  <c r="AN87" i="12"/>
  <c r="AI87" i="12"/>
  <c r="AF87" i="12"/>
  <c r="R87" i="12"/>
  <c r="L87" i="12"/>
  <c r="EB87" i="12" s="1"/>
  <c r="C87" i="12"/>
  <c r="G87" i="12" s="1"/>
  <c r="EC86" i="12"/>
  <c r="DU86" i="12"/>
  <c r="DS86" i="12"/>
  <c r="DR86" i="12"/>
  <c r="DQ86" i="12"/>
  <c r="DO86" i="12"/>
  <c r="CN86" i="12"/>
  <c r="CM86" i="12"/>
  <c r="CK86" i="12"/>
  <c r="CJ86" i="12"/>
  <c r="CI86" i="12"/>
  <c r="CG86" i="12"/>
  <c r="CE86" i="12"/>
  <c r="CC86" i="12"/>
  <c r="BX86" i="12"/>
  <c r="BW86" i="12"/>
  <c r="BV86" i="12"/>
  <c r="BU86" i="12"/>
  <c r="BT86" i="12"/>
  <c r="BR86" i="12"/>
  <c r="BQ86" i="12"/>
  <c r="BP86" i="12"/>
  <c r="BO86" i="12"/>
  <c r="BN86" i="12"/>
  <c r="BL86" i="12"/>
  <c r="BK86" i="12"/>
  <c r="BJ86" i="12"/>
  <c r="BI86" i="12"/>
  <c r="BH86" i="12"/>
  <c r="BG86" i="12"/>
  <c r="BE86" i="12"/>
  <c r="BD86" i="12"/>
  <c r="BC86" i="12"/>
  <c r="BB86" i="12"/>
  <c r="AZ86" i="12"/>
  <c r="AY86" i="12"/>
  <c r="AW86" i="12"/>
  <c r="AV86" i="12"/>
  <c r="AT86" i="12"/>
  <c r="AS86" i="12"/>
  <c r="AP86" i="12"/>
  <c r="AO86" i="12"/>
  <c r="AN86" i="12"/>
  <c r="AI86" i="12"/>
  <c r="AF86" i="12"/>
  <c r="R86" i="12"/>
  <c r="L86" i="12"/>
  <c r="EB86" i="12" s="1"/>
  <c r="C86" i="12"/>
  <c r="G86" i="12" s="1"/>
  <c r="P86" i="12" s="1"/>
  <c r="EC85" i="12"/>
  <c r="DU85" i="12"/>
  <c r="DS85" i="12"/>
  <c r="DR85" i="12"/>
  <c r="DQ85" i="12"/>
  <c r="DO85" i="12"/>
  <c r="CN85" i="12"/>
  <c r="CM85" i="12"/>
  <c r="CK85" i="12"/>
  <c r="CJ85" i="12"/>
  <c r="CI85" i="12"/>
  <c r="CG85" i="12"/>
  <c r="CE85" i="12"/>
  <c r="CC85" i="12"/>
  <c r="BX85" i="12"/>
  <c r="BW85" i="12"/>
  <c r="BV85" i="12"/>
  <c r="BU85" i="12"/>
  <c r="BT85" i="12"/>
  <c r="BR85" i="12"/>
  <c r="BQ85" i="12"/>
  <c r="BP85" i="12"/>
  <c r="BO85" i="12"/>
  <c r="BN85" i="12"/>
  <c r="BL85" i="12"/>
  <c r="BK85" i="12"/>
  <c r="BJ85" i="12"/>
  <c r="BI85" i="12"/>
  <c r="BH85" i="12"/>
  <c r="BG85" i="12"/>
  <c r="BE85" i="12"/>
  <c r="BD85" i="12"/>
  <c r="BC85" i="12"/>
  <c r="BB85" i="12"/>
  <c r="AZ85" i="12"/>
  <c r="AY85" i="12"/>
  <c r="AW85" i="12"/>
  <c r="AV85" i="12"/>
  <c r="AT85" i="12"/>
  <c r="AS85" i="12"/>
  <c r="AP85" i="12"/>
  <c r="AO85" i="12"/>
  <c r="AN85" i="12"/>
  <c r="AI85" i="12"/>
  <c r="AF85" i="12"/>
  <c r="R85" i="12"/>
  <c r="L85" i="12"/>
  <c r="EB85" i="12" s="1"/>
  <c r="C85" i="12"/>
  <c r="G85" i="12" s="1"/>
  <c r="P85" i="12" s="1"/>
  <c r="EC84" i="12"/>
  <c r="DU84" i="12"/>
  <c r="DS84" i="12"/>
  <c r="DR84" i="12"/>
  <c r="DQ84" i="12"/>
  <c r="CN84" i="12"/>
  <c r="CM84" i="12"/>
  <c r="CK84" i="12"/>
  <c r="CJ84" i="12"/>
  <c r="CI84" i="12"/>
  <c r="CG84" i="12"/>
  <c r="CE84" i="12"/>
  <c r="CC84" i="12"/>
  <c r="BX84" i="12"/>
  <c r="BW84" i="12"/>
  <c r="BV84" i="12"/>
  <c r="BU84" i="12"/>
  <c r="BT84" i="12"/>
  <c r="BR84" i="12"/>
  <c r="BQ84" i="12"/>
  <c r="BP84" i="12"/>
  <c r="BO84" i="12"/>
  <c r="BN84" i="12"/>
  <c r="BL84" i="12"/>
  <c r="BK84" i="12"/>
  <c r="BJ84" i="12"/>
  <c r="BI84" i="12"/>
  <c r="BH84" i="12"/>
  <c r="BG84" i="12"/>
  <c r="BE84" i="12"/>
  <c r="BD84" i="12"/>
  <c r="BC84" i="12"/>
  <c r="BB84" i="12"/>
  <c r="AZ84" i="12"/>
  <c r="AY84" i="12"/>
  <c r="AW84" i="12"/>
  <c r="AV84" i="12"/>
  <c r="AT84" i="12"/>
  <c r="AS84" i="12"/>
  <c r="AP84" i="12"/>
  <c r="AO84" i="12"/>
  <c r="AN84" i="12"/>
  <c r="AI84" i="12"/>
  <c r="AF84" i="12"/>
  <c r="L84" i="12"/>
  <c r="EB84" i="12" s="1"/>
  <c r="H84" i="12"/>
  <c r="C84" i="12"/>
  <c r="G84" i="12" s="1"/>
  <c r="P84" i="12" s="1"/>
  <c r="EC83" i="12"/>
  <c r="DU83" i="12"/>
  <c r="DS83" i="12"/>
  <c r="DR83" i="12"/>
  <c r="DQ83" i="12"/>
  <c r="CN83" i="12"/>
  <c r="CM83" i="12"/>
  <c r="CK83" i="12"/>
  <c r="CJ83" i="12"/>
  <c r="CI83" i="12"/>
  <c r="CG83" i="12"/>
  <c r="CE83" i="12"/>
  <c r="CC83" i="12"/>
  <c r="BX83" i="12"/>
  <c r="BW83" i="12"/>
  <c r="BV83" i="12"/>
  <c r="BU83" i="12"/>
  <c r="BT83" i="12"/>
  <c r="BR83" i="12"/>
  <c r="BQ83" i="12"/>
  <c r="BP83" i="12"/>
  <c r="BO83" i="12"/>
  <c r="BN83" i="12"/>
  <c r="BL83" i="12"/>
  <c r="BK83" i="12"/>
  <c r="BJ83" i="12"/>
  <c r="BI83" i="12"/>
  <c r="BH83" i="12"/>
  <c r="BG83" i="12"/>
  <c r="BE83" i="12"/>
  <c r="BD83" i="12"/>
  <c r="BC83" i="12"/>
  <c r="BB83" i="12"/>
  <c r="AZ83" i="12"/>
  <c r="AY83" i="12"/>
  <c r="AW83" i="12"/>
  <c r="AV83" i="12"/>
  <c r="AT83" i="12"/>
  <c r="AS83" i="12"/>
  <c r="AP83" i="12"/>
  <c r="AO83" i="12"/>
  <c r="AN83" i="12"/>
  <c r="AI83" i="12"/>
  <c r="AF83" i="12"/>
  <c r="L83" i="12"/>
  <c r="EB83" i="12" s="1"/>
  <c r="C83" i="12"/>
  <c r="G83" i="12" s="1"/>
  <c r="P83" i="12" s="1"/>
  <c r="EC82" i="12"/>
  <c r="DU82" i="12"/>
  <c r="DS82" i="12"/>
  <c r="DR82" i="12"/>
  <c r="DQ82" i="12"/>
  <c r="DO82" i="12"/>
  <c r="CN82" i="12"/>
  <c r="CM82" i="12"/>
  <c r="CK82" i="12"/>
  <c r="CJ82" i="12"/>
  <c r="CI82" i="12"/>
  <c r="CG82" i="12"/>
  <c r="CE82" i="12"/>
  <c r="CC82" i="12"/>
  <c r="BX82" i="12"/>
  <c r="BW82" i="12"/>
  <c r="BV82" i="12"/>
  <c r="BU82" i="12"/>
  <c r="BT82" i="12"/>
  <c r="BR82" i="12"/>
  <c r="BQ82" i="12"/>
  <c r="BP82" i="12"/>
  <c r="BO82" i="12"/>
  <c r="BN82" i="12"/>
  <c r="BL82" i="12"/>
  <c r="BK82" i="12"/>
  <c r="BJ82" i="12"/>
  <c r="BI82" i="12"/>
  <c r="BH82" i="12"/>
  <c r="BG82" i="12"/>
  <c r="BE82" i="12"/>
  <c r="BD82" i="12"/>
  <c r="BC82" i="12"/>
  <c r="BB82" i="12"/>
  <c r="AZ82" i="12"/>
  <c r="AY82" i="12"/>
  <c r="AW82" i="12"/>
  <c r="AV82" i="12"/>
  <c r="AT82" i="12"/>
  <c r="AS82" i="12"/>
  <c r="AP82" i="12"/>
  <c r="AO82" i="12"/>
  <c r="AN82" i="12"/>
  <c r="AI82" i="12"/>
  <c r="AF82" i="12"/>
  <c r="R82" i="12"/>
  <c r="L82" i="12"/>
  <c r="EB82" i="12" s="1"/>
  <c r="C82" i="12"/>
  <c r="G82" i="12" s="1"/>
  <c r="P82" i="12" s="1"/>
  <c r="EC81" i="12"/>
  <c r="DU81" i="12"/>
  <c r="DS81" i="12"/>
  <c r="DR81" i="12"/>
  <c r="DQ81" i="12"/>
  <c r="DO81" i="12"/>
  <c r="CN81" i="12"/>
  <c r="CM81" i="12"/>
  <c r="CK81" i="12"/>
  <c r="CJ81" i="12"/>
  <c r="CI81" i="12"/>
  <c r="CG81" i="12"/>
  <c r="CE81" i="12"/>
  <c r="CC81" i="12"/>
  <c r="BX81" i="12"/>
  <c r="BW81" i="12"/>
  <c r="BV81" i="12"/>
  <c r="BU81" i="12"/>
  <c r="BT81" i="12"/>
  <c r="BR81" i="12"/>
  <c r="BQ81" i="12"/>
  <c r="BP81" i="12"/>
  <c r="BO81" i="12"/>
  <c r="BN81" i="12"/>
  <c r="BL81" i="12"/>
  <c r="BK81" i="12"/>
  <c r="BJ81" i="12"/>
  <c r="BI81" i="12"/>
  <c r="BH81" i="12"/>
  <c r="BG81" i="12"/>
  <c r="BE81" i="12"/>
  <c r="BD81" i="12"/>
  <c r="BC81" i="12"/>
  <c r="BB81" i="12"/>
  <c r="AZ81" i="12"/>
  <c r="AY81" i="12"/>
  <c r="AW81" i="12"/>
  <c r="AV81" i="12"/>
  <c r="AT81" i="12"/>
  <c r="AS81" i="12"/>
  <c r="AP81" i="12"/>
  <c r="AO81" i="12"/>
  <c r="AN81" i="12"/>
  <c r="AI81" i="12"/>
  <c r="AF81" i="12"/>
  <c r="R81" i="12"/>
  <c r="L81" i="12"/>
  <c r="EB81" i="12" s="1"/>
  <c r="C81" i="12"/>
  <c r="G81" i="12" s="1"/>
  <c r="P81" i="12" s="1"/>
  <c r="EC80" i="12"/>
  <c r="DU80" i="12"/>
  <c r="DS80" i="12"/>
  <c r="DR80" i="12"/>
  <c r="DQ80" i="12"/>
  <c r="CN80" i="12"/>
  <c r="CM80" i="12"/>
  <c r="CK80" i="12"/>
  <c r="CJ80" i="12"/>
  <c r="CI80" i="12"/>
  <c r="CG80" i="12"/>
  <c r="CE80" i="12"/>
  <c r="CC80" i="12"/>
  <c r="BX80" i="12"/>
  <c r="BW80" i="12"/>
  <c r="BV80" i="12"/>
  <c r="BU80" i="12"/>
  <c r="BT80" i="12"/>
  <c r="BR80" i="12"/>
  <c r="BQ80" i="12"/>
  <c r="BP80" i="12"/>
  <c r="BO80" i="12"/>
  <c r="BN80" i="12"/>
  <c r="BL80" i="12"/>
  <c r="BK80" i="12"/>
  <c r="BJ80" i="12"/>
  <c r="BI80" i="12"/>
  <c r="BH80" i="12"/>
  <c r="BG80" i="12"/>
  <c r="BE80" i="12"/>
  <c r="BD80" i="12"/>
  <c r="BC80" i="12"/>
  <c r="BB80" i="12"/>
  <c r="AZ80" i="12"/>
  <c r="AY80" i="12"/>
  <c r="AW80" i="12"/>
  <c r="AV80" i="12"/>
  <c r="AT80" i="12"/>
  <c r="AS80" i="12"/>
  <c r="AP80" i="12"/>
  <c r="AO80" i="12"/>
  <c r="AN80" i="12"/>
  <c r="AI80" i="12"/>
  <c r="AF80" i="12"/>
  <c r="L80" i="12"/>
  <c r="EB80" i="12" s="1"/>
  <c r="H80" i="12"/>
  <c r="C80" i="12"/>
  <c r="G80" i="12" s="1"/>
  <c r="P80" i="12" s="1"/>
  <c r="EC79" i="12"/>
  <c r="DU79" i="12"/>
  <c r="DS79" i="12"/>
  <c r="DR79" i="12"/>
  <c r="DQ79" i="12"/>
  <c r="DO79" i="12"/>
  <c r="CN79" i="12"/>
  <c r="CM79" i="12"/>
  <c r="CK79" i="12"/>
  <c r="CJ79" i="12"/>
  <c r="CI79" i="12"/>
  <c r="CG79" i="12"/>
  <c r="CE79" i="12"/>
  <c r="CC79" i="12"/>
  <c r="BX79" i="12"/>
  <c r="BW79" i="12"/>
  <c r="BV79" i="12"/>
  <c r="BU79" i="12"/>
  <c r="BT79" i="12"/>
  <c r="BR79" i="12"/>
  <c r="BQ79" i="12"/>
  <c r="BP79" i="12"/>
  <c r="BO79" i="12"/>
  <c r="BN79" i="12"/>
  <c r="BL79" i="12"/>
  <c r="BK79" i="12"/>
  <c r="BJ79" i="12"/>
  <c r="BI79" i="12"/>
  <c r="BH79" i="12"/>
  <c r="BG79" i="12"/>
  <c r="BE79" i="12"/>
  <c r="BD79" i="12"/>
  <c r="BC79" i="12"/>
  <c r="BB79" i="12"/>
  <c r="AZ79" i="12"/>
  <c r="AY79" i="12"/>
  <c r="AW79" i="12"/>
  <c r="AV79" i="12"/>
  <c r="AT79" i="12"/>
  <c r="AS79" i="12"/>
  <c r="AP79" i="12"/>
  <c r="AO79" i="12"/>
  <c r="AN79" i="12"/>
  <c r="AI79" i="12"/>
  <c r="AF79" i="12"/>
  <c r="R79" i="12"/>
  <c r="L79" i="12"/>
  <c r="EB79" i="12" s="1"/>
  <c r="C79" i="12"/>
  <c r="G79" i="12" s="1"/>
  <c r="P79" i="12" s="1"/>
  <c r="EC78" i="12"/>
  <c r="DS78" i="12"/>
  <c r="DR78" i="12"/>
  <c r="CN78" i="12"/>
  <c r="CM78" i="12"/>
  <c r="CK78" i="12"/>
  <c r="CJ78" i="12"/>
  <c r="CI78" i="12"/>
  <c r="CG78" i="12"/>
  <c r="CE78" i="12"/>
  <c r="CC78" i="12"/>
  <c r="BX78" i="12"/>
  <c r="BW78" i="12"/>
  <c r="BV78" i="12"/>
  <c r="BU78" i="12"/>
  <c r="BT78" i="12"/>
  <c r="BR78" i="12"/>
  <c r="BQ78" i="12"/>
  <c r="BP78" i="12"/>
  <c r="BO78" i="12"/>
  <c r="BN78" i="12"/>
  <c r="BL78" i="12"/>
  <c r="BK78" i="12"/>
  <c r="BJ78" i="12"/>
  <c r="BI78" i="12"/>
  <c r="BH78" i="12"/>
  <c r="BE78" i="12"/>
  <c r="BD78" i="12"/>
  <c r="BC78" i="12"/>
  <c r="BB78" i="12"/>
  <c r="AZ78" i="12"/>
  <c r="AY78" i="12"/>
  <c r="AW78" i="12"/>
  <c r="AV78" i="12"/>
  <c r="AT78" i="12"/>
  <c r="AS78" i="12"/>
  <c r="AP78" i="12"/>
  <c r="AO78" i="12"/>
  <c r="AI78" i="12"/>
  <c r="L78" i="12"/>
  <c r="EB78" i="12" s="1"/>
  <c r="C78" i="12"/>
  <c r="G78" i="12" s="1"/>
  <c r="H78" i="12" s="1"/>
  <c r="EC77" i="12"/>
  <c r="DS77" i="12"/>
  <c r="DR77" i="12"/>
  <c r="DQ77" i="12"/>
  <c r="DQ78" i="12" s="1"/>
  <c r="CN77" i="12"/>
  <c r="CM77" i="12"/>
  <c r="CK77" i="12"/>
  <c r="CJ77" i="12"/>
  <c r="CI77" i="12"/>
  <c r="CG77" i="12"/>
  <c r="CE77" i="12"/>
  <c r="CC77" i="12"/>
  <c r="BX77" i="12"/>
  <c r="BW77" i="12"/>
  <c r="BV77" i="12"/>
  <c r="BU77" i="12"/>
  <c r="BT77" i="12"/>
  <c r="BR77" i="12"/>
  <c r="BQ77" i="12"/>
  <c r="BP77" i="12"/>
  <c r="BO77" i="12"/>
  <c r="BN77" i="12"/>
  <c r="BL77" i="12"/>
  <c r="BK77" i="12"/>
  <c r="BJ77" i="12"/>
  <c r="BI77" i="12"/>
  <c r="BH77" i="12"/>
  <c r="BE77" i="12"/>
  <c r="BD77" i="12"/>
  <c r="BC77" i="12"/>
  <c r="BB77" i="12"/>
  <c r="AZ77" i="12"/>
  <c r="AY77" i="12"/>
  <c r="AW77" i="12"/>
  <c r="AV77" i="12"/>
  <c r="AT77" i="12"/>
  <c r="AS77" i="12"/>
  <c r="AP77" i="12"/>
  <c r="AO77" i="12"/>
  <c r="AI77" i="12"/>
  <c r="Q77" i="12"/>
  <c r="Q78" i="12" s="1"/>
  <c r="O77" i="12"/>
  <c r="O78" i="12" s="1"/>
  <c r="M77" i="12"/>
  <c r="M78" i="12" s="1"/>
  <c r="L77" i="12"/>
  <c r="EB77" i="12" s="1"/>
  <c r="C77" i="12"/>
  <c r="G77" i="12" s="1"/>
  <c r="R77" i="12" s="1"/>
  <c r="EC76" i="12"/>
  <c r="DU76" i="12"/>
  <c r="DS76" i="12"/>
  <c r="DR76" i="12"/>
  <c r="DQ76" i="12"/>
  <c r="CN76" i="12"/>
  <c r="CM76" i="12"/>
  <c r="CK76" i="12"/>
  <c r="CJ76" i="12"/>
  <c r="CI76" i="12"/>
  <c r="CG76" i="12"/>
  <c r="CE76" i="12"/>
  <c r="CC76" i="12"/>
  <c r="BX76" i="12"/>
  <c r="BW76" i="12"/>
  <c r="BV76" i="12"/>
  <c r="BU76" i="12"/>
  <c r="BT76" i="12"/>
  <c r="BR76" i="12"/>
  <c r="BQ76" i="12"/>
  <c r="BP76" i="12"/>
  <c r="BO76" i="12"/>
  <c r="BN76" i="12"/>
  <c r="BL76" i="12"/>
  <c r="BK76" i="12"/>
  <c r="BJ76" i="12"/>
  <c r="BI76" i="12"/>
  <c r="BH76" i="12"/>
  <c r="BG76" i="12"/>
  <c r="BE76" i="12"/>
  <c r="BD76" i="12"/>
  <c r="BC76" i="12"/>
  <c r="BB76" i="12"/>
  <c r="AZ76" i="12"/>
  <c r="AY76" i="12"/>
  <c r="AW76" i="12"/>
  <c r="AV76" i="12"/>
  <c r="AT76" i="12"/>
  <c r="AS76" i="12"/>
  <c r="AP76" i="12"/>
  <c r="AO76" i="12"/>
  <c r="AN76" i="12"/>
  <c r="AI76" i="12"/>
  <c r="AF76" i="12"/>
  <c r="L76" i="12"/>
  <c r="EB76" i="12" s="1"/>
  <c r="C76" i="12"/>
  <c r="G76" i="12" s="1"/>
  <c r="EC75" i="12"/>
  <c r="DY75" i="12" s="1"/>
  <c r="DU75" i="12"/>
  <c r="DS75" i="12"/>
  <c r="DR75" i="12"/>
  <c r="CN75" i="12"/>
  <c r="CM75" i="12"/>
  <c r="CK75" i="12"/>
  <c r="CJ75" i="12"/>
  <c r="CI75" i="12"/>
  <c r="CG75" i="12"/>
  <c r="CE75" i="12"/>
  <c r="CC75" i="12"/>
  <c r="BW75" i="12"/>
  <c r="BV75" i="12"/>
  <c r="BU75" i="12"/>
  <c r="BT75" i="12"/>
  <c r="BR75" i="12"/>
  <c r="BQ75" i="12"/>
  <c r="BP75" i="12"/>
  <c r="BO75" i="12"/>
  <c r="BN75" i="12"/>
  <c r="BL75" i="12"/>
  <c r="BK75" i="12"/>
  <c r="BJ75" i="12"/>
  <c r="BI75" i="12"/>
  <c r="BH75" i="12"/>
  <c r="BG75" i="12"/>
  <c r="BE75" i="12"/>
  <c r="BD75" i="12"/>
  <c r="BC75" i="12"/>
  <c r="BB75" i="12"/>
  <c r="AZ75" i="12"/>
  <c r="AY75" i="12"/>
  <c r="AW75" i="12"/>
  <c r="AV75" i="12"/>
  <c r="AT75" i="12"/>
  <c r="AS75" i="12"/>
  <c r="AP75" i="12"/>
  <c r="AO75" i="12"/>
  <c r="AN75" i="12"/>
  <c r="AI75" i="12"/>
  <c r="AF75" i="12"/>
  <c r="L75" i="12"/>
  <c r="EB75" i="12" s="1"/>
  <c r="C75" i="12"/>
  <c r="G75" i="12" s="1"/>
  <c r="H75" i="12" s="1"/>
  <c r="EC74" i="12"/>
  <c r="DU74" i="12"/>
  <c r="DS74" i="12"/>
  <c r="DR74" i="12"/>
  <c r="DQ74" i="12"/>
  <c r="DQ75" i="12" s="1"/>
  <c r="CN74" i="12"/>
  <c r="CM74" i="12"/>
  <c r="CK74" i="12"/>
  <c r="CJ74" i="12"/>
  <c r="CI74" i="12"/>
  <c r="CG74" i="12"/>
  <c r="CE74" i="12"/>
  <c r="CC74" i="12"/>
  <c r="BW74" i="12"/>
  <c r="BV74" i="12"/>
  <c r="BU74" i="12"/>
  <c r="BT74" i="12"/>
  <c r="BR74" i="12"/>
  <c r="BQ74" i="12"/>
  <c r="BP74" i="12"/>
  <c r="BO74" i="12"/>
  <c r="BN74" i="12"/>
  <c r="BL74" i="12"/>
  <c r="BK74" i="12"/>
  <c r="BJ74" i="12"/>
  <c r="BI74" i="12"/>
  <c r="BH74" i="12"/>
  <c r="BG74" i="12"/>
  <c r="BE74" i="12"/>
  <c r="BD74" i="12"/>
  <c r="BC74" i="12"/>
  <c r="BB74" i="12"/>
  <c r="AZ74" i="12"/>
  <c r="AY74" i="12"/>
  <c r="AW74" i="12"/>
  <c r="AV74" i="12"/>
  <c r="AT74" i="12"/>
  <c r="AS74" i="12"/>
  <c r="AP74" i="12"/>
  <c r="AO74" i="12"/>
  <c r="AN74" i="12"/>
  <c r="AI74" i="12"/>
  <c r="AF74" i="12"/>
  <c r="Q74" i="12"/>
  <c r="Q75" i="12" s="1"/>
  <c r="O74" i="12"/>
  <c r="O75" i="12" s="1"/>
  <c r="M74" i="12"/>
  <c r="L74" i="12"/>
  <c r="EB74" i="12" s="1"/>
  <c r="C74" i="12"/>
  <c r="G74" i="12" s="1"/>
  <c r="EC73" i="12"/>
  <c r="DS73" i="12"/>
  <c r="DR73" i="12"/>
  <c r="CN73" i="12"/>
  <c r="CM73" i="12"/>
  <c r="CK73" i="12"/>
  <c r="CJ73" i="12"/>
  <c r="CI73" i="12"/>
  <c r="CG73" i="12"/>
  <c r="CE73" i="12"/>
  <c r="CC73" i="12"/>
  <c r="BX73" i="12"/>
  <c r="BW73" i="12"/>
  <c r="BU73" i="12"/>
  <c r="BT73" i="12"/>
  <c r="BR73" i="12"/>
  <c r="BQ73" i="12"/>
  <c r="BP73" i="12"/>
  <c r="BO73" i="12"/>
  <c r="BN73" i="12"/>
  <c r="BL73" i="12"/>
  <c r="BK73" i="12"/>
  <c r="BJ73" i="12"/>
  <c r="BI73" i="12"/>
  <c r="BH73" i="12"/>
  <c r="BG73" i="12"/>
  <c r="BE73" i="12"/>
  <c r="BD73" i="12"/>
  <c r="BC73" i="12"/>
  <c r="BB73" i="12"/>
  <c r="AZ73" i="12"/>
  <c r="AY73" i="12"/>
  <c r="AW73" i="12"/>
  <c r="AV73" i="12"/>
  <c r="AT73" i="12"/>
  <c r="AS73" i="12"/>
  <c r="AP73" i="12"/>
  <c r="AO73" i="12"/>
  <c r="AN73" i="12"/>
  <c r="AI73" i="12"/>
  <c r="L73" i="12"/>
  <c r="EB73" i="12" s="1"/>
  <c r="C73" i="12"/>
  <c r="G73" i="12" s="1"/>
  <c r="H73" i="12" s="1"/>
  <c r="EC72" i="12"/>
  <c r="DS72" i="12"/>
  <c r="DR72" i="12"/>
  <c r="DQ72" i="12"/>
  <c r="DQ73" i="12" s="1"/>
  <c r="CN72" i="12"/>
  <c r="CM72" i="12"/>
  <c r="CK72" i="12"/>
  <c r="CJ72" i="12"/>
  <c r="CI72" i="12"/>
  <c r="CG72" i="12"/>
  <c r="CE72" i="12"/>
  <c r="CC72" i="12"/>
  <c r="BX72" i="12"/>
  <c r="BW72" i="12"/>
  <c r="BU72" i="12"/>
  <c r="BT72" i="12"/>
  <c r="BR72" i="12"/>
  <c r="BQ72" i="12"/>
  <c r="BP72" i="12"/>
  <c r="BO72" i="12"/>
  <c r="BN72" i="12"/>
  <c r="BL72" i="12"/>
  <c r="BK72" i="12"/>
  <c r="BJ72" i="12"/>
  <c r="BI72" i="12"/>
  <c r="BH72" i="12"/>
  <c r="BG72" i="12"/>
  <c r="BE72" i="12"/>
  <c r="BD72" i="12"/>
  <c r="BC72" i="12"/>
  <c r="BB72" i="12"/>
  <c r="AZ72" i="12"/>
  <c r="AY72" i="12"/>
  <c r="AW72" i="12"/>
  <c r="AV72" i="12"/>
  <c r="AT72" i="12"/>
  <c r="AS72" i="12"/>
  <c r="AP72" i="12"/>
  <c r="AO72" i="12"/>
  <c r="AN72" i="12"/>
  <c r="AI72" i="12"/>
  <c r="Q72" i="12"/>
  <c r="Q73" i="12" s="1"/>
  <c r="O72" i="12"/>
  <c r="O73" i="12" s="1"/>
  <c r="M72" i="12"/>
  <c r="L72" i="12"/>
  <c r="EB72" i="12" s="1"/>
  <c r="C72" i="12"/>
  <c r="G72" i="12" s="1"/>
  <c r="EC71" i="12"/>
  <c r="DU71" i="12"/>
  <c r="DS71" i="12"/>
  <c r="DR71" i="12"/>
  <c r="DQ71" i="12"/>
  <c r="CN71" i="12"/>
  <c r="CM71" i="12"/>
  <c r="CK71" i="12"/>
  <c r="CJ71" i="12"/>
  <c r="CI71" i="12"/>
  <c r="CG71" i="12"/>
  <c r="CE71" i="12"/>
  <c r="CC71" i="12"/>
  <c r="BX71" i="12"/>
  <c r="BW71" i="12"/>
  <c r="BV71" i="12"/>
  <c r="BU71" i="12"/>
  <c r="BT71" i="12"/>
  <c r="BR71" i="12"/>
  <c r="BQ71" i="12"/>
  <c r="BP71" i="12"/>
  <c r="BO71" i="12"/>
  <c r="BN71" i="12"/>
  <c r="BL71" i="12"/>
  <c r="BK71" i="12"/>
  <c r="BJ71" i="12"/>
  <c r="BI71" i="12"/>
  <c r="BH71" i="12"/>
  <c r="BG71" i="12"/>
  <c r="BE71" i="12"/>
  <c r="BD71" i="12"/>
  <c r="BC71" i="12"/>
  <c r="BB71" i="12"/>
  <c r="AZ71" i="12"/>
  <c r="AY71" i="12"/>
  <c r="AW71" i="12"/>
  <c r="AV71" i="12"/>
  <c r="AT71" i="12"/>
  <c r="AS71" i="12"/>
  <c r="AP71" i="12"/>
  <c r="AO71" i="12"/>
  <c r="AN71" i="12"/>
  <c r="AI71" i="12"/>
  <c r="AF71" i="12"/>
  <c r="L71" i="12"/>
  <c r="EB71" i="12" s="1"/>
  <c r="H71" i="12"/>
  <c r="C71" i="12"/>
  <c r="G71" i="12" s="1"/>
  <c r="EC70" i="12"/>
  <c r="DS70" i="12"/>
  <c r="DR70" i="12"/>
  <c r="CN70" i="12"/>
  <c r="CM70" i="12"/>
  <c r="CK70" i="12"/>
  <c r="CJ70" i="12"/>
  <c r="CI70" i="12"/>
  <c r="CG70" i="12"/>
  <c r="CE70" i="12"/>
  <c r="CC70" i="12"/>
  <c r="BX70" i="12"/>
  <c r="BW70" i="12"/>
  <c r="BV70" i="12"/>
  <c r="BU70" i="12"/>
  <c r="BT70" i="12"/>
  <c r="BR70" i="12"/>
  <c r="BQ70" i="12"/>
  <c r="BP70" i="12"/>
  <c r="BO70" i="12"/>
  <c r="BN70" i="12"/>
  <c r="BL70" i="12"/>
  <c r="BK70" i="12"/>
  <c r="BJ70" i="12"/>
  <c r="BI70" i="12"/>
  <c r="BH70" i="12"/>
  <c r="BG70" i="12"/>
  <c r="BE70" i="12"/>
  <c r="BD70" i="12"/>
  <c r="BC70" i="12"/>
  <c r="BB70" i="12"/>
  <c r="AZ70" i="12"/>
  <c r="AY70" i="12"/>
  <c r="AW70" i="12"/>
  <c r="AV70" i="12"/>
  <c r="AT70" i="12"/>
  <c r="AS70" i="12"/>
  <c r="AP70" i="12"/>
  <c r="AO70" i="12"/>
  <c r="AN70" i="12"/>
  <c r="AI70" i="12"/>
  <c r="L70" i="12"/>
  <c r="EB70" i="12" s="1"/>
  <c r="C70" i="12"/>
  <c r="G70" i="12" s="1"/>
  <c r="P70" i="12" s="1"/>
  <c r="EC69" i="12"/>
  <c r="DS69" i="12"/>
  <c r="DR69" i="12"/>
  <c r="DQ69" i="12"/>
  <c r="DQ70" i="12" s="1"/>
  <c r="CN69" i="12"/>
  <c r="CM69" i="12"/>
  <c r="CK69" i="12"/>
  <c r="CJ69" i="12"/>
  <c r="CI69" i="12"/>
  <c r="CG69" i="12"/>
  <c r="CE69" i="12"/>
  <c r="CC69" i="12"/>
  <c r="BX69" i="12"/>
  <c r="BW69" i="12"/>
  <c r="BV69" i="12"/>
  <c r="BU69" i="12"/>
  <c r="BT69" i="12"/>
  <c r="BR69" i="12"/>
  <c r="BQ69" i="12"/>
  <c r="BP69" i="12"/>
  <c r="BO69" i="12"/>
  <c r="BN69" i="12"/>
  <c r="BL69" i="12"/>
  <c r="BK69" i="12"/>
  <c r="BJ69" i="12"/>
  <c r="BI69" i="12"/>
  <c r="BH69" i="12"/>
  <c r="BG69" i="12"/>
  <c r="BE69" i="12"/>
  <c r="BD69" i="12"/>
  <c r="BC69" i="12"/>
  <c r="BB69" i="12"/>
  <c r="AZ69" i="12"/>
  <c r="AY69" i="12"/>
  <c r="AW69" i="12"/>
  <c r="AV69" i="12"/>
  <c r="AT69" i="12"/>
  <c r="AS69" i="12"/>
  <c r="AP69" i="12"/>
  <c r="AO69" i="12"/>
  <c r="AN69" i="12"/>
  <c r="AI69" i="12"/>
  <c r="L69" i="12"/>
  <c r="EB69" i="12" s="1"/>
  <c r="C69" i="12"/>
  <c r="G69" i="12" s="1"/>
  <c r="EC68" i="12"/>
  <c r="DU68" i="12"/>
  <c r="DS68" i="12"/>
  <c r="DR68" i="12"/>
  <c r="DQ68" i="12"/>
  <c r="CN68" i="12"/>
  <c r="CM68" i="12"/>
  <c r="CK68" i="12"/>
  <c r="CJ68" i="12"/>
  <c r="CI68" i="12"/>
  <c r="CG68" i="12"/>
  <c r="CE68" i="12"/>
  <c r="CC68" i="12"/>
  <c r="BX68" i="12"/>
  <c r="BW68" i="12"/>
  <c r="BV68" i="12"/>
  <c r="BU68" i="12"/>
  <c r="BT68" i="12"/>
  <c r="BR68" i="12"/>
  <c r="BQ68" i="12"/>
  <c r="BP68" i="12"/>
  <c r="BO68" i="12"/>
  <c r="BN68" i="12"/>
  <c r="BL68" i="12"/>
  <c r="BK68" i="12"/>
  <c r="BJ68" i="12"/>
  <c r="BI68" i="12"/>
  <c r="BH68" i="12"/>
  <c r="BG68" i="12"/>
  <c r="BE68" i="12"/>
  <c r="BD68" i="12"/>
  <c r="BC68" i="12"/>
  <c r="BB68" i="12"/>
  <c r="AZ68" i="12"/>
  <c r="AY68" i="12"/>
  <c r="AW68" i="12"/>
  <c r="AV68" i="12"/>
  <c r="AT68" i="12"/>
  <c r="AS68" i="12"/>
  <c r="AP68" i="12"/>
  <c r="AO68" i="12"/>
  <c r="AN68" i="12"/>
  <c r="AI68" i="12"/>
  <c r="AF68" i="12"/>
  <c r="L68" i="12"/>
  <c r="EB68" i="12" s="1"/>
  <c r="C68" i="12"/>
  <c r="G68" i="12" s="1"/>
  <c r="EC67" i="12"/>
  <c r="DS67" i="12"/>
  <c r="DR67" i="12"/>
  <c r="CN67" i="12"/>
  <c r="CM67" i="12"/>
  <c r="CK67" i="12"/>
  <c r="CJ67" i="12"/>
  <c r="CI67" i="12"/>
  <c r="CG67" i="12"/>
  <c r="CE67" i="12"/>
  <c r="CC67" i="12"/>
  <c r="BX67" i="12"/>
  <c r="BW67" i="12"/>
  <c r="BV67" i="12"/>
  <c r="BU67" i="12"/>
  <c r="BT67" i="12"/>
  <c r="BR67" i="12"/>
  <c r="BQ67" i="12"/>
  <c r="BP67" i="12"/>
  <c r="BO67" i="12"/>
  <c r="BN67" i="12"/>
  <c r="BL67" i="12"/>
  <c r="BK67" i="12"/>
  <c r="BJ67" i="12"/>
  <c r="BI67" i="12"/>
  <c r="BH67" i="12"/>
  <c r="BE67" i="12"/>
  <c r="BD67" i="12"/>
  <c r="BC67" i="12"/>
  <c r="BB67" i="12"/>
  <c r="AZ67" i="12"/>
  <c r="AY67" i="12"/>
  <c r="AW67" i="12"/>
  <c r="AT67" i="12"/>
  <c r="AS67" i="12"/>
  <c r="AP67" i="12"/>
  <c r="AO67" i="12"/>
  <c r="AN67" i="12"/>
  <c r="AI67" i="12"/>
  <c r="L67" i="12"/>
  <c r="EB67" i="12" s="1"/>
  <c r="C67" i="12"/>
  <c r="G67" i="12" s="1"/>
  <c r="EC66" i="12"/>
  <c r="DS66" i="12"/>
  <c r="DR66" i="12"/>
  <c r="DQ66" i="12"/>
  <c r="DQ67" i="12" s="1"/>
  <c r="CN66" i="12"/>
  <c r="CM66" i="12"/>
  <c r="CK66" i="12"/>
  <c r="CJ66" i="12"/>
  <c r="CI66" i="12"/>
  <c r="CG66" i="12"/>
  <c r="CE66" i="12"/>
  <c r="CC66" i="12"/>
  <c r="BX66" i="12"/>
  <c r="BW66" i="12"/>
  <c r="BV66" i="12"/>
  <c r="BU66" i="12"/>
  <c r="BT66" i="12"/>
  <c r="BR66" i="12"/>
  <c r="BQ66" i="12"/>
  <c r="BP66" i="12"/>
  <c r="BO66" i="12"/>
  <c r="BN66" i="12"/>
  <c r="BL66" i="12"/>
  <c r="BK66" i="12"/>
  <c r="BJ66" i="12"/>
  <c r="BI66" i="12"/>
  <c r="BH66" i="12"/>
  <c r="BE66" i="12"/>
  <c r="BD66" i="12"/>
  <c r="BC66" i="12"/>
  <c r="BB66" i="12"/>
  <c r="AZ66" i="12"/>
  <c r="AY66" i="12"/>
  <c r="AW66" i="12"/>
  <c r="AT66" i="12"/>
  <c r="AS66" i="12"/>
  <c r="AP66" i="12"/>
  <c r="AO66" i="12"/>
  <c r="AN66" i="12"/>
  <c r="AI66" i="12"/>
  <c r="L66" i="12"/>
  <c r="EB66" i="12" s="1"/>
  <c r="C66" i="12"/>
  <c r="G66" i="12" s="1"/>
  <c r="EC65" i="12"/>
  <c r="DU65" i="12"/>
  <c r="DS65" i="12"/>
  <c r="DR65" i="12"/>
  <c r="DQ65" i="12"/>
  <c r="CN65" i="12"/>
  <c r="CM65" i="12"/>
  <c r="CK65" i="12"/>
  <c r="CJ65" i="12"/>
  <c r="CI65" i="12"/>
  <c r="CG65" i="12"/>
  <c r="CE65" i="12"/>
  <c r="CC65" i="12"/>
  <c r="BX65" i="12"/>
  <c r="BW65" i="12"/>
  <c r="BV65" i="12"/>
  <c r="BU65" i="12"/>
  <c r="BT65" i="12"/>
  <c r="BR65" i="12"/>
  <c r="BQ65" i="12"/>
  <c r="BP65" i="12"/>
  <c r="BO65" i="12"/>
  <c r="BN65" i="12"/>
  <c r="BL65" i="12"/>
  <c r="BK65" i="12"/>
  <c r="BJ65" i="12"/>
  <c r="BI65" i="12"/>
  <c r="BH65" i="12"/>
  <c r="BG65" i="12"/>
  <c r="BE65" i="12"/>
  <c r="BD65" i="12"/>
  <c r="BC65" i="12"/>
  <c r="BB65" i="12"/>
  <c r="AZ65" i="12"/>
  <c r="AY65" i="12"/>
  <c r="AW65" i="12"/>
  <c r="AV65" i="12"/>
  <c r="AT65" i="12"/>
  <c r="AS65" i="12"/>
  <c r="AP65" i="12"/>
  <c r="AO65" i="12"/>
  <c r="AN65" i="12"/>
  <c r="AI65" i="12"/>
  <c r="AF65" i="12"/>
  <c r="L65" i="12"/>
  <c r="EB65" i="12" s="1"/>
  <c r="C65" i="12"/>
  <c r="G65" i="12" s="1"/>
  <c r="EC64" i="12"/>
  <c r="DY64" i="12" s="1"/>
  <c r="DU64" i="12"/>
  <c r="DS64" i="12"/>
  <c r="DR64" i="12"/>
  <c r="DQ64" i="12"/>
  <c r="CN64" i="12"/>
  <c r="CM64" i="12"/>
  <c r="CK64" i="12"/>
  <c r="CJ64" i="12"/>
  <c r="CI64" i="12"/>
  <c r="CG64" i="12"/>
  <c r="CE64" i="12"/>
  <c r="CC64" i="12"/>
  <c r="BX64" i="12"/>
  <c r="BW64" i="12"/>
  <c r="BV64" i="12"/>
  <c r="BU64" i="12"/>
  <c r="BT64" i="12"/>
  <c r="BR64" i="12"/>
  <c r="BQ64" i="12"/>
  <c r="BP64" i="12"/>
  <c r="BO64" i="12"/>
  <c r="BN64" i="12"/>
  <c r="BL64" i="12"/>
  <c r="BK64" i="12"/>
  <c r="BJ64" i="12"/>
  <c r="BI64" i="12"/>
  <c r="BH64" i="12"/>
  <c r="BG64" i="12"/>
  <c r="BE64" i="12"/>
  <c r="BD64" i="12"/>
  <c r="BC64" i="12"/>
  <c r="BB64" i="12"/>
  <c r="AZ64" i="12"/>
  <c r="AY64" i="12"/>
  <c r="AW64" i="12"/>
  <c r="AV64" i="12"/>
  <c r="AT64" i="12"/>
  <c r="AS64" i="12"/>
  <c r="AP64" i="12"/>
  <c r="AO64" i="12"/>
  <c r="AN64" i="12"/>
  <c r="AI64" i="12"/>
  <c r="AF64" i="12"/>
  <c r="L64" i="12"/>
  <c r="EB64" i="12" s="1"/>
  <c r="H64" i="12"/>
  <c r="C64" i="12"/>
  <c r="G64" i="12" s="1"/>
  <c r="EC63" i="12"/>
  <c r="DU63" i="12"/>
  <c r="DS63" i="12"/>
  <c r="DR63" i="12"/>
  <c r="DQ63" i="12"/>
  <c r="CN63" i="12"/>
  <c r="CM63" i="12"/>
  <c r="CK63" i="12"/>
  <c r="CJ63" i="12"/>
  <c r="CI63" i="12"/>
  <c r="CG63" i="12"/>
  <c r="CE63" i="12"/>
  <c r="CC63" i="12"/>
  <c r="BX63" i="12"/>
  <c r="BW63" i="12"/>
  <c r="BV63" i="12"/>
  <c r="BU63" i="12"/>
  <c r="BT63" i="12"/>
  <c r="BR63" i="12"/>
  <c r="BQ63" i="12"/>
  <c r="BP63" i="12"/>
  <c r="BO63" i="12"/>
  <c r="BN63" i="12"/>
  <c r="BL63" i="12"/>
  <c r="BK63" i="12"/>
  <c r="BJ63" i="12"/>
  <c r="BI63" i="12"/>
  <c r="BH63" i="12"/>
  <c r="BG63" i="12"/>
  <c r="BE63" i="12"/>
  <c r="BD63" i="12"/>
  <c r="BC63" i="12"/>
  <c r="BB63" i="12"/>
  <c r="AZ63" i="12"/>
  <c r="AY63" i="12"/>
  <c r="AW63" i="12"/>
  <c r="AV63" i="12"/>
  <c r="AT63" i="12"/>
  <c r="AS63" i="12"/>
  <c r="AP63" i="12"/>
  <c r="AO63" i="12"/>
  <c r="AN63" i="12"/>
  <c r="AI63" i="12"/>
  <c r="AF63" i="12"/>
  <c r="L63" i="12"/>
  <c r="EB63" i="12" s="1"/>
  <c r="H63" i="12"/>
  <c r="C63" i="12"/>
  <c r="G63" i="12" s="1"/>
  <c r="P63" i="12" s="1"/>
  <c r="EC62" i="12"/>
  <c r="DU62" i="12"/>
  <c r="DS62" i="12"/>
  <c r="DR62" i="12"/>
  <c r="DQ62" i="12"/>
  <c r="CN62" i="12"/>
  <c r="CM62" i="12"/>
  <c r="CK62" i="12"/>
  <c r="CJ62" i="12"/>
  <c r="CI62" i="12"/>
  <c r="CG62" i="12"/>
  <c r="CE62" i="12"/>
  <c r="CC62" i="12"/>
  <c r="BX62" i="12"/>
  <c r="BW62" i="12"/>
  <c r="BV62" i="12"/>
  <c r="BU62" i="12"/>
  <c r="BT62" i="12"/>
  <c r="BR62" i="12"/>
  <c r="BQ62" i="12"/>
  <c r="BP62" i="12"/>
  <c r="BO62" i="12"/>
  <c r="BN62" i="12"/>
  <c r="BL62" i="12"/>
  <c r="BK62" i="12"/>
  <c r="BJ62" i="12"/>
  <c r="BI62" i="12"/>
  <c r="BH62" i="12"/>
  <c r="BG62" i="12"/>
  <c r="BE62" i="12"/>
  <c r="BD62" i="12"/>
  <c r="BC62" i="12"/>
  <c r="BB62" i="12"/>
  <c r="AZ62" i="12"/>
  <c r="AY62" i="12"/>
  <c r="AW62" i="12"/>
  <c r="AV62" i="12"/>
  <c r="AT62" i="12"/>
  <c r="AS62" i="12"/>
  <c r="AP62" i="12"/>
  <c r="AO62" i="12"/>
  <c r="AN62" i="12"/>
  <c r="AI62" i="12"/>
  <c r="AF62" i="12"/>
  <c r="L62" i="12"/>
  <c r="EB62" i="12" s="1"/>
  <c r="H62" i="12"/>
  <c r="C62" i="12"/>
  <c r="G62" i="12" s="1"/>
  <c r="N62" i="12" s="1"/>
  <c r="EC61" i="12"/>
  <c r="DU61" i="12"/>
  <c r="DS61" i="12"/>
  <c r="DR61" i="12"/>
  <c r="DQ61" i="12"/>
  <c r="CN61" i="12"/>
  <c r="CM61" i="12"/>
  <c r="CK61" i="12"/>
  <c r="CJ61" i="12"/>
  <c r="CI61" i="12"/>
  <c r="CG61" i="12"/>
  <c r="CE61" i="12"/>
  <c r="CC61" i="12"/>
  <c r="BX61" i="12"/>
  <c r="BW61" i="12"/>
  <c r="BV61" i="12"/>
  <c r="BU61" i="12"/>
  <c r="BT61" i="12"/>
  <c r="BR61" i="12"/>
  <c r="BQ61" i="12"/>
  <c r="BP61" i="12"/>
  <c r="BO61" i="12"/>
  <c r="BN61" i="12"/>
  <c r="BL61" i="12"/>
  <c r="BK61" i="12"/>
  <c r="BJ61" i="12"/>
  <c r="BI61" i="12"/>
  <c r="BH61" i="12"/>
  <c r="BG61" i="12"/>
  <c r="BE61" i="12"/>
  <c r="BD61" i="12"/>
  <c r="BC61" i="12"/>
  <c r="BB61" i="12"/>
  <c r="AZ61" i="12"/>
  <c r="AY61" i="12"/>
  <c r="AW61" i="12"/>
  <c r="AV61" i="12"/>
  <c r="AT61" i="12"/>
  <c r="AS61" i="12"/>
  <c r="AP61" i="12"/>
  <c r="AO61" i="12"/>
  <c r="AN61" i="12"/>
  <c r="AI61" i="12"/>
  <c r="AF61" i="12"/>
  <c r="L61" i="12"/>
  <c r="EB61" i="12" s="1"/>
  <c r="H61" i="12"/>
  <c r="C61" i="12"/>
  <c r="G61" i="12" s="1"/>
  <c r="N61" i="12" s="1"/>
  <c r="EC60" i="12"/>
  <c r="DU60" i="12"/>
  <c r="DS60" i="12"/>
  <c r="DR60" i="12"/>
  <c r="DQ60" i="12"/>
  <c r="CN60" i="12"/>
  <c r="CM60" i="12"/>
  <c r="CK60" i="12"/>
  <c r="CJ60" i="12"/>
  <c r="CI60" i="12"/>
  <c r="CG60" i="12"/>
  <c r="CE60" i="12"/>
  <c r="CC60" i="12"/>
  <c r="BX60" i="12"/>
  <c r="BW60" i="12"/>
  <c r="BV60" i="12"/>
  <c r="BU60" i="12"/>
  <c r="BT60" i="12"/>
  <c r="BR60" i="12"/>
  <c r="BQ60" i="12"/>
  <c r="BP60" i="12"/>
  <c r="BO60" i="12"/>
  <c r="BN60" i="12"/>
  <c r="BL60" i="12"/>
  <c r="BK60" i="12"/>
  <c r="BJ60" i="12"/>
  <c r="BI60" i="12"/>
  <c r="BH60" i="12"/>
  <c r="BG60" i="12"/>
  <c r="BE60" i="12"/>
  <c r="BD60" i="12"/>
  <c r="BC60" i="12"/>
  <c r="BB60" i="12"/>
  <c r="AZ60" i="12"/>
  <c r="AY60" i="12"/>
  <c r="AW60" i="12"/>
  <c r="AV60" i="12"/>
  <c r="AT60" i="12"/>
  <c r="AS60" i="12"/>
  <c r="AP60" i="12"/>
  <c r="AO60" i="12"/>
  <c r="AN60" i="12"/>
  <c r="AI60" i="12"/>
  <c r="AF60" i="12"/>
  <c r="L60" i="12"/>
  <c r="EB60" i="12" s="1"/>
  <c r="C60" i="12"/>
  <c r="G60" i="12" s="1"/>
  <c r="N60" i="12" s="1"/>
  <c r="EC59" i="12"/>
  <c r="DU59" i="12"/>
  <c r="DS59" i="12"/>
  <c r="DR59" i="12"/>
  <c r="DQ59" i="12"/>
  <c r="CN59" i="12"/>
  <c r="CM59" i="12"/>
  <c r="CK59" i="12"/>
  <c r="CJ59" i="12"/>
  <c r="CI59" i="12"/>
  <c r="CG59" i="12"/>
  <c r="CE59" i="12"/>
  <c r="CC59" i="12"/>
  <c r="BX59" i="12"/>
  <c r="BW59" i="12"/>
  <c r="BV59" i="12"/>
  <c r="BU59" i="12"/>
  <c r="BT59" i="12"/>
  <c r="BR59" i="12"/>
  <c r="BQ59" i="12"/>
  <c r="BP59" i="12"/>
  <c r="BO59" i="12"/>
  <c r="BN59" i="12"/>
  <c r="BL59" i="12"/>
  <c r="BK59" i="12"/>
  <c r="BJ59" i="12"/>
  <c r="BI59" i="12"/>
  <c r="BH59" i="12"/>
  <c r="BG59" i="12"/>
  <c r="BE59" i="12"/>
  <c r="BD59" i="12"/>
  <c r="BC59" i="12"/>
  <c r="BB59" i="12"/>
  <c r="AZ59" i="12"/>
  <c r="AY59" i="12"/>
  <c r="AW59" i="12"/>
  <c r="AV59" i="12"/>
  <c r="AT59" i="12"/>
  <c r="AS59" i="12"/>
  <c r="AP59" i="12"/>
  <c r="AO59" i="12"/>
  <c r="AN59" i="12"/>
  <c r="AI59" i="12"/>
  <c r="AF59" i="12"/>
  <c r="L59" i="12"/>
  <c r="EB59" i="12" s="1"/>
  <c r="H59" i="12"/>
  <c r="C59" i="12"/>
  <c r="G59" i="12" s="1"/>
  <c r="N59" i="12" s="1"/>
  <c r="EC58" i="12"/>
  <c r="DU58" i="12"/>
  <c r="DS58" i="12"/>
  <c r="DR58" i="12"/>
  <c r="DQ58" i="12"/>
  <c r="CN58" i="12"/>
  <c r="CM58" i="12"/>
  <c r="CK58" i="12"/>
  <c r="CJ58" i="12"/>
  <c r="CI58" i="12"/>
  <c r="CG58" i="12"/>
  <c r="CE58" i="12"/>
  <c r="CC58" i="12"/>
  <c r="BX58" i="12"/>
  <c r="BW58" i="12"/>
  <c r="BV58" i="12"/>
  <c r="BU58" i="12"/>
  <c r="BT58" i="12"/>
  <c r="BR58" i="12"/>
  <c r="BQ58" i="12"/>
  <c r="BP58" i="12"/>
  <c r="BO58" i="12"/>
  <c r="BN58" i="12"/>
  <c r="BL58" i="12"/>
  <c r="BK58" i="12"/>
  <c r="BJ58" i="12"/>
  <c r="BI58" i="12"/>
  <c r="BH58" i="12"/>
  <c r="BG58" i="12"/>
  <c r="BE58" i="12"/>
  <c r="BD58" i="12"/>
  <c r="BC58" i="12"/>
  <c r="BB58" i="12"/>
  <c r="AZ58" i="12"/>
  <c r="AY58" i="12"/>
  <c r="AW58" i="12"/>
  <c r="AV58" i="12"/>
  <c r="AT58" i="12"/>
  <c r="AS58" i="12"/>
  <c r="AP58" i="12"/>
  <c r="AO58" i="12"/>
  <c r="AN58" i="12"/>
  <c r="AI58" i="12"/>
  <c r="AF58" i="12"/>
  <c r="L58" i="12"/>
  <c r="EB58" i="12" s="1"/>
  <c r="C58" i="12"/>
  <c r="G58" i="12" s="1"/>
  <c r="N58" i="12" s="1"/>
  <c r="EC57" i="12"/>
  <c r="C8" i="11" s="1"/>
  <c r="DU57" i="12"/>
  <c r="DS57" i="12"/>
  <c r="DR57" i="12"/>
  <c r="DQ57" i="12"/>
  <c r="CN57" i="12"/>
  <c r="C42" i="11" s="1"/>
  <c r="CM57" i="12"/>
  <c r="C41" i="11" s="1"/>
  <c r="CK57" i="12"/>
  <c r="C38" i="11" s="1"/>
  <c r="CJ57" i="12"/>
  <c r="C40" i="11" s="1"/>
  <c r="CI57" i="12"/>
  <c r="C34" i="11" s="1"/>
  <c r="CG57" i="12"/>
  <c r="CE57" i="12"/>
  <c r="C36" i="11" s="1"/>
  <c r="CC57" i="12"/>
  <c r="BX57" i="12"/>
  <c r="C30" i="11" s="1"/>
  <c r="BW57" i="12"/>
  <c r="C29" i="11" s="1"/>
  <c r="BV57" i="12"/>
  <c r="C28" i="11" s="1"/>
  <c r="BU57" i="12"/>
  <c r="BT57" i="12"/>
  <c r="BR57" i="12"/>
  <c r="C26" i="11" s="1"/>
  <c r="BQ57" i="12"/>
  <c r="C25" i="11" s="1"/>
  <c r="BP57" i="12"/>
  <c r="C24" i="11" s="1"/>
  <c r="BO57" i="12"/>
  <c r="BN57" i="12"/>
  <c r="BL57" i="12"/>
  <c r="BK57" i="12"/>
  <c r="BJ57" i="12"/>
  <c r="BI57" i="12"/>
  <c r="BH57" i="12"/>
  <c r="BG57" i="12"/>
  <c r="BE57" i="12"/>
  <c r="C21" i="11" s="1"/>
  <c r="BD57" i="12"/>
  <c r="BC57" i="12"/>
  <c r="BB57" i="12"/>
  <c r="AZ57" i="12"/>
  <c r="AY57" i="12"/>
  <c r="AW57" i="12"/>
  <c r="AV57" i="12"/>
  <c r="AT57" i="12"/>
  <c r="C17" i="11" s="1"/>
  <c r="AS57" i="12"/>
  <c r="AP57" i="12"/>
  <c r="AO57" i="12"/>
  <c r="AN57" i="12"/>
  <c r="AI57" i="12"/>
  <c r="AF57" i="12"/>
  <c r="L57" i="12"/>
  <c r="EB57" i="12" s="1"/>
  <c r="C11" i="11" s="1"/>
  <c r="H57" i="12"/>
  <c r="C57" i="12"/>
  <c r="EC56" i="12"/>
  <c r="DU56" i="12"/>
  <c r="DS56" i="12"/>
  <c r="DR56" i="12"/>
  <c r="DQ56" i="12"/>
  <c r="CN56" i="12"/>
  <c r="CM56" i="12"/>
  <c r="CK56" i="12"/>
  <c r="CJ56" i="12"/>
  <c r="CI56" i="12"/>
  <c r="CG56" i="12"/>
  <c r="CE56" i="12"/>
  <c r="CC56" i="12"/>
  <c r="BX56" i="12"/>
  <c r="BW56" i="12"/>
  <c r="BV56" i="12"/>
  <c r="BU56" i="12"/>
  <c r="BT56" i="12"/>
  <c r="BR56" i="12"/>
  <c r="BQ56" i="12"/>
  <c r="BP56" i="12"/>
  <c r="BO56" i="12"/>
  <c r="BN56" i="12"/>
  <c r="BL56" i="12"/>
  <c r="BK56" i="12"/>
  <c r="BJ56" i="12"/>
  <c r="BI56" i="12"/>
  <c r="BH56" i="12"/>
  <c r="BG56" i="12"/>
  <c r="BE56" i="12"/>
  <c r="BD56" i="12"/>
  <c r="BC56" i="12"/>
  <c r="BB56" i="12"/>
  <c r="AZ56" i="12"/>
  <c r="AY56" i="12"/>
  <c r="AW56" i="12"/>
  <c r="AV56" i="12"/>
  <c r="AT56" i="12"/>
  <c r="AS56" i="12"/>
  <c r="AP56" i="12"/>
  <c r="AO56" i="12"/>
  <c r="AN56" i="12"/>
  <c r="AI56" i="12"/>
  <c r="AF56" i="12"/>
  <c r="L56" i="12"/>
  <c r="EB56" i="12" s="1"/>
  <c r="H56" i="12"/>
  <c r="C56" i="12"/>
  <c r="G56" i="12" s="1"/>
  <c r="N56" i="12" s="1"/>
  <c r="EC55" i="12"/>
  <c r="DU55" i="12"/>
  <c r="DS55" i="12"/>
  <c r="DR55" i="12"/>
  <c r="DQ55" i="12"/>
  <c r="CN55" i="12"/>
  <c r="CM55" i="12"/>
  <c r="CK55" i="12"/>
  <c r="CJ55" i="12"/>
  <c r="CI55" i="12"/>
  <c r="CG55" i="12"/>
  <c r="CE55" i="12"/>
  <c r="CC55" i="12"/>
  <c r="BX55" i="12"/>
  <c r="BW55" i="12"/>
  <c r="BV55" i="12"/>
  <c r="BU55" i="12"/>
  <c r="BT55" i="12"/>
  <c r="BR55" i="12"/>
  <c r="BQ55" i="12"/>
  <c r="BP55" i="12"/>
  <c r="BO55" i="12"/>
  <c r="BN55" i="12"/>
  <c r="BL55" i="12"/>
  <c r="BK55" i="12"/>
  <c r="BJ55" i="12"/>
  <c r="BI55" i="12"/>
  <c r="BH55" i="12"/>
  <c r="BG55" i="12"/>
  <c r="BE55" i="12"/>
  <c r="BD55" i="12"/>
  <c r="BC55" i="12"/>
  <c r="BB55" i="12"/>
  <c r="AZ55" i="12"/>
  <c r="AY55" i="12"/>
  <c r="AW55" i="12"/>
  <c r="AV55" i="12"/>
  <c r="AT55" i="12"/>
  <c r="AS55" i="12"/>
  <c r="AP55" i="12"/>
  <c r="AO55" i="12"/>
  <c r="AN55" i="12"/>
  <c r="AI55" i="12"/>
  <c r="AF55" i="12"/>
  <c r="M55" i="12"/>
  <c r="L55" i="12"/>
  <c r="EB55" i="12" s="1"/>
  <c r="C55" i="12"/>
  <c r="G55" i="12" s="1"/>
  <c r="H55" i="12" s="1"/>
  <c r="EC54" i="12"/>
  <c r="DU54" i="12"/>
  <c r="DS54" i="12"/>
  <c r="DR54" i="12"/>
  <c r="DQ54" i="12"/>
  <c r="CN54" i="12"/>
  <c r="CM54" i="12"/>
  <c r="CK54" i="12"/>
  <c r="CJ54" i="12"/>
  <c r="CI54" i="12"/>
  <c r="CG54" i="12"/>
  <c r="CE54" i="12"/>
  <c r="CC54" i="12"/>
  <c r="BX54" i="12"/>
  <c r="BW54" i="12"/>
  <c r="BV54" i="12"/>
  <c r="BU54" i="12"/>
  <c r="BT54" i="12"/>
  <c r="BR54" i="12"/>
  <c r="BQ54" i="12"/>
  <c r="BP54" i="12"/>
  <c r="BO54" i="12"/>
  <c r="BN54" i="12"/>
  <c r="BL54" i="12"/>
  <c r="BK54" i="12"/>
  <c r="BJ54" i="12"/>
  <c r="BI54" i="12"/>
  <c r="BH54" i="12"/>
  <c r="BG54" i="12"/>
  <c r="BE54" i="12"/>
  <c r="BD54" i="12"/>
  <c r="BC54" i="12"/>
  <c r="BB54" i="12"/>
  <c r="AZ54" i="12"/>
  <c r="AY54" i="12"/>
  <c r="AW54" i="12"/>
  <c r="AV54" i="12"/>
  <c r="AT54" i="12"/>
  <c r="AS54" i="12"/>
  <c r="AP54" i="12"/>
  <c r="AO54" i="12"/>
  <c r="AN54" i="12"/>
  <c r="AI54" i="12"/>
  <c r="AF54" i="12"/>
  <c r="Q54" i="12"/>
  <c r="Q55" i="12" s="1"/>
  <c r="O54" i="12"/>
  <c r="O55" i="12" s="1"/>
  <c r="M54" i="12"/>
  <c r="L54" i="12"/>
  <c r="EB54" i="12" s="1"/>
  <c r="C54" i="12"/>
  <c r="G54" i="12" s="1"/>
  <c r="EC53" i="12"/>
  <c r="DU53" i="12"/>
  <c r="DS53" i="12"/>
  <c r="DR53" i="12"/>
  <c r="DQ53" i="12"/>
  <c r="DO53" i="12"/>
  <c r="CN53" i="12"/>
  <c r="CM53" i="12"/>
  <c r="CK53" i="12"/>
  <c r="CJ53" i="12"/>
  <c r="CI53" i="12"/>
  <c r="CG53" i="12"/>
  <c r="CE53" i="12"/>
  <c r="CC53" i="12"/>
  <c r="BX53" i="12"/>
  <c r="BW53" i="12"/>
  <c r="BV53" i="12"/>
  <c r="BU53" i="12"/>
  <c r="BT53" i="12"/>
  <c r="BR53" i="12"/>
  <c r="BQ53" i="12"/>
  <c r="BP53" i="12"/>
  <c r="BO53" i="12"/>
  <c r="BN53" i="12"/>
  <c r="BL53" i="12"/>
  <c r="BK53" i="12"/>
  <c r="BJ53" i="12"/>
  <c r="BI53" i="12"/>
  <c r="BH53" i="12"/>
  <c r="BG53" i="12"/>
  <c r="BE53" i="12"/>
  <c r="BD53" i="12"/>
  <c r="BC53" i="12"/>
  <c r="BB53" i="12"/>
  <c r="AZ53" i="12"/>
  <c r="AY53" i="12"/>
  <c r="AW53" i="12"/>
  <c r="AV53" i="12"/>
  <c r="AT53" i="12"/>
  <c r="AS53" i="12"/>
  <c r="AP53" i="12"/>
  <c r="AO53" i="12"/>
  <c r="AN53" i="12"/>
  <c r="AI53" i="12"/>
  <c r="AF53" i="12"/>
  <c r="R53" i="12"/>
  <c r="L53" i="12"/>
  <c r="EB53" i="12" s="1"/>
  <c r="C53" i="12"/>
  <c r="G53" i="12" s="1"/>
  <c r="EC52" i="12"/>
  <c r="DU52" i="12"/>
  <c r="DS52" i="12"/>
  <c r="DR52" i="12"/>
  <c r="DQ52" i="12"/>
  <c r="DO52" i="12"/>
  <c r="CN52" i="12"/>
  <c r="CM52" i="12"/>
  <c r="CK52" i="12"/>
  <c r="CJ52" i="12"/>
  <c r="CI52" i="12"/>
  <c r="CG52" i="12"/>
  <c r="CE52" i="12"/>
  <c r="CC52" i="12"/>
  <c r="BX52" i="12"/>
  <c r="BW52" i="12"/>
  <c r="BV52" i="12"/>
  <c r="BU52" i="12"/>
  <c r="BT52" i="12"/>
  <c r="BR52" i="12"/>
  <c r="BQ52" i="12"/>
  <c r="BP52" i="12"/>
  <c r="BO52" i="12"/>
  <c r="BN52" i="12"/>
  <c r="BL52" i="12"/>
  <c r="BK52" i="12"/>
  <c r="BJ52" i="12"/>
  <c r="BI52" i="12"/>
  <c r="BH52" i="12"/>
  <c r="BG52" i="12"/>
  <c r="BE52" i="12"/>
  <c r="BD52" i="12"/>
  <c r="BC52" i="12"/>
  <c r="BB52" i="12"/>
  <c r="AZ52" i="12"/>
  <c r="AY52" i="12"/>
  <c r="AW52" i="12"/>
  <c r="AV52" i="12"/>
  <c r="AT52" i="12"/>
  <c r="AS52" i="12"/>
  <c r="AP52" i="12"/>
  <c r="AO52" i="12"/>
  <c r="AN52" i="12"/>
  <c r="AI52" i="12"/>
  <c r="AF52" i="12"/>
  <c r="R52" i="12"/>
  <c r="L52" i="12"/>
  <c r="EB52" i="12" s="1"/>
  <c r="C52" i="12"/>
  <c r="G52" i="12" s="1"/>
  <c r="EC51" i="12"/>
  <c r="DU51" i="12"/>
  <c r="DS51" i="12"/>
  <c r="DR51" i="12"/>
  <c r="DQ51" i="12"/>
  <c r="DO51" i="12"/>
  <c r="CN51" i="12"/>
  <c r="CM51" i="12"/>
  <c r="CK51" i="12"/>
  <c r="CJ51" i="12"/>
  <c r="CI51" i="12"/>
  <c r="CG51" i="12"/>
  <c r="CE51" i="12"/>
  <c r="CC51" i="12"/>
  <c r="BX51" i="12"/>
  <c r="BW51" i="12"/>
  <c r="BV51" i="12"/>
  <c r="BU51" i="12"/>
  <c r="BT51" i="12"/>
  <c r="BR51" i="12"/>
  <c r="BQ51" i="12"/>
  <c r="BP51" i="12"/>
  <c r="BO51" i="12"/>
  <c r="BN51" i="12"/>
  <c r="BL51" i="12"/>
  <c r="BK51" i="12"/>
  <c r="BJ51" i="12"/>
  <c r="BI51" i="12"/>
  <c r="BH51" i="12"/>
  <c r="BG51" i="12"/>
  <c r="BE51" i="12"/>
  <c r="BD51" i="12"/>
  <c r="BC51" i="12"/>
  <c r="BB51" i="12"/>
  <c r="AZ51" i="12"/>
  <c r="AY51" i="12"/>
  <c r="AW51" i="12"/>
  <c r="AV51" i="12"/>
  <c r="AT51" i="12"/>
  <c r="AS51" i="12"/>
  <c r="AP51" i="12"/>
  <c r="AO51" i="12"/>
  <c r="AN51" i="12"/>
  <c r="AI51" i="12"/>
  <c r="AF51" i="12"/>
  <c r="R51" i="12"/>
  <c r="L51" i="12"/>
  <c r="EB51" i="12" s="1"/>
  <c r="C51" i="12"/>
  <c r="G51" i="12" s="1"/>
  <c r="EC50" i="12"/>
  <c r="DU50" i="12"/>
  <c r="DS50" i="12"/>
  <c r="DR50" i="12"/>
  <c r="DQ50" i="12"/>
  <c r="DO50" i="12"/>
  <c r="CN50" i="12"/>
  <c r="CM50" i="12"/>
  <c r="CK50" i="12"/>
  <c r="CJ50" i="12"/>
  <c r="CI50" i="12"/>
  <c r="CG50" i="12"/>
  <c r="CE50" i="12"/>
  <c r="CC50" i="12"/>
  <c r="BX50" i="12"/>
  <c r="BW50" i="12"/>
  <c r="BV50" i="12"/>
  <c r="BU50" i="12"/>
  <c r="BT50" i="12"/>
  <c r="BR50" i="12"/>
  <c r="BQ50" i="12"/>
  <c r="BP50" i="12"/>
  <c r="BO50" i="12"/>
  <c r="BN50" i="12"/>
  <c r="BL50" i="12"/>
  <c r="BK50" i="12"/>
  <c r="BJ50" i="12"/>
  <c r="BI50" i="12"/>
  <c r="BH50" i="12"/>
  <c r="BG50" i="12"/>
  <c r="BE50" i="12"/>
  <c r="BD50" i="12"/>
  <c r="BC50" i="12"/>
  <c r="BB50" i="12"/>
  <c r="AZ50" i="12"/>
  <c r="AY50" i="12"/>
  <c r="AW50" i="12"/>
  <c r="AV50" i="12"/>
  <c r="AT50" i="12"/>
  <c r="AS50" i="12"/>
  <c r="AP50" i="12"/>
  <c r="AO50" i="12"/>
  <c r="AN50" i="12"/>
  <c r="AI50" i="12"/>
  <c r="AF50" i="12"/>
  <c r="R50" i="12"/>
  <c r="L50" i="12"/>
  <c r="EB50" i="12" s="1"/>
  <c r="C50" i="12"/>
  <c r="G50" i="12" s="1"/>
  <c r="EC49" i="12"/>
  <c r="DU49" i="12"/>
  <c r="DS49" i="12"/>
  <c r="DR49" i="12"/>
  <c r="DQ49" i="12"/>
  <c r="DO49" i="12"/>
  <c r="CN49" i="12"/>
  <c r="CM49" i="12"/>
  <c r="CK49" i="12"/>
  <c r="CJ49" i="12"/>
  <c r="CI49" i="12"/>
  <c r="CG49" i="12"/>
  <c r="CE49" i="12"/>
  <c r="CC49" i="12"/>
  <c r="BX49" i="12"/>
  <c r="BW49" i="12"/>
  <c r="BV49" i="12"/>
  <c r="BU49" i="12"/>
  <c r="BT49" i="12"/>
  <c r="BR49" i="12"/>
  <c r="BQ49" i="12"/>
  <c r="BP49" i="12"/>
  <c r="BO49" i="12"/>
  <c r="BN49" i="12"/>
  <c r="BL49" i="12"/>
  <c r="BK49" i="12"/>
  <c r="BJ49" i="12"/>
  <c r="BI49" i="12"/>
  <c r="BH49" i="12"/>
  <c r="BG49" i="12"/>
  <c r="BE49" i="12"/>
  <c r="BD49" i="12"/>
  <c r="BC49" i="12"/>
  <c r="BB49" i="12"/>
  <c r="AZ49" i="12"/>
  <c r="AY49" i="12"/>
  <c r="AW49" i="12"/>
  <c r="AV49" i="12"/>
  <c r="AT49" i="12"/>
  <c r="AS49" i="12"/>
  <c r="AP49" i="12"/>
  <c r="AO49" i="12"/>
  <c r="AN49" i="12"/>
  <c r="AI49" i="12"/>
  <c r="AF49" i="12"/>
  <c r="R49" i="12"/>
  <c r="L49" i="12"/>
  <c r="EB49" i="12" s="1"/>
  <c r="C49" i="12"/>
  <c r="G49" i="12" s="1"/>
  <c r="EC48" i="12"/>
  <c r="DU48" i="12"/>
  <c r="DS48" i="12"/>
  <c r="DR48" i="12"/>
  <c r="DQ48" i="12"/>
  <c r="DO48" i="12"/>
  <c r="CN48" i="12"/>
  <c r="CM48" i="12"/>
  <c r="CK48" i="12"/>
  <c r="CJ48" i="12"/>
  <c r="CI48" i="12"/>
  <c r="CG48" i="12"/>
  <c r="CE48" i="12"/>
  <c r="CC48" i="12"/>
  <c r="BX48" i="12"/>
  <c r="BW48" i="12"/>
  <c r="BV48" i="12"/>
  <c r="BU48" i="12"/>
  <c r="BT48" i="12"/>
  <c r="BR48" i="12"/>
  <c r="BQ48" i="12"/>
  <c r="BP48" i="12"/>
  <c r="BO48" i="12"/>
  <c r="BN48" i="12"/>
  <c r="BL48" i="12"/>
  <c r="BK48" i="12"/>
  <c r="BJ48" i="12"/>
  <c r="BI48" i="12"/>
  <c r="BH48" i="12"/>
  <c r="BG48" i="12"/>
  <c r="BE48" i="12"/>
  <c r="BD48" i="12"/>
  <c r="BC48" i="12"/>
  <c r="BB48" i="12"/>
  <c r="AZ48" i="12"/>
  <c r="AY48" i="12"/>
  <c r="AW48" i="12"/>
  <c r="AV48" i="12"/>
  <c r="AT48" i="12"/>
  <c r="AS48" i="12"/>
  <c r="AP48" i="12"/>
  <c r="AO48" i="12"/>
  <c r="AN48" i="12"/>
  <c r="AI48" i="12"/>
  <c r="AF48" i="12"/>
  <c r="R48" i="12"/>
  <c r="L48" i="12"/>
  <c r="EB48" i="12" s="1"/>
  <c r="C48" i="12"/>
  <c r="G48" i="12" s="1"/>
  <c r="EC47" i="12"/>
  <c r="DU47" i="12"/>
  <c r="DS47" i="12"/>
  <c r="DR47" i="12"/>
  <c r="DQ47" i="12"/>
  <c r="DO47" i="12"/>
  <c r="CN47" i="12"/>
  <c r="CM47" i="12"/>
  <c r="CK47" i="12"/>
  <c r="CJ47" i="12"/>
  <c r="CI47" i="12"/>
  <c r="CG47" i="12"/>
  <c r="CE47" i="12"/>
  <c r="CC47" i="12"/>
  <c r="BX47" i="12"/>
  <c r="BW47" i="12"/>
  <c r="BV47" i="12"/>
  <c r="BU47" i="12"/>
  <c r="BT47" i="12"/>
  <c r="BR47" i="12"/>
  <c r="BQ47" i="12"/>
  <c r="BP47" i="12"/>
  <c r="BO47" i="12"/>
  <c r="BN47" i="12"/>
  <c r="BL47" i="12"/>
  <c r="BK47" i="12"/>
  <c r="BJ47" i="12"/>
  <c r="BI47" i="12"/>
  <c r="BH47" i="12"/>
  <c r="BG47" i="12"/>
  <c r="BE47" i="12"/>
  <c r="BD47" i="12"/>
  <c r="BC47" i="12"/>
  <c r="BB47" i="12"/>
  <c r="AZ47" i="12"/>
  <c r="AY47" i="12"/>
  <c r="AW47" i="12"/>
  <c r="AV47" i="12"/>
  <c r="AT47" i="12"/>
  <c r="AS47" i="12"/>
  <c r="AP47" i="12"/>
  <c r="AO47" i="12"/>
  <c r="AN47" i="12"/>
  <c r="AI47" i="12"/>
  <c r="AF47" i="12"/>
  <c r="R47" i="12"/>
  <c r="L47" i="12"/>
  <c r="EB47" i="12" s="1"/>
  <c r="C47" i="12"/>
  <c r="G47" i="12" s="1"/>
  <c r="EC46" i="12"/>
  <c r="DU46" i="12"/>
  <c r="DS46" i="12"/>
  <c r="DR46" i="12"/>
  <c r="DQ46" i="12"/>
  <c r="DO46" i="12"/>
  <c r="CN46" i="12"/>
  <c r="CM46" i="12"/>
  <c r="CK46" i="12"/>
  <c r="CJ46" i="12"/>
  <c r="CI46" i="12"/>
  <c r="CG46" i="12"/>
  <c r="CE46" i="12"/>
  <c r="CC46" i="12"/>
  <c r="BX46" i="12"/>
  <c r="BW46" i="12"/>
  <c r="BV46" i="12"/>
  <c r="BU46" i="12"/>
  <c r="BT46" i="12"/>
  <c r="BR46" i="12"/>
  <c r="BQ46" i="12"/>
  <c r="BP46" i="12"/>
  <c r="BO46" i="12"/>
  <c r="BN46" i="12"/>
  <c r="BL46" i="12"/>
  <c r="BK46" i="12"/>
  <c r="BJ46" i="12"/>
  <c r="BI46" i="12"/>
  <c r="BH46" i="12"/>
  <c r="BG46" i="12"/>
  <c r="BE46" i="12"/>
  <c r="BD46" i="12"/>
  <c r="BC46" i="12"/>
  <c r="BB46" i="12"/>
  <c r="AZ46" i="12"/>
  <c r="AY46" i="12"/>
  <c r="AW46" i="12"/>
  <c r="AV46" i="12"/>
  <c r="AT46" i="12"/>
  <c r="AS46" i="12"/>
  <c r="AP46" i="12"/>
  <c r="AO46" i="12"/>
  <c r="AN46" i="12"/>
  <c r="AI46" i="12"/>
  <c r="AF46" i="12"/>
  <c r="R46" i="12"/>
  <c r="L46" i="12"/>
  <c r="EB46" i="12" s="1"/>
  <c r="C46" i="12"/>
  <c r="G46" i="12" s="1"/>
  <c r="EC45" i="12"/>
  <c r="DU45" i="12"/>
  <c r="DS45" i="12"/>
  <c r="DR45" i="12"/>
  <c r="DQ45" i="12"/>
  <c r="DO45" i="12"/>
  <c r="CN45" i="12"/>
  <c r="CM45" i="12"/>
  <c r="CK45" i="12"/>
  <c r="CJ45" i="12"/>
  <c r="CI45" i="12"/>
  <c r="CG45" i="12"/>
  <c r="CE45" i="12"/>
  <c r="CC45" i="12"/>
  <c r="BX45" i="12"/>
  <c r="BW45" i="12"/>
  <c r="BV45" i="12"/>
  <c r="BU45" i="12"/>
  <c r="BT45" i="12"/>
  <c r="BR45" i="12"/>
  <c r="BQ45" i="12"/>
  <c r="BP45" i="12"/>
  <c r="BO45" i="12"/>
  <c r="BN45" i="12"/>
  <c r="BL45" i="12"/>
  <c r="BK45" i="12"/>
  <c r="BJ45" i="12"/>
  <c r="BI45" i="12"/>
  <c r="BH45" i="12"/>
  <c r="BG45" i="12"/>
  <c r="BE45" i="12"/>
  <c r="BD45" i="12"/>
  <c r="BC45" i="12"/>
  <c r="BB45" i="12"/>
  <c r="AZ45" i="12"/>
  <c r="AY45" i="12"/>
  <c r="AW45" i="12"/>
  <c r="AV45" i="12"/>
  <c r="AT45" i="12"/>
  <c r="AS45" i="12"/>
  <c r="AP45" i="12"/>
  <c r="AO45" i="12"/>
  <c r="AN45" i="12"/>
  <c r="AI45" i="12"/>
  <c r="AF45" i="12"/>
  <c r="R45" i="12"/>
  <c r="L45" i="12"/>
  <c r="EB45" i="12" s="1"/>
  <c r="C45" i="12"/>
  <c r="G45" i="12" s="1"/>
  <c r="EC44" i="12"/>
  <c r="DU44" i="12"/>
  <c r="DS44" i="12"/>
  <c r="DR44" i="12"/>
  <c r="DQ44" i="12"/>
  <c r="CN44" i="12"/>
  <c r="CM44" i="12"/>
  <c r="CK44" i="12"/>
  <c r="CJ44" i="12"/>
  <c r="CI44" i="12"/>
  <c r="CG44" i="12"/>
  <c r="CE44" i="12"/>
  <c r="CC44" i="12"/>
  <c r="BX44" i="12"/>
  <c r="BW44" i="12"/>
  <c r="BV44" i="12"/>
  <c r="BU44" i="12"/>
  <c r="BT44" i="12"/>
  <c r="BR44" i="12"/>
  <c r="BQ44" i="12"/>
  <c r="BP44" i="12"/>
  <c r="BO44" i="12"/>
  <c r="BN44" i="12"/>
  <c r="BL44" i="12"/>
  <c r="BK44" i="12"/>
  <c r="BJ44" i="12"/>
  <c r="BI44" i="12"/>
  <c r="BH44" i="12"/>
  <c r="BG44" i="12"/>
  <c r="BE44" i="12"/>
  <c r="BD44" i="12"/>
  <c r="BC44" i="12"/>
  <c r="BB44" i="12"/>
  <c r="AZ44" i="12"/>
  <c r="AY44" i="12"/>
  <c r="AW44" i="12"/>
  <c r="AV44" i="12"/>
  <c r="AT44" i="12"/>
  <c r="AS44" i="12"/>
  <c r="AP44" i="12"/>
  <c r="AO44" i="12"/>
  <c r="AN44" i="12"/>
  <c r="AI44" i="12"/>
  <c r="AF44" i="12"/>
  <c r="L44" i="12"/>
  <c r="EB44" i="12" s="1"/>
  <c r="H44" i="12"/>
  <c r="C44" i="12"/>
  <c r="G44" i="12" s="1"/>
  <c r="EC43" i="12"/>
  <c r="DU43" i="12"/>
  <c r="DS43" i="12"/>
  <c r="DR43" i="12"/>
  <c r="DQ43" i="12"/>
  <c r="CN43" i="12"/>
  <c r="CM43" i="12"/>
  <c r="CK43" i="12"/>
  <c r="CJ43" i="12"/>
  <c r="CI43" i="12"/>
  <c r="CG43" i="12"/>
  <c r="CE43" i="12"/>
  <c r="CC43" i="12"/>
  <c r="BX43" i="12"/>
  <c r="BW43" i="12"/>
  <c r="BV43" i="12"/>
  <c r="BU43" i="12"/>
  <c r="BT43" i="12"/>
  <c r="BR43" i="12"/>
  <c r="BQ43" i="12"/>
  <c r="BP43" i="12"/>
  <c r="BO43" i="12"/>
  <c r="BN43" i="12"/>
  <c r="BL43" i="12"/>
  <c r="BK43" i="12"/>
  <c r="BJ43" i="12"/>
  <c r="BI43" i="12"/>
  <c r="BH43" i="12"/>
  <c r="BG43" i="12"/>
  <c r="BE43" i="12"/>
  <c r="BD43" i="12"/>
  <c r="BC43" i="12"/>
  <c r="BB43" i="12"/>
  <c r="AZ43" i="12"/>
  <c r="AY43" i="12"/>
  <c r="AW43" i="12"/>
  <c r="AV43" i="12"/>
  <c r="AT43" i="12"/>
  <c r="AS43" i="12"/>
  <c r="AP43" i="12"/>
  <c r="AO43" i="12"/>
  <c r="AN43" i="12"/>
  <c r="AI43" i="12"/>
  <c r="AF43" i="12"/>
  <c r="L43" i="12"/>
  <c r="EB43" i="12" s="1"/>
  <c r="C43" i="12"/>
  <c r="G43" i="12" s="1"/>
  <c r="EC42" i="12"/>
  <c r="DU42" i="12"/>
  <c r="DS42" i="12"/>
  <c r="DR42" i="12"/>
  <c r="DQ42" i="12"/>
  <c r="CN42" i="12"/>
  <c r="CM42" i="12"/>
  <c r="CK42" i="12"/>
  <c r="CJ42" i="12"/>
  <c r="CI42" i="12"/>
  <c r="CG42" i="12"/>
  <c r="CE42" i="12"/>
  <c r="CC42" i="12"/>
  <c r="BX42" i="12"/>
  <c r="BW42" i="12"/>
  <c r="BV42" i="12"/>
  <c r="BU42" i="12"/>
  <c r="BT42" i="12"/>
  <c r="BR42" i="12"/>
  <c r="BQ42" i="12"/>
  <c r="BP42" i="12"/>
  <c r="BO42" i="12"/>
  <c r="BN42" i="12"/>
  <c r="BL42" i="12"/>
  <c r="BK42" i="12"/>
  <c r="BJ42" i="12"/>
  <c r="BI42" i="12"/>
  <c r="BH42" i="12"/>
  <c r="BG42" i="12"/>
  <c r="BE42" i="12"/>
  <c r="BD42" i="12"/>
  <c r="BC42" i="12"/>
  <c r="BB42" i="12"/>
  <c r="AZ42" i="12"/>
  <c r="AY42" i="12"/>
  <c r="AW42" i="12"/>
  <c r="AV42" i="12"/>
  <c r="AT42" i="12"/>
  <c r="AS42" i="12"/>
  <c r="AP42" i="12"/>
  <c r="AO42" i="12"/>
  <c r="AN42" i="12"/>
  <c r="AI42" i="12"/>
  <c r="AF42" i="12"/>
  <c r="L42" i="12"/>
  <c r="EB42" i="12" s="1"/>
  <c r="C42" i="12"/>
  <c r="G42" i="12" s="1"/>
  <c r="EC41" i="12"/>
  <c r="DU41" i="12"/>
  <c r="DS41" i="12"/>
  <c r="DR41" i="12"/>
  <c r="DQ41" i="12"/>
  <c r="CN41" i="12"/>
  <c r="CM41" i="12"/>
  <c r="CK41" i="12"/>
  <c r="CJ41" i="12"/>
  <c r="CI41" i="12"/>
  <c r="CG41" i="12"/>
  <c r="CE41" i="12"/>
  <c r="CC41" i="12"/>
  <c r="BX41" i="12"/>
  <c r="BW41" i="12"/>
  <c r="BV41" i="12"/>
  <c r="BU41" i="12"/>
  <c r="BT41" i="12"/>
  <c r="BR41" i="12"/>
  <c r="BQ41" i="12"/>
  <c r="BP41" i="12"/>
  <c r="BO41" i="12"/>
  <c r="BN41" i="12"/>
  <c r="BL41" i="12"/>
  <c r="BK41" i="12"/>
  <c r="BJ41" i="12"/>
  <c r="BI41" i="12"/>
  <c r="BH41" i="12"/>
  <c r="BG41" i="12"/>
  <c r="BE41" i="12"/>
  <c r="BD41" i="12"/>
  <c r="BC41" i="12"/>
  <c r="BB41" i="12"/>
  <c r="AZ41" i="12"/>
  <c r="AY41" i="12"/>
  <c r="AW41" i="12"/>
  <c r="AV41" i="12"/>
  <c r="AT41" i="12"/>
  <c r="AS41" i="12"/>
  <c r="AP41" i="12"/>
  <c r="AO41" i="12"/>
  <c r="AN41" i="12"/>
  <c r="AI41" i="12"/>
  <c r="AF41" i="12"/>
  <c r="L41" i="12"/>
  <c r="EB41" i="12" s="1"/>
  <c r="C41" i="12"/>
  <c r="G41" i="12" s="1"/>
  <c r="N41" i="12" s="1"/>
  <c r="EC40" i="12"/>
  <c r="DU40" i="12"/>
  <c r="DS40" i="12"/>
  <c r="DR40" i="12"/>
  <c r="DQ40" i="12"/>
  <c r="CN40" i="12"/>
  <c r="CM40" i="12"/>
  <c r="CK40" i="12"/>
  <c r="CJ40" i="12"/>
  <c r="CI40" i="12"/>
  <c r="CG40" i="12"/>
  <c r="CE40" i="12"/>
  <c r="CC40" i="12"/>
  <c r="BX40" i="12"/>
  <c r="BW40" i="12"/>
  <c r="BV40" i="12"/>
  <c r="BU40" i="12"/>
  <c r="BT40" i="12"/>
  <c r="BR40" i="12"/>
  <c r="BQ40" i="12"/>
  <c r="BP40" i="12"/>
  <c r="BO40" i="12"/>
  <c r="BN40" i="12"/>
  <c r="BL40" i="12"/>
  <c r="BK40" i="12"/>
  <c r="BJ40" i="12"/>
  <c r="BI40" i="12"/>
  <c r="BH40" i="12"/>
  <c r="BG40" i="12"/>
  <c r="BE40" i="12"/>
  <c r="BD40" i="12"/>
  <c r="BC40" i="12"/>
  <c r="BB40" i="12"/>
  <c r="AZ40" i="12"/>
  <c r="AY40" i="12"/>
  <c r="AW40" i="12"/>
  <c r="AV40" i="12"/>
  <c r="AT40" i="12"/>
  <c r="AS40" i="12"/>
  <c r="AP40" i="12"/>
  <c r="AO40" i="12"/>
  <c r="AN40" i="12"/>
  <c r="AI40" i="12"/>
  <c r="AF40" i="12"/>
  <c r="L40" i="12"/>
  <c r="EB40" i="12" s="1"/>
  <c r="C40" i="12"/>
  <c r="G40" i="12" s="1"/>
  <c r="N40" i="12" s="1"/>
  <c r="EC39" i="12"/>
  <c r="DU39" i="12"/>
  <c r="DS39" i="12"/>
  <c r="DR39" i="12"/>
  <c r="DQ39" i="12"/>
  <c r="CN39" i="12"/>
  <c r="CM39" i="12"/>
  <c r="CK39" i="12"/>
  <c r="CJ39" i="12"/>
  <c r="CI39" i="12"/>
  <c r="CG39" i="12"/>
  <c r="CE39" i="12"/>
  <c r="CC39" i="12"/>
  <c r="BX39" i="12"/>
  <c r="BW39" i="12"/>
  <c r="BV39" i="12"/>
  <c r="BU39" i="12"/>
  <c r="BT39" i="12"/>
  <c r="BR39" i="12"/>
  <c r="BQ39" i="12"/>
  <c r="BP39" i="12"/>
  <c r="BO39" i="12"/>
  <c r="BN39" i="12"/>
  <c r="BL39" i="12"/>
  <c r="BK39" i="12"/>
  <c r="BJ39" i="12"/>
  <c r="BI39" i="12"/>
  <c r="BH39" i="12"/>
  <c r="BG39" i="12"/>
  <c r="BE39" i="12"/>
  <c r="BD39" i="12"/>
  <c r="BC39" i="12"/>
  <c r="BB39" i="12"/>
  <c r="AZ39" i="12"/>
  <c r="AY39" i="12"/>
  <c r="AW39" i="12"/>
  <c r="AV39" i="12"/>
  <c r="AT39" i="12"/>
  <c r="AS39" i="12"/>
  <c r="AP39" i="12"/>
  <c r="AO39" i="12"/>
  <c r="AN39" i="12"/>
  <c r="AI39" i="12"/>
  <c r="AF39" i="12"/>
  <c r="L39" i="12"/>
  <c r="EB39" i="12" s="1"/>
  <c r="C39" i="12"/>
  <c r="G39" i="12" s="1"/>
  <c r="EC38" i="12"/>
  <c r="DU38" i="12"/>
  <c r="DS38" i="12"/>
  <c r="DR38" i="12"/>
  <c r="DQ38" i="12"/>
  <c r="DO38" i="12"/>
  <c r="CN38" i="12"/>
  <c r="CM38" i="12"/>
  <c r="CK38" i="12"/>
  <c r="CJ38" i="12"/>
  <c r="CI38" i="12"/>
  <c r="CG38" i="12"/>
  <c r="CE38" i="12"/>
  <c r="CC38" i="12"/>
  <c r="BX38" i="12"/>
  <c r="BW38" i="12"/>
  <c r="BV38" i="12"/>
  <c r="BU38" i="12"/>
  <c r="BT38" i="12"/>
  <c r="BR38" i="12"/>
  <c r="BQ38" i="12"/>
  <c r="BP38" i="12"/>
  <c r="BO38" i="12"/>
  <c r="BN38" i="12"/>
  <c r="BL38" i="12"/>
  <c r="BK38" i="12"/>
  <c r="BJ38" i="12"/>
  <c r="BI38" i="12"/>
  <c r="BH38" i="12"/>
  <c r="BG38" i="12"/>
  <c r="BE38" i="12"/>
  <c r="BD38" i="12"/>
  <c r="BC38" i="12"/>
  <c r="BB38" i="12"/>
  <c r="AZ38" i="12"/>
  <c r="AY38" i="12"/>
  <c r="AW38" i="12"/>
  <c r="AV38" i="12"/>
  <c r="AT38" i="12"/>
  <c r="AS38" i="12"/>
  <c r="AP38" i="12"/>
  <c r="AO38" i="12"/>
  <c r="AN38" i="12"/>
  <c r="AI38" i="12"/>
  <c r="AF38" i="12"/>
  <c r="R38" i="12"/>
  <c r="L38" i="12"/>
  <c r="EB38" i="12" s="1"/>
  <c r="H38" i="12"/>
  <c r="C38" i="12"/>
  <c r="G38" i="12" s="1"/>
  <c r="P38" i="12" s="1"/>
  <c r="EC37" i="12"/>
  <c r="DU37" i="12"/>
  <c r="DS37" i="12"/>
  <c r="DR37" i="12"/>
  <c r="DQ37" i="12"/>
  <c r="DO37" i="12"/>
  <c r="CN37" i="12"/>
  <c r="CM37" i="12"/>
  <c r="CK37" i="12"/>
  <c r="CJ37" i="12"/>
  <c r="CI37" i="12"/>
  <c r="CG37" i="12"/>
  <c r="CE37" i="12"/>
  <c r="CC37" i="12"/>
  <c r="BX37" i="12"/>
  <c r="BW37" i="12"/>
  <c r="BV37" i="12"/>
  <c r="BU37" i="12"/>
  <c r="BT37" i="12"/>
  <c r="BR37" i="12"/>
  <c r="BQ37" i="12"/>
  <c r="BP37" i="12"/>
  <c r="BO37" i="12"/>
  <c r="BN37" i="12"/>
  <c r="BL37" i="12"/>
  <c r="BK37" i="12"/>
  <c r="BJ37" i="12"/>
  <c r="BI37" i="12"/>
  <c r="BH37" i="12"/>
  <c r="BG37" i="12"/>
  <c r="BE37" i="12"/>
  <c r="BD37" i="12"/>
  <c r="BC37" i="12"/>
  <c r="BB37" i="12"/>
  <c r="AZ37" i="12"/>
  <c r="AY37" i="12"/>
  <c r="AW37" i="12"/>
  <c r="AV37" i="12"/>
  <c r="AT37" i="12"/>
  <c r="AS37" i="12"/>
  <c r="AP37" i="12"/>
  <c r="AO37" i="12"/>
  <c r="AN37" i="12"/>
  <c r="AI37" i="12"/>
  <c r="AF37" i="12"/>
  <c r="R37" i="12"/>
  <c r="L37" i="12"/>
  <c r="EB37" i="12" s="1"/>
  <c r="H37" i="12"/>
  <c r="C37" i="12"/>
  <c r="G37" i="12" s="1"/>
  <c r="P37" i="12" s="1"/>
  <c r="EC36" i="12"/>
  <c r="DU36" i="12"/>
  <c r="DS36" i="12"/>
  <c r="DR36" i="12"/>
  <c r="DQ36" i="12"/>
  <c r="DO36" i="12"/>
  <c r="CN36" i="12"/>
  <c r="CM36" i="12"/>
  <c r="CK36" i="12"/>
  <c r="CJ36" i="12"/>
  <c r="CI36" i="12"/>
  <c r="CG36" i="12"/>
  <c r="CE36" i="12"/>
  <c r="CC36" i="12"/>
  <c r="BX36" i="12"/>
  <c r="BW36" i="12"/>
  <c r="BV36" i="12"/>
  <c r="BU36" i="12"/>
  <c r="BT36" i="12"/>
  <c r="BR36" i="12"/>
  <c r="BQ36" i="12"/>
  <c r="BP36" i="12"/>
  <c r="BO36" i="12"/>
  <c r="BN36" i="12"/>
  <c r="BL36" i="12"/>
  <c r="BK36" i="12"/>
  <c r="BJ36" i="12"/>
  <c r="BI36" i="12"/>
  <c r="BH36" i="12"/>
  <c r="BG36" i="12"/>
  <c r="BE36" i="12"/>
  <c r="BD36" i="12"/>
  <c r="BC36" i="12"/>
  <c r="BB36" i="12"/>
  <c r="AZ36" i="12"/>
  <c r="AY36" i="12"/>
  <c r="AW36" i="12"/>
  <c r="AV36" i="12"/>
  <c r="AT36" i="12"/>
  <c r="AS36" i="12"/>
  <c r="AP36" i="12"/>
  <c r="AO36" i="12"/>
  <c r="AN36" i="12"/>
  <c r="AI36" i="12"/>
  <c r="AF36" i="12"/>
  <c r="R36" i="12"/>
  <c r="L36" i="12"/>
  <c r="EB36" i="12" s="1"/>
  <c r="H36" i="12"/>
  <c r="C36" i="12"/>
  <c r="G36" i="12" s="1"/>
  <c r="P36" i="12" s="1"/>
  <c r="EC35" i="12"/>
  <c r="DU35" i="12"/>
  <c r="DS35" i="12"/>
  <c r="DR35" i="12"/>
  <c r="DQ35" i="12"/>
  <c r="CN35" i="12"/>
  <c r="CM35" i="12"/>
  <c r="CK35" i="12"/>
  <c r="CJ35" i="12"/>
  <c r="CI35" i="12"/>
  <c r="CG35" i="12"/>
  <c r="CE35" i="12"/>
  <c r="CC35" i="12"/>
  <c r="BX35" i="12"/>
  <c r="BW35" i="12"/>
  <c r="BV35" i="12"/>
  <c r="BU35" i="12"/>
  <c r="BT35" i="12"/>
  <c r="BR35" i="12"/>
  <c r="BQ35" i="12"/>
  <c r="BP35" i="12"/>
  <c r="BO35" i="12"/>
  <c r="BN35" i="12"/>
  <c r="BL35" i="12"/>
  <c r="BK35" i="12"/>
  <c r="BJ35" i="12"/>
  <c r="BI35" i="12"/>
  <c r="BH35" i="12"/>
  <c r="BG35" i="12"/>
  <c r="BE35" i="12"/>
  <c r="BD35" i="12"/>
  <c r="BC35" i="12"/>
  <c r="BB35" i="12"/>
  <c r="AZ35" i="12"/>
  <c r="AY35" i="12"/>
  <c r="AW35" i="12"/>
  <c r="AV35" i="12"/>
  <c r="AT35" i="12"/>
  <c r="AS35" i="12"/>
  <c r="AP35" i="12"/>
  <c r="AO35" i="12"/>
  <c r="AN35" i="12"/>
  <c r="AI35" i="12"/>
  <c r="AF35" i="12"/>
  <c r="L35" i="12"/>
  <c r="EB35" i="12" s="1"/>
  <c r="H35" i="12"/>
  <c r="C35" i="12"/>
  <c r="G35" i="12" s="1"/>
  <c r="P35" i="12" s="1"/>
  <c r="EC34" i="12"/>
  <c r="DU34" i="12"/>
  <c r="DS34" i="12"/>
  <c r="DR34" i="12"/>
  <c r="DQ34" i="12"/>
  <c r="DO34" i="12"/>
  <c r="CN34" i="12"/>
  <c r="CM34" i="12"/>
  <c r="CK34" i="12"/>
  <c r="CJ34" i="12"/>
  <c r="CI34" i="12"/>
  <c r="CG34" i="12"/>
  <c r="CE34" i="12"/>
  <c r="CC34" i="12"/>
  <c r="BX34" i="12"/>
  <c r="BW34" i="12"/>
  <c r="BV34" i="12"/>
  <c r="BU34" i="12"/>
  <c r="BT34" i="12"/>
  <c r="BR34" i="12"/>
  <c r="BQ34" i="12"/>
  <c r="BP34" i="12"/>
  <c r="BO34" i="12"/>
  <c r="BN34" i="12"/>
  <c r="BL34" i="12"/>
  <c r="BK34" i="12"/>
  <c r="BJ34" i="12"/>
  <c r="BI34" i="12"/>
  <c r="BH34" i="12"/>
  <c r="BG34" i="12"/>
  <c r="BE34" i="12"/>
  <c r="BD34" i="12"/>
  <c r="BC34" i="12"/>
  <c r="BB34" i="12"/>
  <c r="AZ34" i="12"/>
  <c r="AY34" i="12"/>
  <c r="AW34" i="12"/>
  <c r="AV34" i="12"/>
  <c r="AT34" i="12"/>
  <c r="AS34" i="12"/>
  <c r="AP34" i="12"/>
  <c r="AO34" i="12"/>
  <c r="AN34" i="12"/>
  <c r="AI34" i="12"/>
  <c r="AF34" i="12"/>
  <c r="R34" i="12"/>
  <c r="L34" i="12"/>
  <c r="EB34" i="12" s="1"/>
  <c r="C34" i="12"/>
  <c r="G34" i="12" s="1"/>
  <c r="P34" i="12" s="1"/>
  <c r="EC33" i="12"/>
  <c r="DU33" i="12"/>
  <c r="DS33" i="12"/>
  <c r="DR33" i="12"/>
  <c r="DQ33" i="12"/>
  <c r="DO33" i="12"/>
  <c r="CN33" i="12"/>
  <c r="CM33" i="12"/>
  <c r="CK33" i="12"/>
  <c r="CJ33" i="12"/>
  <c r="CI33" i="12"/>
  <c r="CG33" i="12"/>
  <c r="CE33" i="12"/>
  <c r="CC33" i="12"/>
  <c r="BX33" i="12"/>
  <c r="BW33" i="12"/>
  <c r="BV33" i="12"/>
  <c r="BU33" i="12"/>
  <c r="BT33" i="12"/>
  <c r="BR33" i="12"/>
  <c r="BQ33" i="12"/>
  <c r="BP33" i="12"/>
  <c r="BO33" i="12"/>
  <c r="BN33" i="12"/>
  <c r="BL33" i="12"/>
  <c r="BK33" i="12"/>
  <c r="BJ33" i="12"/>
  <c r="BI33" i="12"/>
  <c r="BH33" i="12"/>
  <c r="BG33" i="12"/>
  <c r="BE33" i="12"/>
  <c r="BD33" i="12"/>
  <c r="BC33" i="12"/>
  <c r="BB33" i="12"/>
  <c r="AZ33" i="12"/>
  <c r="AY33" i="12"/>
  <c r="AW33" i="12"/>
  <c r="AV33" i="12"/>
  <c r="AT33" i="12"/>
  <c r="AS33" i="12"/>
  <c r="AP33" i="12"/>
  <c r="AO33" i="12"/>
  <c r="AN33" i="12"/>
  <c r="AI33" i="12"/>
  <c r="AF33" i="12"/>
  <c r="R33" i="12"/>
  <c r="L33" i="12"/>
  <c r="EB33" i="12" s="1"/>
  <c r="C33" i="12"/>
  <c r="G33" i="12" s="1"/>
  <c r="P33" i="12" s="1"/>
  <c r="EC32" i="12"/>
  <c r="DU32" i="12"/>
  <c r="DS32" i="12"/>
  <c r="DR32" i="12"/>
  <c r="DQ32" i="12"/>
  <c r="DO32" i="12"/>
  <c r="CN32" i="12"/>
  <c r="CM32" i="12"/>
  <c r="CK32" i="12"/>
  <c r="CJ32" i="12"/>
  <c r="CI32" i="12"/>
  <c r="CG32" i="12"/>
  <c r="CE32" i="12"/>
  <c r="CC32" i="12"/>
  <c r="BX32" i="12"/>
  <c r="BW32" i="12"/>
  <c r="BV32" i="12"/>
  <c r="BU32" i="12"/>
  <c r="BT32" i="12"/>
  <c r="BR32" i="12"/>
  <c r="BQ32" i="12"/>
  <c r="BP32" i="12"/>
  <c r="BO32" i="12"/>
  <c r="BN32" i="12"/>
  <c r="BL32" i="12"/>
  <c r="BK32" i="12"/>
  <c r="BJ32" i="12"/>
  <c r="BI32" i="12"/>
  <c r="BH32" i="12"/>
  <c r="BG32" i="12"/>
  <c r="BE32" i="12"/>
  <c r="BD32" i="12"/>
  <c r="BC32" i="12"/>
  <c r="BB32" i="12"/>
  <c r="AZ32" i="12"/>
  <c r="AY32" i="12"/>
  <c r="AW32" i="12"/>
  <c r="AV32" i="12"/>
  <c r="AT32" i="12"/>
  <c r="AS32" i="12"/>
  <c r="AP32" i="12"/>
  <c r="AO32" i="12"/>
  <c r="AN32" i="12"/>
  <c r="AI32" i="12"/>
  <c r="AF32" i="12"/>
  <c r="R32" i="12"/>
  <c r="L32" i="12"/>
  <c r="EB32" i="12" s="1"/>
  <c r="C32" i="12"/>
  <c r="G32" i="12" s="1"/>
  <c r="P32" i="12" s="1"/>
  <c r="EC31" i="12"/>
  <c r="DU31" i="12"/>
  <c r="DS31" i="12"/>
  <c r="DR31" i="12"/>
  <c r="DQ31" i="12"/>
  <c r="CN31" i="12"/>
  <c r="CM31" i="12"/>
  <c r="CK31" i="12"/>
  <c r="CJ31" i="12"/>
  <c r="CI31" i="12"/>
  <c r="CG31" i="12"/>
  <c r="CE31" i="12"/>
  <c r="CC31" i="12"/>
  <c r="BX31" i="12"/>
  <c r="BW31" i="12"/>
  <c r="BV31" i="12"/>
  <c r="BU31" i="12"/>
  <c r="BT31" i="12"/>
  <c r="BR31" i="12"/>
  <c r="BQ31" i="12"/>
  <c r="BP31" i="12"/>
  <c r="BO31" i="12"/>
  <c r="BN31" i="12"/>
  <c r="BL31" i="12"/>
  <c r="BK31" i="12"/>
  <c r="BJ31" i="12"/>
  <c r="BI31" i="12"/>
  <c r="BH31" i="12"/>
  <c r="BG31" i="12"/>
  <c r="BE31" i="12"/>
  <c r="BD31" i="12"/>
  <c r="BC31" i="12"/>
  <c r="BB31" i="12"/>
  <c r="AZ31" i="12"/>
  <c r="AY31" i="12"/>
  <c r="AW31" i="12"/>
  <c r="AV31" i="12"/>
  <c r="AT31" i="12"/>
  <c r="AS31" i="12"/>
  <c r="AP31" i="12"/>
  <c r="AO31" i="12"/>
  <c r="AN31" i="12"/>
  <c r="AI31" i="12"/>
  <c r="AF31" i="12"/>
  <c r="L31" i="12"/>
  <c r="EB31" i="12" s="1"/>
  <c r="H31" i="12"/>
  <c r="C31" i="12"/>
  <c r="G31" i="12" s="1"/>
  <c r="P31" i="12" s="1"/>
  <c r="EC30" i="12"/>
  <c r="DU30" i="12"/>
  <c r="DS30" i="12"/>
  <c r="DR30" i="12"/>
  <c r="DQ30" i="12"/>
  <c r="CN30" i="12"/>
  <c r="CM30" i="12"/>
  <c r="CK30" i="12"/>
  <c r="CJ30" i="12"/>
  <c r="CI30" i="12"/>
  <c r="CG30" i="12"/>
  <c r="CE30" i="12"/>
  <c r="CC30" i="12"/>
  <c r="BX30" i="12"/>
  <c r="BW30" i="12"/>
  <c r="BV30" i="12"/>
  <c r="BU30" i="12"/>
  <c r="BT30" i="12"/>
  <c r="BR30" i="12"/>
  <c r="BQ30" i="12"/>
  <c r="BP30" i="12"/>
  <c r="BO30" i="12"/>
  <c r="BN30" i="12"/>
  <c r="BL30" i="12"/>
  <c r="BK30" i="12"/>
  <c r="BJ30" i="12"/>
  <c r="BI30" i="12"/>
  <c r="BH30" i="12"/>
  <c r="BG30" i="12"/>
  <c r="BE30" i="12"/>
  <c r="BD30" i="12"/>
  <c r="BC30" i="12"/>
  <c r="BB30" i="12"/>
  <c r="AZ30" i="12"/>
  <c r="AY30" i="12"/>
  <c r="AW30" i="12"/>
  <c r="AV30" i="12"/>
  <c r="AT30" i="12"/>
  <c r="AS30" i="12"/>
  <c r="AP30" i="12"/>
  <c r="AO30" i="12"/>
  <c r="AN30" i="12"/>
  <c r="AI30" i="12"/>
  <c r="AF30" i="12"/>
  <c r="L30" i="12"/>
  <c r="EB30" i="12" s="1"/>
  <c r="C30" i="12"/>
  <c r="G30" i="12" s="1"/>
  <c r="H30" i="12" s="1"/>
  <c r="EC29" i="12"/>
  <c r="DU29" i="12"/>
  <c r="DS29" i="12"/>
  <c r="DR29" i="12"/>
  <c r="DQ29" i="12"/>
  <c r="CN29" i="12"/>
  <c r="CM29" i="12"/>
  <c r="CK29" i="12"/>
  <c r="CJ29" i="12"/>
  <c r="CI29" i="12"/>
  <c r="CG29" i="12"/>
  <c r="CE29" i="12"/>
  <c r="CC29" i="12"/>
  <c r="BX29" i="12"/>
  <c r="BW29" i="12"/>
  <c r="BV29" i="12"/>
  <c r="BU29" i="12"/>
  <c r="BT29" i="12"/>
  <c r="BR29" i="12"/>
  <c r="BQ29" i="12"/>
  <c r="BP29" i="12"/>
  <c r="BO29" i="12"/>
  <c r="BN29" i="12"/>
  <c r="BL29" i="12"/>
  <c r="BK29" i="12"/>
  <c r="BJ29" i="12"/>
  <c r="BI29" i="12"/>
  <c r="BH29" i="12"/>
  <c r="BG29" i="12"/>
  <c r="BE29" i="12"/>
  <c r="BD29" i="12"/>
  <c r="BC29" i="12"/>
  <c r="BB29" i="12"/>
  <c r="AZ29" i="12"/>
  <c r="AY29" i="12"/>
  <c r="AW29" i="12"/>
  <c r="AV29" i="12"/>
  <c r="AT29" i="12"/>
  <c r="AS29" i="12"/>
  <c r="AP29" i="12"/>
  <c r="AO29" i="12"/>
  <c r="AN29" i="12"/>
  <c r="AI29" i="12"/>
  <c r="AF29" i="12"/>
  <c r="Q29" i="12"/>
  <c r="Q30" i="12" s="1"/>
  <c r="O29" i="12"/>
  <c r="O30" i="12" s="1"/>
  <c r="M29" i="12"/>
  <c r="M30" i="12" s="1"/>
  <c r="L29" i="12"/>
  <c r="EB29" i="12" s="1"/>
  <c r="C29" i="12"/>
  <c r="G29" i="12" s="1"/>
  <c r="EC28" i="12"/>
  <c r="DU28" i="12"/>
  <c r="DS28" i="12"/>
  <c r="DR28" i="12"/>
  <c r="DQ28" i="12"/>
  <c r="CN28" i="12"/>
  <c r="CM28" i="12"/>
  <c r="CK28" i="12"/>
  <c r="CJ28" i="12"/>
  <c r="CI28" i="12"/>
  <c r="CG28" i="12"/>
  <c r="CE28" i="12"/>
  <c r="CC28" i="12"/>
  <c r="BX28" i="12"/>
  <c r="BW28" i="12"/>
  <c r="BV28" i="12"/>
  <c r="BU28" i="12"/>
  <c r="BT28" i="12"/>
  <c r="BR28" i="12"/>
  <c r="BQ28" i="12"/>
  <c r="BP28" i="12"/>
  <c r="BO28" i="12"/>
  <c r="BN28" i="12"/>
  <c r="BL28" i="12"/>
  <c r="BK28" i="12"/>
  <c r="BJ28" i="12"/>
  <c r="BI28" i="12"/>
  <c r="BH28" i="12"/>
  <c r="BG28" i="12"/>
  <c r="BE28" i="12"/>
  <c r="BD28" i="12"/>
  <c r="BC28" i="12"/>
  <c r="BB28" i="12"/>
  <c r="AZ28" i="12"/>
  <c r="AY28" i="12"/>
  <c r="AW28" i="12"/>
  <c r="AV28" i="12"/>
  <c r="AT28" i="12"/>
  <c r="AS28" i="12"/>
  <c r="AP28" i="12"/>
  <c r="AO28" i="12"/>
  <c r="AN28" i="12"/>
  <c r="AI28" i="12"/>
  <c r="AF28" i="12"/>
  <c r="L28" i="12"/>
  <c r="EB28" i="12" s="1"/>
  <c r="H28" i="12"/>
  <c r="C28" i="12"/>
  <c r="G28" i="12" s="1"/>
  <c r="N28" i="12" s="1"/>
  <c r="EC27" i="12"/>
  <c r="DY27" i="12" s="1"/>
  <c r="DU27" i="12"/>
  <c r="DS27" i="12"/>
  <c r="DR27" i="12"/>
  <c r="DQ27" i="12"/>
  <c r="CN27" i="12"/>
  <c r="CM27" i="12"/>
  <c r="CK27" i="12"/>
  <c r="CJ27" i="12"/>
  <c r="CI27" i="12"/>
  <c r="CG27" i="12"/>
  <c r="CE27" i="12"/>
  <c r="CC27" i="12"/>
  <c r="BX27" i="12"/>
  <c r="BW27" i="12"/>
  <c r="BV27" i="12"/>
  <c r="BU27" i="12"/>
  <c r="BT27" i="12"/>
  <c r="BR27" i="12"/>
  <c r="BQ27" i="12"/>
  <c r="BP27" i="12"/>
  <c r="BO27" i="12"/>
  <c r="BN27" i="12"/>
  <c r="BL27" i="12"/>
  <c r="BK27" i="12"/>
  <c r="BJ27" i="12"/>
  <c r="BI27" i="12"/>
  <c r="BH27" i="12"/>
  <c r="BG27" i="12"/>
  <c r="BE27" i="12"/>
  <c r="BD27" i="12"/>
  <c r="BC27" i="12"/>
  <c r="BB27" i="12"/>
  <c r="AZ27" i="12"/>
  <c r="AY27" i="12"/>
  <c r="AW27" i="12"/>
  <c r="AV27" i="12"/>
  <c r="AT27" i="12"/>
  <c r="AS27" i="12"/>
  <c r="AP27" i="12"/>
  <c r="AO27" i="12"/>
  <c r="AN27" i="12"/>
  <c r="AI27" i="12"/>
  <c r="AF27" i="12"/>
  <c r="L27" i="12"/>
  <c r="EB27" i="12" s="1"/>
  <c r="C27" i="12"/>
  <c r="G27" i="12" s="1"/>
  <c r="N27" i="12" s="1"/>
  <c r="EC26" i="12"/>
  <c r="DU26" i="12"/>
  <c r="DS26" i="12"/>
  <c r="DR26" i="12"/>
  <c r="DQ26" i="12"/>
  <c r="CN26" i="12"/>
  <c r="CM26" i="12"/>
  <c r="CK26" i="12"/>
  <c r="CJ26" i="12"/>
  <c r="CI26" i="12"/>
  <c r="CG26" i="12"/>
  <c r="CE26" i="12"/>
  <c r="CC26" i="12"/>
  <c r="BX26" i="12"/>
  <c r="BW26" i="12"/>
  <c r="BV26" i="12"/>
  <c r="BU26" i="12"/>
  <c r="BT26" i="12"/>
  <c r="BR26" i="12"/>
  <c r="BQ26" i="12"/>
  <c r="BP26" i="12"/>
  <c r="BO26" i="12"/>
  <c r="BN26" i="12"/>
  <c r="BL26" i="12"/>
  <c r="BK26" i="12"/>
  <c r="BJ26" i="12"/>
  <c r="BI26" i="12"/>
  <c r="BH26" i="12"/>
  <c r="BG26" i="12"/>
  <c r="BE26" i="12"/>
  <c r="BD26" i="12"/>
  <c r="BC26" i="12"/>
  <c r="BB26" i="12"/>
  <c r="AZ26" i="12"/>
  <c r="AY26" i="12"/>
  <c r="AW26" i="12"/>
  <c r="AV26" i="12"/>
  <c r="AT26" i="12"/>
  <c r="AS26" i="12"/>
  <c r="AP26" i="12"/>
  <c r="AO26" i="12"/>
  <c r="AN26" i="12"/>
  <c r="AI26" i="12"/>
  <c r="AF26" i="12"/>
  <c r="L26" i="12"/>
  <c r="EB26" i="12" s="1"/>
  <c r="C26" i="12"/>
  <c r="G26" i="12" s="1"/>
  <c r="P26" i="12" s="1"/>
  <c r="EC25" i="12"/>
  <c r="DU25" i="12"/>
  <c r="DS25" i="12"/>
  <c r="DR25" i="12"/>
  <c r="DQ25" i="12"/>
  <c r="DO25" i="12"/>
  <c r="DN25" i="12"/>
  <c r="DM25" i="12"/>
  <c r="CN25" i="12"/>
  <c r="CM25" i="12"/>
  <c r="CK25" i="12"/>
  <c r="CJ25" i="12"/>
  <c r="CI25" i="12"/>
  <c r="CG25" i="12"/>
  <c r="CE25" i="12"/>
  <c r="CC25" i="12"/>
  <c r="BX25" i="12"/>
  <c r="BW25" i="12"/>
  <c r="BV25" i="12"/>
  <c r="BU25" i="12"/>
  <c r="BT25" i="12"/>
  <c r="BR25" i="12"/>
  <c r="BQ25" i="12"/>
  <c r="BP25" i="12"/>
  <c r="BO25" i="12"/>
  <c r="BN25" i="12"/>
  <c r="BL25" i="12"/>
  <c r="BK25" i="12"/>
  <c r="BJ25" i="12"/>
  <c r="BI25" i="12"/>
  <c r="BH25" i="12"/>
  <c r="BG25" i="12"/>
  <c r="BE25" i="12"/>
  <c r="BD25" i="12"/>
  <c r="BC25" i="12"/>
  <c r="BB25" i="12"/>
  <c r="AZ25" i="12"/>
  <c r="AY25" i="12"/>
  <c r="AW25" i="12"/>
  <c r="AV25" i="12"/>
  <c r="AT25" i="12"/>
  <c r="AS25" i="12"/>
  <c r="AP25" i="12"/>
  <c r="AO25" i="12"/>
  <c r="AN25" i="12"/>
  <c r="AI25" i="12"/>
  <c r="AF25" i="12"/>
  <c r="R25" i="12"/>
  <c r="P25" i="12"/>
  <c r="N25" i="12"/>
  <c r="L25" i="12"/>
  <c r="EB25" i="12" s="1"/>
  <c r="C25" i="12"/>
  <c r="G25" i="12" s="1"/>
  <c r="H25" i="12" s="1"/>
  <c r="EC24" i="12"/>
  <c r="DU24" i="12"/>
  <c r="DS24" i="12"/>
  <c r="DR24" i="12"/>
  <c r="DQ24" i="12"/>
  <c r="DO24" i="12"/>
  <c r="DN24" i="12"/>
  <c r="DM24" i="12"/>
  <c r="CN24" i="12"/>
  <c r="CM24" i="12"/>
  <c r="CK24" i="12"/>
  <c r="CJ24" i="12"/>
  <c r="CI24" i="12"/>
  <c r="CG24" i="12"/>
  <c r="CE24" i="12"/>
  <c r="CC24" i="12"/>
  <c r="BX24" i="12"/>
  <c r="BW24" i="12"/>
  <c r="BV24" i="12"/>
  <c r="BU24" i="12"/>
  <c r="BT24" i="12"/>
  <c r="BR24" i="12"/>
  <c r="BQ24" i="12"/>
  <c r="BP24" i="12"/>
  <c r="BO24" i="12"/>
  <c r="BN24" i="12"/>
  <c r="BL24" i="12"/>
  <c r="BK24" i="12"/>
  <c r="BJ24" i="12"/>
  <c r="BI24" i="12"/>
  <c r="BH24" i="12"/>
  <c r="BG24" i="12"/>
  <c r="BE24" i="12"/>
  <c r="BD24" i="12"/>
  <c r="BC24" i="12"/>
  <c r="BB24" i="12"/>
  <c r="AZ24" i="12"/>
  <c r="AY24" i="12"/>
  <c r="AW24" i="12"/>
  <c r="AV24" i="12"/>
  <c r="AT24" i="12"/>
  <c r="AS24" i="12"/>
  <c r="AP24" i="12"/>
  <c r="AO24" i="12"/>
  <c r="AN24" i="12"/>
  <c r="AI24" i="12"/>
  <c r="AF24" i="12"/>
  <c r="R24" i="12"/>
  <c r="P24" i="12"/>
  <c r="N24" i="12"/>
  <c r="L24" i="12"/>
  <c r="EB24" i="12" s="1"/>
  <c r="C24" i="12"/>
  <c r="G24" i="12" s="1"/>
  <c r="G251" i="12" s="1"/>
  <c r="AG24" i="12" s="1"/>
  <c r="EC23" i="12"/>
  <c r="DU23" i="12"/>
  <c r="DS23" i="12"/>
  <c r="DR23" i="12"/>
  <c r="DQ23" i="12"/>
  <c r="DO23" i="12"/>
  <c r="CN23" i="12"/>
  <c r="CM23" i="12"/>
  <c r="CK23" i="12"/>
  <c r="CJ23" i="12"/>
  <c r="CI23" i="12"/>
  <c r="CG23" i="12"/>
  <c r="CE23" i="12"/>
  <c r="CC23" i="12"/>
  <c r="BX23" i="12"/>
  <c r="BW23" i="12"/>
  <c r="BV23" i="12"/>
  <c r="BU23" i="12"/>
  <c r="BT23" i="12"/>
  <c r="BR23" i="12"/>
  <c r="BQ23" i="12"/>
  <c r="BP23" i="12"/>
  <c r="BO23" i="12"/>
  <c r="BN23" i="12"/>
  <c r="BL23" i="12"/>
  <c r="BK23" i="12"/>
  <c r="BJ23" i="12"/>
  <c r="BI23" i="12"/>
  <c r="BH23" i="12"/>
  <c r="BG23" i="12"/>
  <c r="BE23" i="12"/>
  <c r="BD23" i="12"/>
  <c r="BC23" i="12"/>
  <c r="BB23" i="12"/>
  <c r="AZ23" i="12"/>
  <c r="AY23" i="12"/>
  <c r="AW23" i="12"/>
  <c r="AV23" i="12"/>
  <c r="AT23" i="12"/>
  <c r="AS23" i="12"/>
  <c r="AP23" i="12"/>
  <c r="AO23" i="12"/>
  <c r="AN23" i="12"/>
  <c r="AI23" i="12"/>
  <c r="AF23" i="12"/>
  <c r="R23" i="12"/>
  <c r="L23" i="12"/>
  <c r="EB23" i="12" s="1"/>
  <c r="C23" i="12"/>
  <c r="G23" i="12" s="1"/>
  <c r="N23" i="12" s="1"/>
  <c r="EC22" i="12"/>
  <c r="DU22" i="12"/>
  <c r="DS22" i="12"/>
  <c r="DR22" i="12"/>
  <c r="DQ22" i="12"/>
  <c r="DO22" i="12"/>
  <c r="CN22" i="12"/>
  <c r="CM22" i="12"/>
  <c r="CK22" i="12"/>
  <c r="CJ22" i="12"/>
  <c r="CI22" i="12"/>
  <c r="CG22" i="12"/>
  <c r="CE22" i="12"/>
  <c r="CC22" i="12"/>
  <c r="BX22" i="12"/>
  <c r="BW22" i="12"/>
  <c r="BV22" i="12"/>
  <c r="BU22" i="12"/>
  <c r="BT22" i="12"/>
  <c r="BR22" i="12"/>
  <c r="BQ22" i="12"/>
  <c r="BP22" i="12"/>
  <c r="BO22" i="12"/>
  <c r="BN22" i="12"/>
  <c r="BL22" i="12"/>
  <c r="BK22" i="12"/>
  <c r="BJ22" i="12"/>
  <c r="BI22" i="12"/>
  <c r="BH22" i="12"/>
  <c r="BG22" i="12"/>
  <c r="BE22" i="12"/>
  <c r="BD22" i="12"/>
  <c r="BC22" i="12"/>
  <c r="BB22" i="12"/>
  <c r="AZ22" i="12"/>
  <c r="AY22" i="12"/>
  <c r="AW22" i="12"/>
  <c r="AV22" i="12"/>
  <c r="AT22" i="12"/>
  <c r="AS22" i="12"/>
  <c r="AP22" i="12"/>
  <c r="AO22" i="12"/>
  <c r="AN22" i="12"/>
  <c r="AI22" i="12"/>
  <c r="AF22" i="12"/>
  <c r="R22" i="12"/>
  <c r="L22" i="12"/>
  <c r="EB22" i="12" s="1"/>
  <c r="C22" i="12"/>
  <c r="G22" i="12" s="1"/>
  <c r="N22" i="12" s="1"/>
  <c r="EC21" i="12"/>
  <c r="DU21" i="12"/>
  <c r="DS21" i="12"/>
  <c r="DR21" i="12"/>
  <c r="DQ21" i="12"/>
  <c r="DO21" i="12"/>
  <c r="CN21" i="12"/>
  <c r="CM21" i="12"/>
  <c r="CK21" i="12"/>
  <c r="CJ21" i="12"/>
  <c r="CI21" i="12"/>
  <c r="CG21" i="12"/>
  <c r="CE21" i="12"/>
  <c r="CC21" i="12"/>
  <c r="BX21" i="12"/>
  <c r="BW21" i="12"/>
  <c r="BV21" i="12"/>
  <c r="BU21" i="12"/>
  <c r="BT21" i="12"/>
  <c r="BR21" i="12"/>
  <c r="BQ21" i="12"/>
  <c r="BP21" i="12"/>
  <c r="BO21" i="12"/>
  <c r="BN21" i="12"/>
  <c r="BL21" i="12"/>
  <c r="BK21" i="12"/>
  <c r="BJ21" i="12"/>
  <c r="BI21" i="12"/>
  <c r="BH21" i="12"/>
  <c r="BG21" i="12"/>
  <c r="BE21" i="12"/>
  <c r="BD21" i="12"/>
  <c r="BC21" i="12"/>
  <c r="BB21" i="12"/>
  <c r="AZ21" i="12"/>
  <c r="AY21" i="12"/>
  <c r="AW21" i="12"/>
  <c r="AV21" i="12"/>
  <c r="AT21" i="12"/>
  <c r="AS21" i="12"/>
  <c r="AP21" i="12"/>
  <c r="AO21" i="12"/>
  <c r="AN21" i="12"/>
  <c r="AI21" i="12"/>
  <c r="AF21" i="12"/>
  <c r="R21" i="12"/>
  <c r="L21" i="12"/>
  <c r="EB21" i="12" s="1"/>
  <c r="C21" i="12"/>
  <c r="G21" i="12" s="1"/>
  <c r="N21" i="12" s="1"/>
  <c r="EC20" i="12"/>
  <c r="DU20" i="12"/>
  <c r="DS20" i="12"/>
  <c r="DR20" i="12"/>
  <c r="DQ20" i="12"/>
  <c r="DO20" i="12"/>
  <c r="CN20" i="12"/>
  <c r="CM20" i="12"/>
  <c r="CK20" i="12"/>
  <c r="CJ20" i="12"/>
  <c r="CI20" i="12"/>
  <c r="CG20" i="12"/>
  <c r="CE20" i="12"/>
  <c r="CC20" i="12"/>
  <c r="BX20" i="12"/>
  <c r="BW20" i="12"/>
  <c r="BV20" i="12"/>
  <c r="BU20" i="12"/>
  <c r="BT20" i="12"/>
  <c r="BR20" i="12"/>
  <c r="BQ20" i="12"/>
  <c r="BP20" i="12"/>
  <c r="BO20" i="12"/>
  <c r="BN20" i="12"/>
  <c r="BL20" i="12"/>
  <c r="BK20" i="12"/>
  <c r="BJ20" i="12"/>
  <c r="BI20" i="12"/>
  <c r="BH20" i="12"/>
  <c r="BG20" i="12"/>
  <c r="BE20" i="12"/>
  <c r="BD20" i="12"/>
  <c r="BC20" i="12"/>
  <c r="BB20" i="12"/>
  <c r="AZ20" i="12"/>
  <c r="AY20" i="12"/>
  <c r="AW20" i="12"/>
  <c r="AV20" i="12"/>
  <c r="AT20" i="12"/>
  <c r="AS20" i="12"/>
  <c r="AP20" i="12"/>
  <c r="AO20" i="12"/>
  <c r="AN20" i="12"/>
  <c r="AI20" i="12"/>
  <c r="AF20" i="12"/>
  <c r="R20" i="12"/>
  <c r="L20" i="12"/>
  <c r="EB20" i="12" s="1"/>
  <c r="C20" i="12"/>
  <c r="G20" i="12" s="1"/>
  <c r="EC19" i="12"/>
  <c r="DU19" i="12"/>
  <c r="DS19" i="12"/>
  <c r="DR19" i="12"/>
  <c r="DQ19" i="12"/>
  <c r="DO19" i="12"/>
  <c r="CN19" i="12"/>
  <c r="CM19" i="12"/>
  <c r="CK19" i="12"/>
  <c r="CJ19" i="12"/>
  <c r="CI19" i="12"/>
  <c r="CG19" i="12"/>
  <c r="CE19" i="12"/>
  <c r="CC19" i="12"/>
  <c r="BX19" i="12"/>
  <c r="BW19" i="12"/>
  <c r="BV19" i="12"/>
  <c r="BU19" i="12"/>
  <c r="BT19" i="12"/>
  <c r="BR19" i="12"/>
  <c r="BQ19" i="12"/>
  <c r="BP19" i="12"/>
  <c r="BO19" i="12"/>
  <c r="BN19" i="12"/>
  <c r="BL19" i="12"/>
  <c r="BK19" i="12"/>
  <c r="BJ19" i="12"/>
  <c r="BI19" i="12"/>
  <c r="BH19" i="12"/>
  <c r="BG19" i="12"/>
  <c r="BE19" i="12"/>
  <c r="BD19" i="12"/>
  <c r="BC19" i="12"/>
  <c r="BB19" i="12"/>
  <c r="AZ19" i="12"/>
  <c r="AY19" i="12"/>
  <c r="AW19" i="12"/>
  <c r="AV19" i="12"/>
  <c r="AT19" i="12"/>
  <c r="AS19" i="12"/>
  <c r="AP19" i="12"/>
  <c r="AO19" i="12"/>
  <c r="AN19" i="12"/>
  <c r="AI19" i="12"/>
  <c r="AF19" i="12"/>
  <c r="R19" i="12"/>
  <c r="L19" i="12"/>
  <c r="EB19" i="12" s="1"/>
  <c r="C19" i="12"/>
  <c r="G19" i="12" s="1"/>
  <c r="P19" i="12" s="1"/>
  <c r="EC18" i="12"/>
  <c r="DU18" i="12"/>
  <c r="DS18" i="12"/>
  <c r="DR18" i="12"/>
  <c r="DQ18" i="12"/>
  <c r="DO18" i="12"/>
  <c r="CN18" i="12"/>
  <c r="CM18" i="12"/>
  <c r="CK18" i="12"/>
  <c r="CJ18" i="12"/>
  <c r="CI18" i="12"/>
  <c r="CG18" i="12"/>
  <c r="CE18" i="12"/>
  <c r="CC18" i="12"/>
  <c r="BX18" i="12"/>
  <c r="BW18" i="12"/>
  <c r="BV18" i="12"/>
  <c r="BU18" i="12"/>
  <c r="BT18" i="12"/>
  <c r="BR18" i="12"/>
  <c r="BQ18" i="12"/>
  <c r="BP18" i="12"/>
  <c r="BO18" i="12"/>
  <c r="BN18" i="12"/>
  <c r="BL18" i="12"/>
  <c r="BK18" i="12"/>
  <c r="BJ18" i="12"/>
  <c r="BI18" i="12"/>
  <c r="BH18" i="12"/>
  <c r="BG18" i="12"/>
  <c r="BE18" i="12"/>
  <c r="BD18" i="12"/>
  <c r="BC18" i="12"/>
  <c r="BB18" i="12"/>
  <c r="AZ18" i="12"/>
  <c r="AY18" i="12"/>
  <c r="AW18" i="12"/>
  <c r="AV18" i="12"/>
  <c r="AT18" i="12"/>
  <c r="AS18" i="12"/>
  <c r="AP18" i="12"/>
  <c r="AO18" i="12"/>
  <c r="AN18" i="12"/>
  <c r="AI18" i="12"/>
  <c r="AF18" i="12"/>
  <c r="R18" i="12"/>
  <c r="L18" i="12"/>
  <c r="EB18" i="12" s="1"/>
  <c r="C18" i="12"/>
  <c r="G18" i="12" s="1"/>
  <c r="P18" i="12" s="1"/>
  <c r="EC17" i="12"/>
  <c r="DU17" i="12"/>
  <c r="DS17" i="12"/>
  <c r="DR17" i="12"/>
  <c r="DQ17" i="12"/>
  <c r="DO17" i="12"/>
  <c r="CN17" i="12"/>
  <c r="CM17" i="12"/>
  <c r="CK17" i="12"/>
  <c r="CJ17" i="12"/>
  <c r="CI17" i="12"/>
  <c r="CG17" i="12"/>
  <c r="CE17" i="12"/>
  <c r="CC17" i="12"/>
  <c r="BX17" i="12"/>
  <c r="BW17" i="12"/>
  <c r="BV17" i="12"/>
  <c r="BU17" i="12"/>
  <c r="BT17" i="12"/>
  <c r="BR17" i="12"/>
  <c r="BQ17" i="12"/>
  <c r="BP17" i="12"/>
  <c r="BO17" i="12"/>
  <c r="BN17" i="12"/>
  <c r="BL17" i="12"/>
  <c r="BK17" i="12"/>
  <c r="BJ17" i="12"/>
  <c r="BI17" i="12"/>
  <c r="BH17" i="12"/>
  <c r="BG17" i="12"/>
  <c r="BE17" i="12"/>
  <c r="BD17" i="12"/>
  <c r="BC17" i="12"/>
  <c r="BB17" i="12"/>
  <c r="AZ17" i="12"/>
  <c r="AY17" i="12"/>
  <c r="AW17" i="12"/>
  <c r="AV17" i="12"/>
  <c r="AT17" i="12"/>
  <c r="AS17" i="12"/>
  <c r="AP17" i="12"/>
  <c r="AO17" i="12"/>
  <c r="AN17" i="12"/>
  <c r="AI17" i="12"/>
  <c r="AF17" i="12"/>
  <c r="R17" i="12"/>
  <c r="L17" i="12"/>
  <c r="EB17" i="12" s="1"/>
  <c r="C17" i="12"/>
  <c r="G17" i="12" s="1"/>
  <c r="P17" i="12" s="1"/>
  <c r="EC16" i="12"/>
  <c r="DY16" i="12" s="1"/>
  <c r="DU16" i="12"/>
  <c r="DS16" i="12"/>
  <c r="DR16" i="12"/>
  <c r="DQ16" i="12"/>
  <c r="CN16" i="12"/>
  <c r="CM16" i="12"/>
  <c r="CK16" i="12"/>
  <c r="CJ16" i="12"/>
  <c r="CI16" i="12"/>
  <c r="CG16" i="12"/>
  <c r="CE16" i="12"/>
  <c r="CC16" i="12"/>
  <c r="BX16" i="12"/>
  <c r="BW16" i="12"/>
  <c r="BV16" i="12"/>
  <c r="BU16" i="12"/>
  <c r="BT16" i="12"/>
  <c r="BR16" i="12"/>
  <c r="BQ16" i="12"/>
  <c r="BP16" i="12"/>
  <c r="BO16" i="12"/>
  <c r="BN16" i="12"/>
  <c r="BL16" i="12"/>
  <c r="BK16" i="12"/>
  <c r="BJ16" i="12"/>
  <c r="BI16" i="12"/>
  <c r="BH16" i="12"/>
  <c r="BG16" i="12"/>
  <c r="BE16" i="12"/>
  <c r="BD16" i="12"/>
  <c r="BC16" i="12"/>
  <c r="BB16" i="12"/>
  <c r="AZ16" i="12"/>
  <c r="AY16" i="12"/>
  <c r="AW16" i="12"/>
  <c r="AV16" i="12"/>
  <c r="AT16" i="12"/>
  <c r="AS16" i="12"/>
  <c r="AP16" i="12"/>
  <c r="AO16" i="12"/>
  <c r="AN16" i="12"/>
  <c r="AI16" i="12"/>
  <c r="AF16" i="12"/>
  <c r="L16" i="12"/>
  <c r="EB16" i="12" s="1"/>
  <c r="C16" i="12"/>
  <c r="G16" i="12" s="1"/>
  <c r="P16" i="12" s="1"/>
  <c r="EC15" i="12"/>
  <c r="DY15" i="12" s="1"/>
  <c r="DU15" i="12"/>
  <c r="DS15" i="12"/>
  <c r="DR15" i="12"/>
  <c r="DQ15" i="12"/>
  <c r="CN15" i="12"/>
  <c r="CM15" i="12"/>
  <c r="CK15" i="12"/>
  <c r="CJ15" i="12"/>
  <c r="CI15" i="12"/>
  <c r="CG15" i="12"/>
  <c r="CE15" i="12"/>
  <c r="CC15" i="12"/>
  <c r="BX15" i="12"/>
  <c r="BW15" i="12"/>
  <c r="BV15" i="12"/>
  <c r="BU15" i="12"/>
  <c r="BT15" i="12"/>
  <c r="BR15" i="12"/>
  <c r="BQ15" i="12"/>
  <c r="BP15" i="12"/>
  <c r="BO15" i="12"/>
  <c r="BN15" i="12"/>
  <c r="BL15" i="12"/>
  <c r="BK15" i="12"/>
  <c r="BJ15" i="12"/>
  <c r="BI15" i="12"/>
  <c r="BH15" i="12"/>
  <c r="BG15" i="12"/>
  <c r="BE15" i="12"/>
  <c r="BD15" i="12"/>
  <c r="BC15" i="12"/>
  <c r="BB15" i="12"/>
  <c r="AZ15" i="12"/>
  <c r="AY15" i="12"/>
  <c r="AW15" i="12"/>
  <c r="AV15" i="12"/>
  <c r="AT15" i="12"/>
  <c r="AS15" i="12"/>
  <c r="AP15" i="12"/>
  <c r="AO15" i="12"/>
  <c r="AN15" i="12"/>
  <c r="AI15" i="12"/>
  <c r="AF15" i="12"/>
  <c r="L15" i="12"/>
  <c r="EB15" i="12" s="1"/>
  <c r="C15" i="12"/>
  <c r="G15" i="12" s="1"/>
  <c r="P15" i="12" s="1"/>
  <c r="EC14" i="12"/>
  <c r="DU14" i="12"/>
  <c r="DS14" i="12"/>
  <c r="DR14" i="12"/>
  <c r="DQ14" i="12"/>
  <c r="CN14" i="12"/>
  <c r="CM14" i="12"/>
  <c r="CK14" i="12"/>
  <c r="CJ14" i="12"/>
  <c r="CI14" i="12"/>
  <c r="CG14" i="12"/>
  <c r="CE14" i="12"/>
  <c r="CC14" i="12"/>
  <c r="BX14" i="12"/>
  <c r="BW14" i="12"/>
  <c r="BV14" i="12"/>
  <c r="BU14" i="12"/>
  <c r="BT14" i="12"/>
  <c r="BR14" i="12"/>
  <c r="BQ14" i="12"/>
  <c r="BP14" i="12"/>
  <c r="BO14" i="12"/>
  <c r="BN14" i="12"/>
  <c r="BL14" i="12"/>
  <c r="BK14" i="12"/>
  <c r="BJ14" i="12"/>
  <c r="BI14" i="12"/>
  <c r="BH14" i="12"/>
  <c r="BG14" i="12"/>
  <c r="BE14" i="12"/>
  <c r="BD14" i="12"/>
  <c r="BC14" i="12"/>
  <c r="BB14" i="12"/>
  <c r="AZ14" i="12"/>
  <c r="AY14" i="12"/>
  <c r="AW14" i="12"/>
  <c r="AV14" i="12"/>
  <c r="AT14" i="12"/>
  <c r="AS14" i="12"/>
  <c r="AP14" i="12"/>
  <c r="AO14" i="12"/>
  <c r="AN14" i="12"/>
  <c r="AI14" i="12"/>
  <c r="AF14" i="12"/>
  <c r="L14" i="12"/>
  <c r="EB14" i="12" s="1"/>
  <c r="C14" i="12"/>
  <c r="G14" i="12" s="1"/>
  <c r="EC13" i="12"/>
  <c r="DU13" i="12"/>
  <c r="DS13" i="12"/>
  <c r="DR13" i="12"/>
  <c r="DQ13" i="12"/>
  <c r="DO13" i="12"/>
  <c r="CN13" i="12"/>
  <c r="CM13" i="12"/>
  <c r="CK13" i="12"/>
  <c r="CJ13" i="12"/>
  <c r="CI13" i="12"/>
  <c r="CG13" i="12"/>
  <c r="CE13" i="12"/>
  <c r="CC13" i="12"/>
  <c r="BX13" i="12"/>
  <c r="BW13" i="12"/>
  <c r="BV13" i="12"/>
  <c r="BU13" i="12"/>
  <c r="BT13" i="12"/>
  <c r="BR13" i="12"/>
  <c r="BQ13" i="12"/>
  <c r="BP13" i="12"/>
  <c r="BO13" i="12"/>
  <c r="BN13" i="12"/>
  <c r="BL13" i="12"/>
  <c r="BK13" i="12"/>
  <c r="BJ13" i="12"/>
  <c r="BI13" i="12"/>
  <c r="BH13" i="12"/>
  <c r="BG13" i="12"/>
  <c r="BE13" i="12"/>
  <c r="BD13" i="12"/>
  <c r="BC13" i="12"/>
  <c r="BB13" i="12"/>
  <c r="AZ13" i="12"/>
  <c r="AY13" i="12"/>
  <c r="AW13" i="12"/>
  <c r="AV13" i="12"/>
  <c r="AT13" i="12"/>
  <c r="AS13" i="12"/>
  <c r="AP13" i="12"/>
  <c r="AO13" i="12"/>
  <c r="AN13" i="12"/>
  <c r="AI13" i="12"/>
  <c r="AF13" i="12"/>
  <c r="R13" i="12"/>
  <c r="L13" i="12"/>
  <c r="EB13" i="12" s="1"/>
  <c r="C13" i="12"/>
  <c r="G13" i="12" s="1"/>
  <c r="EC12" i="12"/>
  <c r="DU12" i="12"/>
  <c r="DS12" i="12"/>
  <c r="DR12" i="12"/>
  <c r="DQ12" i="12"/>
  <c r="DO12" i="12"/>
  <c r="CN12" i="12"/>
  <c r="CM12" i="12"/>
  <c r="CK12" i="12"/>
  <c r="CJ12" i="12"/>
  <c r="CI12" i="12"/>
  <c r="CG12" i="12"/>
  <c r="CE12" i="12"/>
  <c r="CC12" i="12"/>
  <c r="BX12" i="12"/>
  <c r="BW12" i="12"/>
  <c r="BV12" i="12"/>
  <c r="BU12" i="12"/>
  <c r="BT12" i="12"/>
  <c r="BR12" i="12"/>
  <c r="BQ12" i="12"/>
  <c r="BP12" i="12"/>
  <c r="BO12" i="12"/>
  <c r="BN12" i="12"/>
  <c r="BL12" i="12"/>
  <c r="BK12" i="12"/>
  <c r="BJ12" i="12"/>
  <c r="BI12" i="12"/>
  <c r="BH12" i="12"/>
  <c r="BG12" i="12"/>
  <c r="BE12" i="12"/>
  <c r="BD12" i="12"/>
  <c r="BC12" i="12"/>
  <c r="BB12" i="12"/>
  <c r="AZ12" i="12"/>
  <c r="AY12" i="12"/>
  <c r="AW12" i="12"/>
  <c r="AV12" i="12"/>
  <c r="AT12" i="12"/>
  <c r="AS12" i="12"/>
  <c r="AP12" i="12"/>
  <c r="AO12" i="12"/>
  <c r="AN12" i="12"/>
  <c r="AI12" i="12"/>
  <c r="AF12" i="12"/>
  <c r="R12" i="12"/>
  <c r="L12" i="12"/>
  <c r="EB12" i="12" s="1"/>
  <c r="C12" i="12"/>
  <c r="G12" i="12" s="1"/>
  <c r="EC11" i="12"/>
  <c r="DU11" i="12"/>
  <c r="DS11" i="12"/>
  <c r="DR11" i="12"/>
  <c r="DQ11" i="12"/>
  <c r="DO11" i="12"/>
  <c r="CN11" i="12"/>
  <c r="CM11" i="12"/>
  <c r="CK11" i="12"/>
  <c r="CJ11" i="12"/>
  <c r="CI11" i="12"/>
  <c r="CG11" i="12"/>
  <c r="CE11" i="12"/>
  <c r="CC11" i="12"/>
  <c r="BX11" i="12"/>
  <c r="BW11" i="12"/>
  <c r="BV11" i="12"/>
  <c r="BU11" i="12"/>
  <c r="BT11" i="12"/>
  <c r="BR11" i="12"/>
  <c r="BQ11" i="12"/>
  <c r="BP11" i="12"/>
  <c r="BO11" i="12"/>
  <c r="BN11" i="12"/>
  <c r="BL11" i="12"/>
  <c r="BK11" i="12"/>
  <c r="BJ11" i="12"/>
  <c r="BI11" i="12"/>
  <c r="BH11" i="12"/>
  <c r="BG11" i="12"/>
  <c r="BE11" i="12"/>
  <c r="BD11" i="12"/>
  <c r="BC11" i="12"/>
  <c r="BB11" i="12"/>
  <c r="AZ11" i="12"/>
  <c r="AY11" i="12"/>
  <c r="AW11" i="12"/>
  <c r="AV11" i="12"/>
  <c r="AT11" i="12"/>
  <c r="AS11" i="12"/>
  <c r="AP11" i="12"/>
  <c r="AO11" i="12"/>
  <c r="AN11" i="12"/>
  <c r="AI11" i="12"/>
  <c r="AF11" i="12"/>
  <c r="R11" i="12"/>
  <c r="L11" i="12"/>
  <c r="EB11" i="12" s="1"/>
  <c r="C11" i="12"/>
  <c r="G11" i="12" s="1"/>
  <c r="H11" i="12" s="1"/>
  <c r="EC10" i="12"/>
  <c r="DU10" i="12"/>
  <c r="DS10" i="12"/>
  <c r="DR10" i="12"/>
  <c r="DQ10" i="12"/>
  <c r="DO10" i="12"/>
  <c r="CN10" i="12"/>
  <c r="CM10" i="12"/>
  <c r="CK10" i="12"/>
  <c r="CJ10" i="12"/>
  <c r="CI10" i="12"/>
  <c r="CG10" i="12"/>
  <c r="CE10" i="12"/>
  <c r="CC10" i="12"/>
  <c r="BX10" i="12"/>
  <c r="BW10" i="12"/>
  <c r="BV10" i="12"/>
  <c r="BU10" i="12"/>
  <c r="BT10" i="12"/>
  <c r="BR10" i="12"/>
  <c r="BQ10" i="12"/>
  <c r="BP10" i="12"/>
  <c r="BO10" i="12"/>
  <c r="BN10" i="12"/>
  <c r="BL10" i="12"/>
  <c r="BK10" i="12"/>
  <c r="BJ10" i="12"/>
  <c r="BI10" i="12"/>
  <c r="BH10" i="12"/>
  <c r="BG10" i="12"/>
  <c r="BE10" i="12"/>
  <c r="BD10" i="12"/>
  <c r="BC10" i="12"/>
  <c r="BB10" i="12"/>
  <c r="AZ10" i="12"/>
  <c r="AY10" i="12"/>
  <c r="AW10" i="12"/>
  <c r="AV10" i="12"/>
  <c r="AT10" i="12"/>
  <c r="AS10" i="12"/>
  <c r="AP10" i="12"/>
  <c r="AO10" i="12"/>
  <c r="AN10" i="12"/>
  <c r="AI10" i="12"/>
  <c r="AF10" i="12"/>
  <c r="R10" i="12"/>
  <c r="L10" i="12"/>
  <c r="EB10" i="12" s="1"/>
  <c r="C10" i="12"/>
  <c r="G10" i="12" s="1"/>
  <c r="H10" i="12" s="1"/>
  <c r="EC9" i="12"/>
  <c r="DU9" i="12"/>
  <c r="DS9" i="12"/>
  <c r="DR9" i="12"/>
  <c r="DQ9" i="12"/>
  <c r="DO9" i="12"/>
  <c r="CN9" i="12"/>
  <c r="CM9" i="12"/>
  <c r="CK9" i="12"/>
  <c r="CJ9" i="12"/>
  <c r="CI9" i="12"/>
  <c r="CG9" i="12"/>
  <c r="CE9" i="12"/>
  <c r="CC9" i="12"/>
  <c r="BX9" i="12"/>
  <c r="BW9" i="12"/>
  <c r="BV9" i="12"/>
  <c r="BU9" i="12"/>
  <c r="BT9" i="12"/>
  <c r="BR9" i="12"/>
  <c r="BQ9" i="12"/>
  <c r="BP9" i="12"/>
  <c r="BO9" i="12"/>
  <c r="BN9" i="12"/>
  <c r="BL9" i="12"/>
  <c r="BK9" i="12"/>
  <c r="BJ9" i="12"/>
  <c r="BI9" i="12"/>
  <c r="BH9" i="12"/>
  <c r="BG9" i="12"/>
  <c r="BE9" i="12"/>
  <c r="BD9" i="12"/>
  <c r="BC9" i="12"/>
  <c r="BB9" i="12"/>
  <c r="AZ9" i="12"/>
  <c r="AY9" i="12"/>
  <c r="AW9" i="12"/>
  <c r="AV9" i="12"/>
  <c r="AT9" i="12"/>
  <c r="AS9" i="12"/>
  <c r="AP9" i="12"/>
  <c r="AO9" i="12"/>
  <c r="AN9" i="12"/>
  <c r="AI9" i="12"/>
  <c r="AF9" i="12"/>
  <c r="R9" i="12"/>
  <c r="L9" i="12"/>
  <c r="EB9" i="12" s="1"/>
  <c r="C9" i="12"/>
  <c r="G9" i="12" s="1"/>
  <c r="P9" i="12" s="1"/>
  <c r="EC8" i="12"/>
  <c r="DU8" i="12"/>
  <c r="DS8" i="12"/>
  <c r="DR8" i="12"/>
  <c r="DQ8" i="12"/>
  <c r="DO8" i="12"/>
  <c r="CN8" i="12"/>
  <c r="CM8" i="12"/>
  <c r="CK8" i="12"/>
  <c r="CJ8" i="12"/>
  <c r="CI8" i="12"/>
  <c r="CG8" i="12"/>
  <c r="CE8" i="12"/>
  <c r="CC8" i="12"/>
  <c r="BX8" i="12"/>
  <c r="BW8" i="12"/>
  <c r="BV8" i="12"/>
  <c r="BU8" i="12"/>
  <c r="BT8" i="12"/>
  <c r="BR8" i="12"/>
  <c r="BQ8" i="12"/>
  <c r="BP8" i="12"/>
  <c r="BO8" i="12"/>
  <c r="BN8" i="12"/>
  <c r="BL8" i="12"/>
  <c r="BK8" i="12"/>
  <c r="BJ8" i="12"/>
  <c r="BI8" i="12"/>
  <c r="BH8" i="12"/>
  <c r="BG8" i="12"/>
  <c r="BE8" i="12"/>
  <c r="BD8" i="12"/>
  <c r="BC8" i="12"/>
  <c r="BB8" i="12"/>
  <c r="AZ8" i="12"/>
  <c r="AY8" i="12"/>
  <c r="AW8" i="12"/>
  <c r="AV8" i="12"/>
  <c r="AT8" i="12"/>
  <c r="AS8" i="12"/>
  <c r="AP8" i="12"/>
  <c r="AO8" i="12"/>
  <c r="AN8" i="12"/>
  <c r="AI8" i="12"/>
  <c r="AF8" i="12"/>
  <c r="R8" i="12"/>
  <c r="L8" i="12"/>
  <c r="EB8" i="12" s="1"/>
  <c r="C8" i="12"/>
  <c r="G8" i="12" s="1"/>
  <c r="N8" i="12" s="1"/>
  <c r="EC7" i="12"/>
  <c r="DU7" i="12"/>
  <c r="DS7" i="12"/>
  <c r="DR7" i="12"/>
  <c r="DQ7" i="12"/>
  <c r="DO7" i="12"/>
  <c r="CN7" i="12"/>
  <c r="CM7" i="12"/>
  <c r="CK7" i="12"/>
  <c r="CJ7" i="12"/>
  <c r="CI7" i="12"/>
  <c r="CG7" i="12"/>
  <c r="CE7" i="12"/>
  <c r="CC7" i="12"/>
  <c r="BX7" i="12"/>
  <c r="BW7" i="12"/>
  <c r="BV7" i="12"/>
  <c r="BU7" i="12"/>
  <c r="BT7" i="12"/>
  <c r="BR7" i="12"/>
  <c r="BQ7" i="12"/>
  <c r="BP7" i="12"/>
  <c r="BO7" i="12"/>
  <c r="BN7" i="12"/>
  <c r="BL7" i="12"/>
  <c r="BK7" i="12"/>
  <c r="BJ7" i="12"/>
  <c r="BI7" i="12"/>
  <c r="BH7" i="12"/>
  <c r="BG7" i="12"/>
  <c r="BE7" i="12"/>
  <c r="BD7" i="12"/>
  <c r="BC7" i="12"/>
  <c r="BB7" i="12"/>
  <c r="AZ7" i="12"/>
  <c r="AY7" i="12"/>
  <c r="AW7" i="12"/>
  <c r="AV7" i="12"/>
  <c r="AT7" i="12"/>
  <c r="AS7" i="12"/>
  <c r="AP7" i="12"/>
  <c r="AO7" i="12"/>
  <c r="AN7" i="12"/>
  <c r="AI7" i="12"/>
  <c r="AF7" i="12"/>
  <c r="R7" i="12"/>
  <c r="L7" i="12"/>
  <c r="EB7" i="12" s="1"/>
  <c r="C7" i="12"/>
  <c r="G7" i="12" s="1"/>
  <c r="P7" i="12" s="1"/>
  <c r="EC6" i="12"/>
  <c r="DU6" i="12"/>
  <c r="DS6" i="12"/>
  <c r="DR6" i="12"/>
  <c r="DQ6" i="12"/>
  <c r="DO6" i="12"/>
  <c r="CN6" i="12"/>
  <c r="CM6" i="12"/>
  <c r="CK6" i="12"/>
  <c r="CJ6" i="12"/>
  <c r="CI6" i="12"/>
  <c r="CG6" i="12"/>
  <c r="CE6" i="12"/>
  <c r="CC6" i="12"/>
  <c r="BX6" i="12"/>
  <c r="BW6" i="12"/>
  <c r="BV6" i="12"/>
  <c r="BU6" i="12"/>
  <c r="BT6" i="12"/>
  <c r="BR6" i="12"/>
  <c r="BQ6" i="12"/>
  <c r="BP6" i="12"/>
  <c r="BO6" i="12"/>
  <c r="BN6" i="12"/>
  <c r="BL6" i="12"/>
  <c r="BK6" i="12"/>
  <c r="BJ6" i="12"/>
  <c r="BI6" i="12"/>
  <c r="BH6" i="12"/>
  <c r="BG6" i="12"/>
  <c r="BE6" i="12"/>
  <c r="BD6" i="12"/>
  <c r="BC6" i="12"/>
  <c r="BB6" i="12"/>
  <c r="AZ6" i="12"/>
  <c r="AY6" i="12"/>
  <c r="AW6" i="12"/>
  <c r="AV6" i="12"/>
  <c r="AT6" i="12"/>
  <c r="AS6" i="12"/>
  <c r="AP6" i="12"/>
  <c r="AO6" i="12"/>
  <c r="AN6" i="12"/>
  <c r="AI6" i="12"/>
  <c r="AF6" i="12"/>
  <c r="R6" i="12"/>
  <c r="L6" i="12"/>
  <c r="EB6" i="12" s="1"/>
  <c r="C6" i="12"/>
  <c r="G6" i="12" s="1"/>
  <c r="H6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EC5" i="12"/>
  <c r="DU5" i="12"/>
  <c r="DS5" i="12"/>
  <c r="DR5" i="12"/>
  <c r="DQ5" i="12"/>
  <c r="DO5" i="12"/>
  <c r="CN5" i="12"/>
  <c r="CM5" i="12"/>
  <c r="CK5" i="12"/>
  <c r="CJ5" i="12"/>
  <c r="CI5" i="12"/>
  <c r="CG5" i="12"/>
  <c r="CE5" i="12"/>
  <c r="CC5" i="12"/>
  <c r="BX5" i="12"/>
  <c r="BW5" i="12"/>
  <c r="BV5" i="12"/>
  <c r="BU5" i="12"/>
  <c r="BT5" i="12"/>
  <c r="BR5" i="12"/>
  <c r="BQ5" i="12"/>
  <c r="BP5" i="12"/>
  <c r="BO5" i="12"/>
  <c r="BN5" i="12"/>
  <c r="BL5" i="12"/>
  <c r="BK5" i="12"/>
  <c r="BJ5" i="12"/>
  <c r="BI5" i="12"/>
  <c r="BH5" i="12"/>
  <c r="BG5" i="12"/>
  <c r="BE5" i="12"/>
  <c r="BD5" i="12"/>
  <c r="BC5" i="12"/>
  <c r="BB5" i="12"/>
  <c r="AZ5" i="12"/>
  <c r="AY5" i="12"/>
  <c r="AW5" i="12"/>
  <c r="AV5" i="12"/>
  <c r="AT5" i="12"/>
  <c r="AS5" i="12"/>
  <c r="AP5" i="12"/>
  <c r="AO5" i="12"/>
  <c r="AN5" i="12"/>
  <c r="AI5" i="12"/>
  <c r="AF5" i="12"/>
  <c r="R5" i="12"/>
  <c r="L5" i="12"/>
  <c r="C5" i="12"/>
  <c r="B79" i="8"/>
  <c r="BS225" i="12" l="1"/>
  <c r="DR238" i="12"/>
  <c r="DR239" i="12"/>
  <c r="DR240" i="12"/>
  <c r="DR241" i="12"/>
  <c r="DR236" i="12"/>
  <c r="DR242" i="12"/>
  <c r="DR234" i="12"/>
  <c r="BS37" i="12"/>
  <c r="BS39" i="12"/>
  <c r="AU112" i="12"/>
  <c r="AU113" i="12"/>
  <c r="AX6" i="12"/>
  <c r="BM6" i="12"/>
  <c r="AX7" i="12"/>
  <c r="BM8" i="12"/>
  <c r="BM9" i="12"/>
  <c r="AX11" i="12"/>
  <c r="AX43" i="12"/>
  <c r="BS51" i="12"/>
  <c r="BM55" i="12"/>
  <c r="AU57" i="12"/>
  <c r="AM117" i="12"/>
  <c r="BA117" i="12"/>
  <c r="DP118" i="12"/>
  <c r="AX66" i="12"/>
  <c r="BM104" i="12"/>
  <c r="AU228" i="12"/>
  <c r="G57" i="12"/>
  <c r="N57" i="12" s="1"/>
  <c r="C6" i="11"/>
  <c r="BS21" i="12"/>
  <c r="BS23" i="12"/>
  <c r="AX29" i="12"/>
  <c r="AX96" i="12"/>
  <c r="BM96" i="12"/>
  <c r="BS111" i="12"/>
  <c r="BM201" i="12"/>
  <c r="BS203" i="12"/>
  <c r="BS204" i="12"/>
  <c r="BM221" i="12"/>
  <c r="BM223" i="12"/>
  <c r="AU230" i="12"/>
  <c r="BS241" i="12"/>
  <c r="BM242" i="12"/>
  <c r="AU180" i="12"/>
  <c r="BM182" i="12"/>
  <c r="BM183" i="12"/>
  <c r="AU189" i="12"/>
  <c r="AX192" i="12"/>
  <c r="BM192" i="12"/>
  <c r="AU193" i="12"/>
  <c r="BA241" i="12"/>
  <c r="AM70" i="12"/>
  <c r="BM80" i="12"/>
  <c r="AU121" i="12"/>
  <c r="AX135" i="12"/>
  <c r="BM135" i="12"/>
  <c r="AU137" i="12"/>
  <c r="BF147" i="12"/>
  <c r="AU151" i="12"/>
  <c r="BA159" i="12"/>
  <c r="BA161" i="12"/>
  <c r="DP162" i="12"/>
  <c r="BS224" i="12"/>
  <c r="BM229" i="12"/>
  <c r="CU247" i="12"/>
  <c r="CY247" i="12"/>
  <c r="DE247" i="12"/>
  <c r="DK247" i="12"/>
  <c r="BM37" i="12"/>
  <c r="AX39" i="12"/>
  <c r="BM39" i="12"/>
  <c r="AX40" i="12"/>
  <c r="BM40" i="12"/>
  <c r="BS40" i="12"/>
  <c r="AU92" i="12"/>
  <c r="BM97" i="12"/>
  <c r="BM166" i="12"/>
  <c r="AU203" i="12"/>
  <c r="BS218" i="12"/>
  <c r="AU52" i="12"/>
  <c r="BM107" i="12"/>
  <c r="AX32" i="12"/>
  <c r="BM32" i="12"/>
  <c r="AX33" i="12"/>
  <c r="BM34" i="12"/>
  <c r="BM35" i="12"/>
  <c r="BM60" i="12"/>
  <c r="BM64" i="12"/>
  <c r="DP81" i="12"/>
  <c r="BS94" i="12"/>
  <c r="AU167" i="12"/>
  <c r="AU168" i="12"/>
  <c r="BS170" i="12"/>
  <c r="AX181" i="12"/>
  <c r="BS190" i="12"/>
  <c r="AM192" i="12"/>
  <c r="BM199" i="12"/>
  <c r="BM209" i="12"/>
  <c r="DS225" i="12"/>
  <c r="DS237" i="12"/>
  <c r="DS242" i="12"/>
  <c r="AX21" i="12"/>
  <c r="BM21" i="12"/>
  <c r="AX22" i="12"/>
  <c r="BM23" i="12"/>
  <c r="BS32" i="12"/>
  <c r="BS34" i="12"/>
  <c r="BS57" i="12"/>
  <c r="BS66" i="12"/>
  <c r="AU93" i="12"/>
  <c r="BM120" i="12"/>
  <c r="BS128" i="12"/>
  <c r="AU135" i="12"/>
  <c r="BS147" i="12"/>
  <c r="BM149" i="12"/>
  <c r="AX150" i="12"/>
  <c r="AX152" i="12"/>
  <c r="BM153" i="12"/>
  <c r="BM154" i="12"/>
  <c r="BM165" i="12"/>
  <c r="AX174" i="12"/>
  <c r="AX177" i="12"/>
  <c r="AX180" i="12"/>
  <c r="AX189" i="12"/>
  <c r="AU190" i="12"/>
  <c r="BM191" i="12"/>
  <c r="DS223" i="12"/>
  <c r="DS224" i="12"/>
  <c r="DP224" i="12" s="1"/>
  <c r="AX225" i="12"/>
  <c r="BM225" i="12"/>
  <c r="DS230" i="12"/>
  <c r="DS231" i="12"/>
  <c r="DP231" i="12" s="1"/>
  <c r="DS232" i="12"/>
  <c r="DP232" i="12" s="1"/>
  <c r="DS233" i="12"/>
  <c r="DW247" i="12"/>
  <c r="BS18" i="12"/>
  <c r="AU71" i="12"/>
  <c r="AU72" i="12"/>
  <c r="BS74" i="12"/>
  <c r="AX76" i="12"/>
  <c r="BM76" i="12"/>
  <c r="BM86" i="12"/>
  <c r="BM87" i="12"/>
  <c r="AU95" i="12"/>
  <c r="BS97" i="12"/>
  <c r="DP100" i="12"/>
  <c r="BM100" i="12"/>
  <c r="AX109" i="12"/>
  <c r="BM109" i="12"/>
  <c r="AX110" i="12"/>
  <c r="BM110" i="12"/>
  <c r="BM115" i="12"/>
  <c r="BA138" i="12"/>
  <c r="BM141" i="12"/>
  <c r="BS142" i="12"/>
  <c r="AX146" i="12"/>
  <c r="BS171" i="12"/>
  <c r="AU172" i="12"/>
  <c r="AU173" i="12"/>
  <c r="AX197" i="12"/>
  <c r="BM197" i="12"/>
  <c r="AX204" i="12"/>
  <c r="AX211" i="12"/>
  <c r="BM213" i="12"/>
  <c r="AX215" i="12"/>
  <c r="DS219" i="12"/>
  <c r="DS222" i="12"/>
  <c r="DS227" i="12"/>
  <c r="BM228" i="12"/>
  <c r="BS228" i="12"/>
  <c r="DS228" i="12"/>
  <c r="DP228" i="12" s="1"/>
  <c r="DS229" i="12"/>
  <c r="DP229" i="12" s="1"/>
  <c r="AU232" i="12"/>
  <c r="BS234" i="12"/>
  <c r="DS234" i="12"/>
  <c r="DS235" i="12"/>
  <c r="BS236" i="12"/>
  <c r="AU237" i="12"/>
  <c r="BM238" i="12"/>
  <c r="AU23" i="12"/>
  <c r="AX26" i="12"/>
  <c r="AU37" i="12"/>
  <c r="BM42" i="12"/>
  <c r="BM18" i="12"/>
  <c r="BA5" i="12"/>
  <c r="BA10" i="12"/>
  <c r="AX14" i="12"/>
  <c r="BM11" i="12"/>
  <c r="AU17" i="12"/>
  <c r="BM68" i="12"/>
  <c r="DP73" i="12"/>
  <c r="AX78" i="12"/>
  <c r="BS78" i="12"/>
  <c r="BM81" i="12"/>
  <c r="BA84" i="12"/>
  <c r="BM89" i="12"/>
  <c r="AX90" i="12"/>
  <c r="BS91" i="12"/>
  <c r="AX92" i="12"/>
  <c r="AX94" i="12"/>
  <c r="BM94" i="12"/>
  <c r="BA96" i="12"/>
  <c r="AX97" i="12"/>
  <c r="AM98" i="12"/>
  <c r="BS98" i="12"/>
  <c r="DP104" i="12"/>
  <c r="AX106" i="12"/>
  <c r="BM106" i="12"/>
  <c r="DP107" i="12"/>
  <c r="BS113" i="12"/>
  <c r="BS114" i="12"/>
  <c r="BM119" i="12"/>
  <c r="AX120" i="12"/>
  <c r="AU131" i="12"/>
  <c r="BA136" i="12"/>
  <c r="AU138" i="12"/>
  <c r="AX142" i="12"/>
  <c r="AM143" i="12"/>
  <c r="BS143" i="12"/>
  <c r="BF152" i="12"/>
  <c r="AU158" i="12"/>
  <c r="AU169" i="12"/>
  <c r="BF169" i="12"/>
  <c r="AX170" i="12"/>
  <c r="BS174" i="12"/>
  <c r="AU175" i="12"/>
  <c r="AX190" i="12"/>
  <c r="AU199" i="12"/>
  <c r="AM201" i="12"/>
  <c r="AU201" i="12"/>
  <c r="BA201" i="12"/>
  <c r="AM203" i="12"/>
  <c r="BM203" i="12"/>
  <c r="BF231" i="12"/>
  <c r="DR247" i="12"/>
  <c r="CF246" i="12"/>
  <c r="CF247" i="12" s="1"/>
  <c r="BA85" i="12"/>
  <c r="DP86" i="12"/>
  <c r="BF112" i="12"/>
  <c r="AM114" i="12"/>
  <c r="BF132" i="12"/>
  <c r="BA133" i="12"/>
  <c r="DP137" i="12"/>
  <c r="BA145" i="12"/>
  <c r="BA147" i="12"/>
  <c r="BA166" i="12"/>
  <c r="DP166" i="12"/>
  <c r="BA183" i="12"/>
  <c r="BS192" i="12"/>
  <c r="DP201" i="12"/>
  <c r="AM204" i="12"/>
  <c r="DP227" i="12"/>
  <c r="BA228" i="12"/>
  <c r="DC247" i="12"/>
  <c r="CB247" i="12"/>
  <c r="BM26" i="12"/>
  <c r="DP29" i="12"/>
  <c r="BS30" i="12"/>
  <c r="DP30" i="12"/>
  <c r="BS31" i="12"/>
  <c r="DP31" i="12"/>
  <c r="AU34" i="12"/>
  <c r="BM41" i="12"/>
  <c r="AX44" i="12"/>
  <c r="BF58" i="12"/>
  <c r="AX70" i="12"/>
  <c r="BM70" i="12"/>
  <c r="AX73" i="12"/>
  <c r="BM73" i="12"/>
  <c r="AU74" i="12"/>
  <c r="BF111" i="12"/>
  <c r="AU114" i="12"/>
  <c r="AX117" i="12"/>
  <c r="DP120" i="12"/>
  <c r="BM121" i="12"/>
  <c r="AX122" i="12"/>
  <c r="BM122" i="12"/>
  <c r="BA123" i="12"/>
  <c r="BM123" i="12"/>
  <c r="DP123" i="12"/>
  <c r="AX124" i="12"/>
  <c r="BM124" i="12"/>
  <c r="AX125" i="12"/>
  <c r="AX126" i="12"/>
  <c r="BM126" i="12"/>
  <c r="AX127" i="12"/>
  <c r="AX128" i="12"/>
  <c r="BM129" i="12"/>
  <c r="AX130" i="12"/>
  <c r="BS132" i="12"/>
  <c r="AU136" i="12"/>
  <c r="AX138" i="12"/>
  <c r="AX148" i="12"/>
  <c r="BM148" i="12"/>
  <c r="BS152" i="12"/>
  <c r="BS156" i="12"/>
  <c r="AM157" i="12"/>
  <c r="BM158" i="12"/>
  <c r="BM159" i="12"/>
  <c r="BM162" i="12"/>
  <c r="AM172" i="12"/>
  <c r="BF174" i="12"/>
  <c r="BM175" i="12"/>
  <c r="AU176" i="12"/>
  <c r="BA176" i="12"/>
  <c r="BS178" i="12"/>
  <c r="BM184" i="12"/>
  <c r="AM189" i="12"/>
  <c r="BS189" i="12"/>
  <c r="AU192" i="12"/>
  <c r="BS193" i="12"/>
  <c r="BS200" i="12"/>
  <c r="BM207" i="12"/>
  <c r="AX209" i="12"/>
  <c r="BM215" i="12"/>
  <c r="DP215" i="12"/>
  <c r="AM217" i="12"/>
  <c r="BS217" i="12"/>
  <c r="BM219" i="12"/>
  <c r="BS220" i="12"/>
  <c r="BA221" i="12"/>
  <c r="AU225" i="12"/>
  <c r="BA225" i="12"/>
  <c r="BM227" i="12"/>
  <c r="BM232" i="12"/>
  <c r="AX233" i="12"/>
  <c r="BM233" i="12"/>
  <c r="BA15" i="12"/>
  <c r="BM17" i="12"/>
  <c r="BA19" i="12"/>
  <c r="BA23" i="12"/>
  <c r="AX24" i="12"/>
  <c r="BM24" i="12"/>
  <c r="AX25" i="12"/>
  <c r="AU28" i="12"/>
  <c r="BA34" i="12"/>
  <c r="BS41" i="12"/>
  <c r="AM44" i="12"/>
  <c r="BS44" i="12"/>
  <c r="AU45" i="12"/>
  <c r="AU48" i="12"/>
  <c r="AU49" i="12"/>
  <c r="BF54" i="12"/>
  <c r="DP54" i="12"/>
  <c r="BA55" i="12"/>
  <c r="BA58" i="12"/>
  <c r="BM79" i="12"/>
  <c r="BE244" i="12"/>
  <c r="BE247" i="12" s="1"/>
  <c r="AX9" i="12"/>
  <c r="AM10" i="12"/>
  <c r="AM12" i="12"/>
  <c r="AX13" i="12"/>
  <c r="BF13" i="12"/>
  <c r="BA16" i="12"/>
  <c r="BA18" i="12"/>
  <c r="AX20" i="12"/>
  <c r="BF24" i="12"/>
  <c r="BS24" i="12"/>
  <c r="DL24" i="12"/>
  <c r="DP27" i="12"/>
  <c r="BF29" i="12"/>
  <c r="AU36" i="12"/>
  <c r="BA36" i="12"/>
  <c r="AX38" i="12"/>
  <c r="DP43" i="12"/>
  <c r="BM45" i="12"/>
  <c r="BJ244" i="12"/>
  <c r="BJ247" i="12" s="1"/>
  <c r="AX5" i="12"/>
  <c r="BA7" i="12"/>
  <c r="BM15" i="12"/>
  <c r="BS15" i="12"/>
  <c r="AU19" i="12"/>
  <c r="BS26" i="12"/>
  <c r="DP26" i="12"/>
  <c r="BM27" i="12"/>
  <c r="AX30" i="12"/>
  <c r="BM30" i="12"/>
  <c r="AX31" i="12"/>
  <c r="BM31" i="12"/>
  <c r="AX35" i="12"/>
  <c r="BA37" i="12"/>
  <c r="BF39" i="12"/>
  <c r="DP39" i="12"/>
  <c r="AX61" i="12"/>
  <c r="BM61" i="12"/>
  <c r="BA64" i="12"/>
  <c r="AX65" i="12"/>
  <c r="DP69" i="12"/>
  <c r="AU207" i="12"/>
  <c r="BA207" i="12"/>
  <c r="AU209" i="12"/>
  <c r="BS209" i="12"/>
  <c r="BF86" i="12"/>
  <c r="AX88" i="12"/>
  <c r="BF91" i="12"/>
  <c r="BF92" i="12"/>
  <c r="DP103" i="12"/>
  <c r="AX104" i="12"/>
  <c r="BA106" i="12"/>
  <c r="BF107" i="12"/>
  <c r="BS108" i="12"/>
  <c r="AX111" i="12"/>
  <c r="DP119" i="12"/>
  <c r="BA120" i="12"/>
  <c r="BM125" i="12"/>
  <c r="AX131" i="12"/>
  <c r="AX151" i="12"/>
  <c r="AM160" i="12"/>
  <c r="BS160" i="12"/>
  <c r="BS161" i="12"/>
  <c r="BS162" i="12"/>
  <c r="AU163" i="12"/>
  <c r="AU164" i="12"/>
  <c r="BA182" i="12"/>
  <c r="BM187" i="12"/>
  <c r="AM188" i="12"/>
  <c r="BA191" i="12"/>
  <c r="BF211" i="12"/>
  <c r="BF213" i="12"/>
  <c r="AU216" i="12"/>
  <c r="BA216" i="12"/>
  <c r="BM222" i="12"/>
  <c r="AX231" i="12"/>
  <c r="BA233" i="12"/>
  <c r="BA234" i="12"/>
  <c r="AU235" i="12"/>
  <c r="BM49" i="12"/>
  <c r="AX54" i="12"/>
  <c r="BM54" i="12"/>
  <c r="AX56" i="12"/>
  <c r="AX58" i="12"/>
  <c r="AX59" i="12"/>
  <c r="BA61" i="12"/>
  <c r="AX63" i="12"/>
  <c r="BM63" i="12"/>
  <c r="AU70" i="12"/>
  <c r="AX71" i="12"/>
  <c r="BM71" i="12"/>
  <c r="BA74" i="12"/>
  <c r="BM78" i="12"/>
  <c r="AU79" i="12"/>
  <c r="BM82" i="12"/>
  <c r="BA83" i="12"/>
  <c r="AU91" i="12"/>
  <c r="AU94" i="12"/>
  <c r="BF100" i="12"/>
  <c r="AX101" i="12"/>
  <c r="AM102" i="12"/>
  <c r="BS102" i="12"/>
  <c r="BA104" i="12"/>
  <c r="BM105" i="12"/>
  <c r="DP108" i="12"/>
  <c r="BS110" i="12"/>
  <c r="BA111" i="12"/>
  <c r="DP115" i="12"/>
  <c r="BM117" i="12"/>
  <c r="BM118" i="12"/>
  <c r="BS119" i="12"/>
  <c r="BA125" i="12"/>
  <c r="BA132" i="12"/>
  <c r="DP135" i="12"/>
  <c r="BM139" i="12"/>
  <c r="BA140" i="12"/>
  <c r="BF140" i="12"/>
  <c r="BF146" i="12"/>
  <c r="BF150" i="12"/>
  <c r="AX155" i="12"/>
  <c r="AM170" i="12"/>
  <c r="DP190" i="12"/>
  <c r="BA193" i="12"/>
  <c r="AM196" i="12"/>
  <c r="AM200" i="12"/>
  <c r="BS205" i="12"/>
  <c r="DP208" i="12"/>
  <c r="BA209" i="12"/>
  <c r="BA222" i="12"/>
  <c r="BF236" i="12"/>
  <c r="DP236" i="12"/>
  <c r="BM237" i="12"/>
  <c r="AM238" i="12"/>
  <c r="N241" i="12"/>
  <c r="BA242" i="12"/>
  <c r="CR247" i="12"/>
  <c r="CW247" i="12"/>
  <c r="DI247" i="12"/>
  <c r="BM51" i="12"/>
  <c r="BA52" i="12"/>
  <c r="BM62" i="12"/>
  <c r="BM66" i="12"/>
  <c r="BS69" i="12"/>
  <c r="BM74" i="12"/>
  <c r="AU75" i="12"/>
  <c r="AU76" i="12"/>
  <c r="BA82" i="12"/>
  <c r="AX84" i="12"/>
  <c r="AX91" i="12"/>
  <c r="BA97" i="12"/>
  <c r="DP97" i="12"/>
  <c r="BM98" i="12"/>
  <c r="BS101" i="12"/>
  <c r="AU102" i="12"/>
  <c r="BS103" i="12"/>
  <c r="BA105" i="12"/>
  <c r="AX116" i="12"/>
  <c r="BM116" i="12"/>
  <c r="BS117" i="12"/>
  <c r="AU120" i="12"/>
  <c r="BS120" i="12"/>
  <c r="BF128" i="12"/>
  <c r="DP130" i="12"/>
  <c r="BM133" i="12"/>
  <c r="BA134" i="12"/>
  <c r="AX136" i="12"/>
  <c r="AX137" i="12"/>
  <c r="BM137" i="12"/>
  <c r="BA139" i="12"/>
  <c r="BM140" i="12"/>
  <c r="AU141" i="12"/>
  <c r="BF142" i="12"/>
  <c r="AU148" i="12"/>
  <c r="BA148" i="12"/>
  <c r="AU154" i="12"/>
  <c r="BF154" i="12"/>
  <c r="AU170" i="12"/>
  <c r="AX172" i="12"/>
  <c r="BM172" i="12"/>
  <c r="BS177" i="12"/>
  <c r="BM179" i="12"/>
  <c r="AM180" i="12"/>
  <c r="BS180" i="12"/>
  <c r="BS184" i="12"/>
  <c r="DP184" i="12"/>
  <c r="AX185" i="12"/>
  <c r="AX186" i="12"/>
  <c r="BS186" i="12"/>
  <c r="AX196" i="12"/>
  <c r="BM196" i="12"/>
  <c r="AM197" i="12"/>
  <c r="BA198" i="12"/>
  <c r="DP198" i="12"/>
  <c r="BM202" i="12"/>
  <c r="AM205" i="12"/>
  <c r="AU205" i="12"/>
  <c r="BA205" i="12"/>
  <c r="AX207" i="12"/>
  <c r="BS207" i="12"/>
  <c r="BS208" i="12"/>
  <c r="BS210" i="12"/>
  <c r="BS214" i="12"/>
  <c r="BA219" i="12"/>
  <c r="AX221" i="12"/>
  <c r="BS221" i="12"/>
  <c r="AX230" i="12"/>
  <c r="BA231" i="12"/>
  <c r="BS231" i="12"/>
  <c r="BS232" i="12"/>
  <c r="BF234" i="12"/>
  <c r="BM235" i="12"/>
  <c r="AX236" i="12"/>
  <c r="DP238" i="12"/>
  <c r="BS240" i="12"/>
  <c r="BA8" i="12"/>
  <c r="C244" i="12"/>
  <c r="BN244" i="12"/>
  <c r="BN247" i="12" s="1"/>
  <c r="BR244" i="12"/>
  <c r="BR247" i="12" s="1"/>
  <c r="CG244" i="12"/>
  <c r="CG247" i="12" s="1"/>
  <c r="CM244" i="12"/>
  <c r="CM247" i="12" s="1"/>
  <c r="BA6" i="12"/>
  <c r="AU7" i="12"/>
  <c r="BM7" i="12"/>
  <c r="BS7" i="12"/>
  <c r="AX8" i="12"/>
  <c r="AU9" i="12"/>
  <c r="BA9" i="12"/>
  <c r="BS9" i="12"/>
  <c r="AX10" i="12"/>
  <c r="BM10" i="12"/>
  <c r="BA11" i="12"/>
  <c r="AX12" i="12"/>
  <c r="BF12" i="12"/>
  <c r="BM14" i="12"/>
  <c r="AM15" i="12"/>
  <c r="AX15" i="12"/>
  <c r="AX16" i="12"/>
  <c r="BM16" i="12"/>
  <c r="BS16" i="12"/>
  <c r="AM18" i="12"/>
  <c r="AX18" i="12"/>
  <c r="BS19" i="12"/>
  <c r="BF20" i="12"/>
  <c r="BS20" i="12"/>
  <c r="AM24" i="12"/>
  <c r="BF27" i="12"/>
  <c r="BF35" i="12"/>
  <c r="BS36" i="12"/>
  <c r="AX37" i="12"/>
  <c r="AM39" i="12"/>
  <c r="BA40" i="12"/>
  <c r="BA42" i="12"/>
  <c r="BM43" i="12"/>
  <c r="BM46" i="12"/>
  <c r="BM47" i="12"/>
  <c r="DP48" i="12"/>
  <c r="DP49" i="12"/>
  <c r="AU50" i="12"/>
  <c r="BA50" i="12"/>
  <c r="AU51" i="12"/>
  <c r="AM52" i="12"/>
  <c r="BM52" i="12"/>
  <c r="AX53" i="12"/>
  <c r="AM55" i="12"/>
  <c r="BM56" i="12"/>
  <c r="AX60" i="12"/>
  <c r="BA62" i="12"/>
  <c r="AX64" i="12"/>
  <c r="BA66" i="12"/>
  <c r="AM72" i="12"/>
  <c r="BS72" i="12"/>
  <c r="BF75" i="12"/>
  <c r="BS82" i="12"/>
  <c r="AU83" i="12"/>
  <c r="BM85" i="12"/>
  <c r="BA87" i="12"/>
  <c r="AP244" i="12"/>
  <c r="AP247" i="12" s="1"/>
  <c r="AW244" i="12"/>
  <c r="AW247" i="12" s="1"/>
  <c r="AM6" i="12"/>
  <c r="BF9" i="12"/>
  <c r="DP9" i="12"/>
  <c r="AM13" i="12"/>
  <c r="AM14" i="12"/>
  <c r="BF14" i="12"/>
  <c r="BS14" i="12"/>
  <c r="BA17" i="12"/>
  <c r="BF17" i="12"/>
  <c r="BM19" i="12"/>
  <c r="BM20" i="12"/>
  <c r="AU21" i="12"/>
  <c r="BA21" i="12"/>
  <c r="BM22" i="12"/>
  <c r="AX23" i="12"/>
  <c r="AM25" i="12"/>
  <c r="BM25" i="12"/>
  <c r="DP25" i="12"/>
  <c r="AU26" i="12"/>
  <c r="BA26" i="12"/>
  <c r="AX27" i="12"/>
  <c r="BM28" i="12"/>
  <c r="BS28" i="12"/>
  <c r="BM29" i="12"/>
  <c r="AU30" i="12"/>
  <c r="BA30" i="12"/>
  <c r="AU31" i="12"/>
  <c r="BA31" i="12"/>
  <c r="AU32" i="12"/>
  <c r="BA32" i="12"/>
  <c r="AM33" i="12"/>
  <c r="BM33" i="12"/>
  <c r="AX34" i="12"/>
  <c r="AM35" i="12"/>
  <c r="BA35" i="12"/>
  <c r="AX36" i="12"/>
  <c r="BM36" i="12"/>
  <c r="AU38" i="12"/>
  <c r="BF38" i="12"/>
  <c r="DP38" i="12"/>
  <c r="AM41" i="12"/>
  <c r="AX41" i="12"/>
  <c r="AU42" i="12"/>
  <c r="BS42" i="12"/>
  <c r="DP44" i="12"/>
  <c r="DP45" i="12"/>
  <c r="AU46" i="12"/>
  <c r="BA46" i="12"/>
  <c r="AU47" i="12"/>
  <c r="AX48" i="12"/>
  <c r="BM50" i="12"/>
  <c r="DP51" i="12"/>
  <c r="BS52" i="12"/>
  <c r="AM53" i="12"/>
  <c r="AU55" i="12"/>
  <c r="AM56" i="12"/>
  <c r="BF56" i="12"/>
  <c r="BS56" i="12"/>
  <c r="BF57" i="12"/>
  <c r="BA60" i="12"/>
  <c r="AX62" i="12"/>
  <c r="BA65" i="12"/>
  <c r="AX67" i="12"/>
  <c r="BA67" i="12"/>
  <c r="BS67" i="12"/>
  <c r="AM68" i="12"/>
  <c r="H70" i="12"/>
  <c r="BS70" i="12"/>
  <c r="BF71" i="12"/>
  <c r="BM77" i="12"/>
  <c r="BA80" i="12"/>
  <c r="BF80" i="12"/>
  <c r="BA89" i="12"/>
  <c r="EC244" i="12"/>
  <c r="DP18" i="12"/>
  <c r="BA22" i="12"/>
  <c r="BA25" i="12"/>
  <c r="DP28" i="12"/>
  <c r="BA33" i="12"/>
  <c r="BA41" i="12"/>
  <c r="DP42" i="12"/>
  <c r="BF43" i="12"/>
  <c r="DP46" i="12"/>
  <c r="DP47" i="12"/>
  <c r="BA48" i="12"/>
  <c r="AM51" i="12"/>
  <c r="BA59" i="12"/>
  <c r="BA63" i="12"/>
  <c r="DP64" i="12"/>
  <c r="DP68" i="12"/>
  <c r="AM69" i="12"/>
  <c r="R114" i="12"/>
  <c r="H114" i="12"/>
  <c r="N127" i="12"/>
  <c r="H127" i="12"/>
  <c r="AX143" i="12"/>
  <c r="AX144" i="12"/>
  <c r="BM145" i="12"/>
  <c r="BA146" i="12"/>
  <c r="BS146" i="12"/>
  <c r="AM92" i="12"/>
  <c r="BS93" i="12"/>
  <c r="BS95" i="12"/>
  <c r="AX98" i="12"/>
  <c r="BM103" i="12"/>
  <c r="AM104" i="12"/>
  <c r="AU106" i="12"/>
  <c r="AX107" i="12"/>
  <c r="AU108" i="12"/>
  <c r="BA108" i="12"/>
  <c r="AM111" i="12"/>
  <c r="H112" i="12"/>
  <c r="BF113" i="12"/>
  <c r="AX123" i="12"/>
  <c r="BF127" i="12"/>
  <c r="BF130" i="12"/>
  <c r="BF131" i="12"/>
  <c r="BA135" i="12"/>
  <c r="BA137" i="12"/>
  <c r="BF151" i="12"/>
  <c r="AM155" i="12"/>
  <c r="BF155" i="12"/>
  <c r="BS155" i="12"/>
  <c r="AM156" i="12"/>
  <c r="BF156" i="12"/>
  <c r="BM157" i="12"/>
  <c r="AU159" i="12"/>
  <c r="BA160" i="12"/>
  <c r="AU161" i="12"/>
  <c r="AU162" i="12"/>
  <c r="DP70" i="12"/>
  <c r="DP75" i="12"/>
  <c r="AX77" i="12"/>
  <c r="DP78" i="12"/>
  <c r="AM81" i="12"/>
  <c r="AX81" i="12"/>
  <c r="DP82" i="12"/>
  <c r="AX86" i="12"/>
  <c r="DP89" i="12"/>
  <c r="AU89" i="12"/>
  <c r="AM90" i="12"/>
  <c r="BS90" i="12"/>
  <c r="BA91" i="12"/>
  <c r="DP91" i="12"/>
  <c r="BM92" i="12"/>
  <c r="BF93" i="12"/>
  <c r="BF94" i="12"/>
  <c r="BF95" i="12"/>
  <c r="AU98" i="12"/>
  <c r="DP98" i="12"/>
  <c r="BA99" i="12"/>
  <c r="BM99" i="12"/>
  <c r="AU101" i="12"/>
  <c r="BF101" i="12"/>
  <c r="AU103" i="12"/>
  <c r="AX105" i="12"/>
  <c r="AM107" i="12"/>
  <c r="BA107" i="12"/>
  <c r="AX108" i="12"/>
  <c r="BM108" i="12"/>
  <c r="BF109" i="12"/>
  <c r="BS109" i="12"/>
  <c r="AX112" i="12"/>
  <c r="AM113" i="12"/>
  <c r="DP113" i="12"/>
  <c r="BA116" i="12"/>
  <c r="AU119" i="12"/>
  <c r="BF119" i="12"/>
  <c r="BF122" i="12"/>
  <c r="BF125" i="12"/>
  <c r="DP125" i="12"/>
  <c r="BA126" i="12"/>
  <c r="DP126" i="12"/>
  <c r="BA128" i="12"/>
  <c r="AX129" i="12"/>
  <c r="BF148" i="12"/>
  <c r="AX149" i="12"/>
  <c r="BA152" i="12"/>
  <c r="AX153" i="12"/>
  <c r="BA157" i="12"/>
  <c r="AX158" i="12"/>
  <c r="DP165" i="12"/>
  <c r="BM59" i="12"/>
  <c r="BS65" i="12"/>
  <c r="DP67" i="12"/>
  <c r="BM67" i="12"/>
  <c r="AX68" i="12"/>
  <c r="BA68" i="12"/>
  <c r="AU69" i="12"/>
  <c r="BS71" i="12"/>
  <c r="AX72" i="12"/>
  <c r="BM72" i="12"/>
  <c r="BS73" i="12"/>
  <c r="AX75" i="12"/>
  <c r="BM75" i="12"/>
  <c r="BF76" i="12"/>
  <c r="DP76" i="12"/>
  <c r="AU77" i="12"/>
  <c r="BA79" i="12"/>
  <c r="BF79" i="12"/>
  <c r="AU80" i="12"/>
  <c r="DP80" i="12"/>
  <c r="BA81" i="12"/>
  <c r="BS81" i="12"/>
  <c r="AM82" i="12"/>
  <c r="AX82" i="12"/>
  <c r="BM83" i="12"/>
  <c r="BM84" i="12"/>
  <c r="AX85" i="12"/>
  <c r="AU86" i="12"/>
  <c r="BA86" i="12"/>
  <c r="BS86" i="12"/>
  <c r="BS87" i="12"/>
  <c r="BF88" i="12"/>
  <c r="AU90" i="12"/>
  <c r="BA90" i="12"/>
  <c r="BF90" i="12"/>
  <c r="BS92" i="12"/>
  <c r="AX93" i="12"/>
  <c r="DP93" i="12"/>
  <c r="AX95" i="12"/>
  <c r="AM96" i="12"/>
  <c r="AM99" i="12"/>
  <c r="AM101" i="12"/>
  <c r="AX102" i="12"/>
  <c r="DP109" i="12"/>
  <c r="BF110" i="12"/>
  <c r="AX113" i="12"/>
  <c r="BM113" i="12"/>
  <c r="DP114" i="12"/>
  <c r="BF117" i="12"/>
  <c r="BF124" i="12"/>
  <c r="BM127" i="12"/>
  <c r="BF129" i="12"/>
  <c r="AM130" i="12"/>
  <c r="BS130" i="12"/>
  <c r="BM131" i="12"/>
  <c r="AX132" i="12"/>
  <c r="AM133" i="12"/>
  <c r="BM134" i="12"/>
  <c r="BM136" i="12"/>
  <c r="BM138" i="12"/>
  <c r="AX139" i="12"/>
  <c r="DP140" i="12"/>
  <c r="DP141" i="12"/>
  <c r="BF143" i="12"/>
  <c r="BF144" i="12"/>
  <c r="AX145" i="12"/>
  <c r="BS148" i="12"/>
  <c r="AU149" i="12"/>
  <c r="BF149" i="12"/>
  <c r="AM150" i="12"/>
  <c r="BS150" i="12"/>
  <c r="BM151" i="12"/>
  <c r="AU153" i="12"/>
  <c r="BF153" i="12"/>
  <c r="AX154" i="12"/>
  <c r="BM155" i="12"/>
  <c r="AX156" i="12"/>
  <c r="AU157" i="12"/>
  <c r="BA163" i="12"/>
  <c r="BF163" i="12"/>
  <c r="BA164" i="12"/>
  <c r="BF164" i="12"/>
  <c r="BS164" i="12"/>
  <c r="BM194" i="12"/>
  <c r="BS166" i="12"/>
  <c r="BA167" i="12"/>
  <c r="BF167" i="12"/>
  <c r="BA168" i="12"/>
  <c r="BF168" i="12"/>
  <c r="BM169" i="12"/>
  <c r="BS169" i="12"/>
  <c r="AU171" i="12"/>
  <c r="BA171" i="12"/>
  <c r="BF171" i="12"/>
  <c r="DP171" i="12"/>
  <c r="AX173" i="12"/>
  <c r="AX175" i="12"/>
  <c r="BS175" i="12"/>
  <c r="AU177" i="12"/>
  <c r="BM178" i="12"/>
  <c r="AX184" i="12"/>
  <c r="BM185" i="12"/>
  <c r="AU186" i="12"/>
  <c r="BA186" i="12"/>
  <c r="BS187" i="12"/>
  <c r="AX188" i="12"/>
  <c r="BM188" i="12"/>
  <c r="BM190" i="12"/>
  <c r="AM191" i="12"/>
  <c r="BS194" i="12"/>
  <c r="DP195" i="12"/>
  <c r="BF198" i="12"/>
  <c r="BM200" i="12"/>
  <c r="DP204" i="12"/>
  <c r="BM208" i="12"/>
  <c r="BM210" i="12"/>
  <c r="DP211" i="12"/>
  <c r="DP214" i="12"/>
  <c r="BA215" i="12"/>
  <c r="AX220" i="12"/>
  <c r="BM220" i="12"/>
  <c r="BF230" i="12"/>
  <c r="AX235" i="12"/>
  <c r="BA237" i="12"/>
  <c r="AU238" i="12"/>
  <c r="BA238" i="12"/>
  <c r="L241" i="12"/>
  <c r="EB241" i="12" s="1"/>
  <c r="AM242" i="12"/>
  <c r="L243" i="12"/>
  <c r="BM243" i="12"/>
  <c r="DP169" i="12"/>
  <c r="AM171" i="12"/>
  <c r="DP172" i="12"/>
  <c r="BA173" i="12"/>
  <c r="BA174" i="12"/>
  <c r="DP176" i="12"/>
  <c r="DP179" i="12"/>
  <c r="BA185" i="12"/>
  <c r="BF185" i="12"/>
  <c r="DP185" i="12"/>
  <c r="BA187" i="12"/>
  <c r="BA194" i="12"/>
  <c r="AM195" i="12"/>
  <c r="AX195" i="12"/>
  <c r="BS195" i="12"/>
  <c r="BS196" i="12"/>
  <c r="AU197" i="12"/>
  <c r="BF197" i="12"/>
  <c r="AU198" i="12"/>
  <c r="AU200" i="12"/>
  <c r="BA203" i="12"/>
  <c r="AU204" i="12"/>
  <c r="BF204" i="12"/>
  <c r="BM205" i="12"/>
  <c r="BM206" i="12"/>
  <c r="AU208" i="12"/>
  <c r="BA211" i="12"/>
  <c r="AX212" i="12"/>
  <c r="BM212" i="12"/>
  <c r="AX213" i="12"/>
  <c r="BM214" i="12"/>
  <c r="AX218" i="12"/>
  <c r="BM218" i="12"/>
  <c r="BA220" i="12"/>
  <c r="AX223" i="12"/>
  <c r="AX224" i="12"/>
  <c r="BM224" i="12"/>
  <c r="AX227" i="12"/>
  <c r="AM236" i="12"/>
  <c r="L238" i="12"/>
  <c r="EB238" i="12" s="1"/>
  <c r="BM240" i="12"/>
  <c r="DP240" i="12"/>
  <c r="AM241" i="12"/>
  <c r="BM241" i="12"/>
  <c r="BS242" i="12"/>
  <c r="BA243" i="12"/>
  <c r="BF243" i="12"/>
  <c r="AJ247" i="12"/>
  <c r="CA247" i="12"/>
  <c r="CH247" i="12"/>
  <c r="CT247" i="12"/>
  <c r="CX247" i="12"/>
  <c r="DD247" i="12"/>
  <c r="DJ247" i="12"/>
  <c r="AX160" i="12"/>
  <c r="BM160" i="12"/>
  <c r="BM161" i="12"/>
  <c r="BM163" i="12"/>
  <c r="AX164" i="12"/>
  <c r="BM164" i="12"/>
  <c r="AU165" i="12"/>
  <c r="BS165" i="12"/>
  <c r="BM167" i="12"/>
  <c r="AX168" i="12"/>
  <c r="AM169" i="12"/>
  <c r="DP173" i="12"/>
  <c r="AX176" i="12"/>
  <c r="BS176" i="12"/>
  <c r="DP178" i="12"/>
  <c r="BF179" i="12"/>
  <c r="BF181" i="12"/>
  <c r="BS182" i="12"/>
  <c r="AM183" i="12"/>
  <c r="AU185" i="12"/>
  <c r="BF186" i="12"/>
  <c r="BM186" i="12"/>
  <c r="AU188" i="12"/>
  <c r="BF188" i="12"/>
  <c r="DP188" i="12"/>
  <c r="AX191" i="12"/>
  <c r="AX193" i="12"/>
  <c r="BF193" i="12"/>
  <c r="BM193" i="12"/>
  <c r="AU195" i="12"/>
  <c r="BA195" i="12"/>
  <c r="AU196" i="12"/>
  <c r="DP196" i="12"/>
  <c r="AX198" i="12"/>
  <c r="BM198" i="12"/>
  <c r="AM199" i="12"/>
  <c r="DP199" i="12"/>
  <c r="BS202" i="12"/>
  <c r="AM206" i="12"/>
  <c r="DP207" i="12"/>
  <c r="BF207" i="12"/>
  <c r="DP209" i="12"/>
  <c r="DP210" i="12"/>
  <c r="BA212" i="12"/>
  <c r="AU214" i="12"/>
  <c r="AU215" i="12"/>
  <c r="BS215" i="12"/>
  <c r="AX216" i="12"/>
  <c r="BM216" i="12"/>
  <c r="BA218" i="12"/>
  <c r="AU219" i="12"/>
  <c r="DP219" i="12"/>
  <c r="AX222" i="12"/>
  <c r="BS223" i="12"/>
  <c r="BA224" i="12"/>
  <c r="AX226" i="12"/>
  <c r="AM229" i="12"/>
  <c r="AX229" i="12"/>
  <c r="BM230" i="12"/>
  <c r="BA232" i="12"/>
  <c r="AX234" i="12"/>
  <c r="AM237" i="12"/>
  <c r="BM239" i="12"/>
  <c r="DL240" i="12"/>
  <c r="AX242" i="12"/>
  <c r="AU243" i="12"/>
  <c r="P12" i="12"/>
  <c r="H12" i="12"/>
  <c r="P39" i="12"/>
  <c r="H39" i="12"/>
  <c r="R39" i="12"/>
  <c r="P13" i="12"/>
  <c r="H13" i="12"/>
  <c r="H54" i="12"/>
  <c r="P54" i="12"/>
  <c r="P14" i="12"/>
  <c r="H14" i="12"/>
  <c r="R14" i="12"/>
  <c r="N20" i="12"/>
  <c r="H20" i="12"/>
  <c r="G5" i="12"/>
  <c r="G249" i="12" s="1"/>
  <c r="AI244" i="12"/>
  <c r="AH247" i="12" s="1"/>
  <c r="AS244" i="12"/>
  <c r="AS247" i="12" s="1"/>
  <c r="BB244" i="12"/>
  <c r="BB247" i="12" s="1"/>
  <c r="BK244" i="12"/>
  <c r="BK247" i="12" s="1"/>
  <c r="BO244" i="12"/>
  <c r="BO247" i="12" s="1"/>
  <c r="BT244" i="12"/>
  <c r="BT247" i="12" s="1"/>
  <c r="CI244" i="12"/>
  <c r="CI247" i="12" s="1"/>
  <c r="CN244" i="12"/>
  <c r="CN247" i="12" s="1"/>
  <c r="AU6" i="12"/>
  <c r="BF6" i="12"/>
  <c r="DP6" i="12"/>
  <c r="AM7" i="12"/>
  <c r="BS8" i="12"/>
  <c r="AU10" i="12"/>
  <c r="BF10" i="12"/>
  <c r="DP10" i="12"/>
  <c r="AM11" i="12"/>
  <c r="BS11" i="12"/>
  <c r="AU12" i="12"/>
  <c r="BA12" i="12"/>
  <c r="BS12" i="12"/>
  <c r="AU13" i="12"/>
  <c r="BA13" i="12"/>
  <c r="BS13" i="12"/>
  <c r="AU14" i="12"/>
  <c r="BA14" i="12"/>
  <c r="AU15" i="12"/>
  <c r="BF16" i="12"/>
  <c r="DP16" i="12"/>
  <c r="AM17" i="12"/>
  <c r="AX17" i="12"/>
  <c r="DP17" i="12"/>
  <c r="AU18" i="12"/>
  <c r="AU20" i="12"/>
  <c r="BA20" i="12"/>
  <c r="BF21" i="12"/>
  <c r="DP21" i="12"/>
  <c r="BS22" i="12"/>
  <c r="BS25" i="12"/>
  <c r="DL25" i="12"/>
  <c r="AM26" i="12"/>
  <c r="BF26" i="12"/>
  <c r="BA27" i="12"/>
  <c r="BF28" i="12"/>
  <c r="BA29" i="12"/>
  <c r="AM30" i="12"/>
  <c r="BF30" i="12"/>
  <c r="AM31" i="12"/>
  <c r="BF31" i="12"/>
  <c r="AM32" i="12"/>
  <c r="BF32" i="12"/>
  <c r="DP32" i="12"/>
  <c r="BS33" i="12"/>
  <c r="AU35" i="12"/>
  <c r="AM36" i="12"/>
  <c r="BF36" i="12"/>
  <c r="DP36" i="12"/>
  <c r="AM38" i="12"/>
  <c r="BM38" i="12"/>
  <c r="BF40" i="12"/>
  <c r="DP40" i="12"/>
  <c r="AU41" i="12"/>
  <c r="AM42" i="12"/>
  <c r="AX42" i="12"/>
  <c r="BA43" i="12"/>
  <c r="AU44" i="12"/>
  <c r="BA44" i="12"/>
  <c r="AM45" i="12"/>
  <c r="AX45" i="12"/>
  <c r="BS45" i="12"/>
  <c r="BF46" i="12"/>
  <c r="AM47" i="12"/>
  <c r="AX47" i="12"/>
  <c r="BS47" i="12"/>
  <c r="BF48" i="12"/>
  <c r="AM49" i="12"/>
  <c r="AX49" i="12"/>
  <c r="BS49" i="12"/>
  <c r="BF50" i="12"/>
  <c r="DP50" i="12"/>
  <c r="BM53" i="12"/>
  <c r="BS53" i="12"/>
  <c r="AM54" i="12"/>
  <c r="AU56" i="12"/>
  <c r="BA56" i="12"/>
  <c r="AX57" i="12"/>
  <c r="C19" i="11" s="1"/>
  <c r="H58" i="12"/>
  <c r="DP58" i="12"/>
  <c r="DP59" i="12"/>
  <c r="H60" i="12"/>
  <c r="BS62" i="12"/>
  <c r="BF64" i="12"/>
  <c r="P91" i="12"/>
  <c r="H91" i="12"/>
  <c r="AY244" i="12"/>
  <c r="AY247" i="12" s="1"/>
  <c r="BP244" i="12"/>
  <c r="BP247" i="12" s="1"/>
  <c r="AM8" i="12"/>
  <c r="BF11" i="12"/>
  <c r="DP11" i="12"/>
  <c r="DP12" i="12"/>
  <c r="DP13" i="12"/>
  <c r="DP14" i="12"/>
  <c r="AM16" i="12"/>
  <c r="BF19" i="12"/>
  <c r="BF22" i="12"/>
  <c r="DP22" i="12"/>
  <c r="BF25" i="12"/>
  <c r="AM27" i="12"/>
  <c r="BA28" i="12"/>
  <c r="AM29" i="12"/>
  <c r="BF33" i="12"/>
  <c r="DP33" i="12"/>
  <c r="BA38" i="12"/>
  <c r="AM40" i="12"/>
  <c r="AM43" i="12"/>
  <c r="BF44" i="12"/>
  <c r="BA45" i="12"/>
  <c r="BA47" i="12"/>
  <c r="BM48" i="12"/>
  <c r="BA49" i="12"/>
  <c r="BF55" i="12"/>
  <c r="BF59" i="12"/>
  <c r="DP60" i="12"/>
  <c r="DP61" i="12"/>
  <c r="DP62" i="12"/>
  <c r="DP63" i="12"/>
  <c r="BV72" i="12"/>
  <c r="H72" i="12"/>
  <c r="P76" i="12"/>
  <c r="R76" i="12"/>
  <c r="H76" i="12"/>
  <c r="AM5" i="12"/>
  <c r="AT244" i="12"/>
  <c r="AT247" i="12" s="1"/>
  <c r="BC244" i="12"/>
  <c r="BC247" i="12" s="1"/>
  <c r="BL244" i="12"/>
  <c r="BL247" i="12" s="1"/>
  <c r="BU244" i="12"/>
  <c r="BU247" i="12" s="1"/>
  <c r="CC244" i="12"/>
  <c r="CC247" i="12" s="1"/>
  <c r="CJ244" i="12"/>
  <c r="CJ247" i="12" s="1"/>
  <c r="BF7" i="12"/>
  <c r="DP7" i="12"/>
  <c r="AO244" i="12"/>
  <c r="AO247" i="12" s="1"/>
  <c r="AU5" i="12"/>
  <c r="AZ244" i="12"/>
  <c r="AZ247" i="12" s="1"/>
  <c r="BD244" i="12"/>
  <c r="BD247" i="12" s="1"/>
  <c r="BI244" i="12"/>
  <c r="BI247" i="12" s="1"/>
  <c r="BM5" i="12"/>
  <c r="BQ244" i="12"/>
  <c r="BQ247" i="12" s="1"/>
  <c r="CE244" i="12"/>
  <c r="CE247" i="12" s="1"/>
  <c r="CK244" i="12"/>
  <c r="CK247" i="12" s="1"/>
  <c r="EB5" i="12"/>
  <c r="BS6" i="12"/>
  <c r="AU8" i="12"/>
  <c r="BF8" i="12"/>
  <c r="DP8" i="12"/>
  <c r="AM9" i="12"/>
  <c r="BS10" i="12"/>
  <c r="AU11" i="12"/>
  <c r="BM12" i="12"/>
  <c r="BM13" i="12"/>
  <c r="BF15" i="12"/>
  <c r="DP15" i="12"/>
  <c r="AU16" i="12"/>
  <c r="BS17" i="12"/>
  <c r="BF18" i="12"/>
  <c r="AM19" i="12"/>
  <c r="AX19" i="12"/>
  <c r="DP19" i="12"/>
  <c r="DP20" i="12"/>
  <c r="H21" i="12"/>
  <c r="AU22" i="12"/>
  <c r="BF23" i="12"/>
  <c r="AU24" i="12"/>
  <c r="BA24" i="12"/>
  <c r="DP24" i="12"/>
  <c r="AU25" i="12"/>
  <c r="AU27" i="12"/>
  <c r="BS27" i="12"/>
  <c r="AM28" i="12"/>
  <c r="AX28" i="12"/>
  <c r="AU29" i="12"/>
  <c r="BS29" i="12"/>
  <c r="AU33" i="12"/>
  <c r="AM34" i="12"/>
  <c r="BF34" i="12"/>
  <c r="DP34" i="12"/>
  <c r="BS35" i="12"/>
  <c r="DP35" i="12"/>
  <c r="AM37" i="12"/>
  <c r="BF37" i="12"/>
  <c r="DP37" i="12"/>
  <c r="BS38" i="12"/>
  <c r="AU39" i="12"/>
  <c r="BA39" i="12"/>
  <c r="AU40" i="12"/>
  <c r="BF41" i="12"/>
  <c r="DP41" i="12"/>
  <c r="BF42" i="12"/>
  <c r="AU43" i="12"/>
  <c r="BS43" i="12"/>
  <c r="BM44" i="12"/>
  <c r="BF45" i="12"/>
  <c r="AM46" i="12"/>
  <c r="AX46" i="12"/>
  <c r="BS46" i="12"/>
  <c r="BF47" i="12"/>
  <c r="AM48" i="12"/>
  <c r="BS48" i="12"/>
  <c r="BF49" i="12"/>
  <c r="AM50" i="12"/>
  <c r="AX50" i="12"/>
  <c r="BS50" i="12"/>
  <c r="BA51" i="12"/>
  <c r="DP52" i="12"/>
  <c r="AU53" i="12"/>
  <c r="BA53" i="12"/>
  <c r="DP53" i="12"/>
  <c r="N54" i="12"/>
  <c r="BA54" i="12"/>
  <c r="BS54" i="12"/>
  <c r="N55" i="12"/>
  <c r="AX55" i="12"/>
  <c r="BS55" i="12"/>
  <c r="AM57" i="12"/>
  <c r="BA57" i="12"/>
  <c r="C20" i="11" s="1"/>
  <c r="P58" i="12"/>
  <c r="AU58" i="12"/>
  <c r="BM58" i="12"/>
  <c r="P60" i="12"/>
  <c r="AU60" i="12"/>
  <c r="BF60" i="12"/>
  <c r="BF61" i="12"/>
  <c r="BF62" i="12"/>
  <c r="BF63" i="12"/>
  <c r="AU65" i="12"/>
  <c r="BF65" i="12"/>
  <c r="BM65" i="12"/>
  <c r="P71" i="12"/>
  <c r="R71" i="12"/>
  <c r="AX69" i="12"/>
  <c r="BM69" i="12"/>
  <c r="BA70" i="12"/>
  <c r="BF70" i="12"/>
  <c r="AM71" i="12"/>
  <c r="BA72" i="12"/>
  <c r="BF72" i="12"/>
  <c r="AM74" i="12"/>
  <c r="AM75" i="12"/>
  <c r="BA76" i="12"/>
  <c r="BS76" i="12"/>
  <c r="BS77" i="12"/>
  <c r="BS79" i="12"/>
  <c r="BS80" i="12"/>
  <c r="BF81" i="12"/>
  <c r="BF82" i="12"/>
  <c r="AM83" i="12"/>
  <c r="AX83" i="12"/>
  <c r="BF83" i="12"/>
  <c r="AU84" i="12"/>
  <c r="BF84" i="12"/>
  <c r="AU85" i="12"/>
  <c r="BF85" i="12"/>
  <c r="DP85" i="12"/>
  <c r="AM86" i="12"/>
  <c r="AU87" i="12"/>
  <c r="AU88" i="12"/>
  <c r="BA88" i="12"/>
  <c r="DP88" i="12"/>
  <c r="AM89" i="12"/>
  <c r="AX89" i="12"/>
  <c r="DP90" i="12"/>
  <c r="AM91" i="12"/>
  <c r="BM91" i="12"/>
  <c r="BA94" i="12"/>
  <c r="DP94" i="12"/>
  <c r="AU96" i="12"/>
  <c r="BF98" i="12"/>
  <c r="AU99" i="12"/>
  <c r="BS99" i="12"/>
  <c r="AM100" i="12"/>
  <c r="AX100" i="12"/>
  <c r="BF102" i="12"/>
  <c r="DP102" i="12"/>
  <c r="BA103" i="12"/>
  <c r="AM105" i="12"/>
  <c r="BF105" i="12"/>
  <c r="DP105" i="12"/>
  <c r="BS106" i="12"/>
  <c r="AM109" i="12"/>
  <c r="BA98" i="12"/>
  <c r="BF99" i="12"/>
  <c r="DP99" i="12"/>
  <c r="AU100" i="12"/>
  <c r="BS100" i="12"/>
  <c r="BM101" i="12"/>
  <c r="DP101" i="12"/>
  <c r="BA102" i="12"/>
  <c r="AM103" i="12"/>
  <c r="AX103" i="12"/>
  <c r="BS104" i="12"/>
  <c r="AU105" i="12"/>
  <c r="AM106" i="12"/>
  <c r="BF106" i="12"/>
  <c r="DP106" i="12"/>
  <c r="BS107" i="12"/>
  <c r="AU109" i="12"/>
  <c r="BA109" i="12"/>
  <c r="AM110" i="12"/>
  <c r="AU111" i="12"/>
  <c r="BM111" i="12"/>
  <c r="DP111" i="12"/>
  <c r="N129" i="12"/>
  <c r="H129" i="12"/>
  <c r="P141" i="12"/>
  <c r="R141" i="12"/>
  <c r="H141" i="12"/>
  <c r="N143" i="12"/>
  <c r="H143" i="12"/>
  <c r="P149" i="12"/>
  <c r="H149" i="12"/>
  <c r="P153" i="12"/>
  <c r="H153" i="12"/>
  <c r="BA69" i="12"/>
  <c r="BF69" i="12"/>
  <c r="BA71" i="12"/>
  <c r="AM73" i="12"/>
  <c r="BF74" i="12"/>
  <c r="BA75" i="12"/>
  <c r="BS75" i="12"/>
  <c r="AM76" i="12"/>
  <c r="BA77" i="12"/>
  <c r="AU78" i="12"/>
  <c r="BA78" i="12"/>
  <c r="AM79" i="12"/>
  <c r="AX79" i="12"/>
  <c r="DP79" i="12"/>
  <c r="AM80" i="12"/>
  <c r="AX80" i="12"/>
  <c r="AU81" i="12"/>
  <c r="AU82" i="12"/>
  <c r="BS83" i="12"/>
  <c r="BS84" i="12"/>
  <c r="BS85" i="12"/>
  <c r="BM88" i="12"/>
  <c r="BA92" i="12"/>
  <c r="DP92" i="12"/>
  <c r="AM93" i="12"/>
  <c r="BM93" i="12"/>
  <c r="AM95" i="12"/>
  <c r="BM95" i="12"/>
  <c r="DP95" i="12"/>
  <c r="BS96" i="12"/>
  <c r="DP96" i="12"/>
  <c r="AM97" i="12"/>
  <c r="BF97" i="12"/>
  <c r="BF104" i="12"/>
  <c r="N131" i="12"/>
  <c r="H131" i="12"/>
  <c r="P151" i="12"/>
  <c r="H151" i="12"/>
  <c r="AM65" i="12"/>
  <c r="DP65" i="12"/>
  <c r="AM66" i="12"/>
  <c r="DP66" i="12"/>
  <c r="AM67" i="12"/>
  <c r="AU68" i="12"/>
  <c r="BF68" i="12"/>
  <c r="BS68" i="12"/>
  <c r="R70" i="12"/>
  <c r="DP71" i="12"/>
  <c r="AU73" i="12"/>
  <c r="BA73" i="12"/>
  <c r="BF73" i="12"/>
  <c r="AX74" i="12"/>
  <c r="DP83" i="12"/>
  <c r="AM84" i="12"/>
  <c r="DP84" i="12"/>
  <c r="AM85" i="12"/>
  <c r="AM87" i="12"/>
  <c r="DP87" i="12"/>
  <c r="BF89" i="12"/>
  <c r="BA93" i="12"/>
  <c r="AM94" i="12"/>
  <c r="BA95" i="12"/>
  <c r="BF96" i="12"/>
  <c r="AU97" i="12"/>
  <c r="AX99" i="12"/>
  <c r="BA100" i="12"/>
  <c r="BA101" i="12"/>
  <c r="BM102" i="12"/>
  <c r="BF103" i="12"/>
  <c r="AU104" i="12"/>
  <c r="BS105" i="12"/>
  <c r="AU107" i="12"/>
  <c r="AM108" i="12"/>
  <c r="BF108" i="12"/>
  <c r="H110" i="12"/>
  <c r="DP110" i="12"/>
  <c r="H111" i="12"/>
  <c r="BS112" i="12"/>
  <c r="P113" i="12"/>
  <c r="H113" i="12"/>
  <c r="N146" i="12"/>
  <c r="H146" i="12"/>
  <c r="AX114" i="12"/>
  <c r="AU115" i="12"/>
  <c r="AU118" i="12"/>
  <c r="BF118" i="12"/>
  <c r="BS118" i="12"/>
  <c r="AM119" i="12"/>
  <c r="AM121" i="12"/>
  <c r="AX121" i="12"/>
  <c r="DP121" i="12"/>
  <c r="BA122" i="12"/>
  <c r="BS122" i="12"/>
  <c r="AM124" i="12"/>
  <c r="DP124" i="12"/>
  <c r="BA127" i="12"/>
  <c r="BS127" i="12"/>
  <c r="BM128" i="12"/>
  <c r="DP129" i="12"/>
  <c r="H130" i="12"/>
  <c r="BA131" i="12"/>
  <c r="BS131" i="12"/>
  <c r="R132" i="12"/>
  <c r="AU132" i="12"/>
  <c r="BM132" i="12"/>
  <c r="AX133" i="12"/>
  <c r="DP133" i="12"/>
  <c r="AU134" i="12"/>
  <c r="BF135" i="12"/>
  <c r="BS135" i="12"/>
  <c r="AM136" i="12"/>
  <c r="DP136" i="12"/>
  <c r="BF137" i="12"/>
  <c r="BS137" i="12"/>
  <c r="AM138" i="12"/>
  <c r="BF139" i="12"/>
  <c r="DP139" i="12"/>
  <c r="BF141" i="12"/>
  <c r="H142" i="12"/>
  <c r="H144" i="12"/>
  <c r="BF145" i="12"/>
  <c r="AU146" i="12"/>
  <c r="BM146" i="12"/>
  <c r="R147" i="12"/>
  <c r="AU147" i="12"/>
  <c r="BM147" i="12"/>
  <c r="R148" i="12"/>
  <c r="N191" i="12"/>
  <c r="H191" i="12"/>
  <c r="P191" i="12"/>
  <c r="P192" i="12"/>
  <c r="H192" i="12"/>
  <c r="R192" i="12"/>
  <c r="N193" i="12"/>
  <c r="H193" i="12"/>
  <c r="R193" i="12"/>
  <c r="N197" i="12"/>
  <c r="R197" i="12"/>
  <c r="BA149" i="12"/>
  <c r="BS149" i="12"/>
  <c r="AU150" i="12"/>
  <c r="BM150" i="12"/>
  <c r="AM151" i="12"/>
  <c r="DP151" i="12"/>
  <c r="H152" i="12"/>
  <c r="BA153" i="12"/>
  <c r="BS153" i="12"/>
  <c r="BA154" i="12"/>
  <c r="BS154" i="12"/>
  <c r="AU155" i="12"/>
  <c r="BA155" i="12"/>
  <c r="AU156" i="12"/>
  <c r="BA156" i="12"/>
  <c r="AX157" i="12"/>
  <c r="BS157" i="12"/>
  <c r="DP157" i="12"/>
  <c r="AM158" i="12"/>
  <c r="AX159" i="12"/>
  <c r="BS159" i="12"/>
  <c r="DP160" i="12"/>
  <c r="AM161" i="12"/>
  <c r="AX162" i="12"/>
  <c r="AX165" i="12"/>
  <c r="AM166" i="12"/>
  <c r="BS172" i="12"/>
  <c r="AU110" i="12"/>
  <c r="BA110" i="12"/>
  <c r="AM112" i="12"/>
  <c r="BM112" i="12"/>
  <c r="DP112" i="12"/>
  <c r="BA113" i="12"/>
  <c r="BA114" i="12"/>
  <c r="AX115" i="12"/>
  <c r="BA115" i="12"/>
  <c r="DP116" i="12"/>
  <c r="AX118" i="12"/>
  <c r="BA118" i="12"/>
  <c r="AM120" i="12"/>
  <c r="BF121" i="12"/>
  <c r="AM122" i="12"/>
  <c r="DP122" i="12"/>
  <c r="AU123" i="12"/>
  <c r="BA124" i="12"/>
  <c r="BS124" i="12"/>
  <c r="BF126" i="12"/>
  <c r="DP127" i="12"/>
  <c r="H128" i="12"/>
  <c r="BA129" i="12"/>
  <c r="BS129" i="12"/>
  <c r="AU130" i="12"/>
  <c r="BM130" i="12"/>
  <c r="DP131" i="12"/>
  <c r="H132" i="12"/>
  <c r="DP132" i="12"/>
  <c r="AX134" i="12"/>
  <c r="AM135" i="12"/>
  <c r="BF136" i="12"/>
  <c r="BS136" i="12"/>
  <c r="AM137" i="12"/>
  <c r="BF138" i="12"/>
  <c r="BS138" i="12"/>
  <c r="AX140" i="12"/>
  <c r="AX141" i="12"/>
  <c r="BM142" i="12"/>
  <c r="BM143" i="12"/>
  <c r="P144" i="12"/>
  <c r="AU144" i="12"/>
  <c r="BM144" i="12"/>
  <c r="DP146" i="12"/>
  <c r="H147" i="12"/>
  <c r="DP147" i="12"/>
  <c r="H148" i="12"/>
  <c r="BA150" i="12"/>
  <c r="DP159" i="12"/>
  <c r="BF161" i="12"/>
  <c r="DP163" i="12"/>
  <c r="DP175" i="12"/>
  <c r="BA112" i="12"/>
  <c r="BM114" i="12"/>
  <c r="AM115" i="12"/>
  <c r="BS115" i="12"/>
  <c r="AM116" i="12"/>
  <c r="BF116" i="12"/>
  <c r="AM118" i="12"/>
  <c r="AX119" i="12"/>
  <c r="BA119" i="12"/>
  <c r="BF120" i="12"/>
  <c r="BA121" i="12"/>
  <c r="BF123" i="12"/>
  <c r="DP128" i="12"/>
  <c r="BA130" i="12"/>
  <c r="AM134" i="12"/>
  <c r="DP134" i="12"/>
  <c r="DP138" i="12"/>
  <c r="BA141" i="12"/>
  <c r="BA142" i="12"/>
  <c r="BA143" i="12"/>
  <c r="BA144" i="12"/>
  <c r="DP145" i="12"/>
  <c r="H150" i="12"/>
  <c r="BA151" i="12"/>
  <c r="BS151" i="12"/>
  <c r="AU152" i="12"/>
  <c r="BM152" i="12"/>
  <c r="DP155" i="12"/>
  <c r="BM156" i="12"/>
  <c r="BA158" i="12"/>
  <c r="BS158" i="12"/>
  <c r="DP158" i="12"/>
  <c r="AM159" i="12"/>
  <c r="AU160" i="12"/>
  <c r="AX161" i="12"/>
  <c r="BA162" i="12"/>
  <c r="BF162" i="12"/>
  <c r="AM163" i="12"/>
  <c r="BA165" i="12"/>
  <c r="AM167" i="12"/>
  <c r="BM168" i="12"/>
  <c r="P176" i="12"/>
  <c r="H176" i="12"/>
  <c r="R176" i="12"/>
  <c r="BA184" i="12"/>
  <c r="P235" i="12"/>
  <c r="H235" i="12"/>
  <c r="BS168" i="12"/>
  <c r="BA169" i="12"/>
  <c r="BM170" i="12"/>
  <c r="BF173" i="12"/>
  <c r="BM177" i="12"/>
  <c r="AX178" i="12"/>
  <c r="BM180" i="12"/>
  <c r="DP181" i="12"/>
  <c r="AM182" i="12"/>
  <c r="AU183" i="12"/>
  <c r="BF183" i="12"/>
  <c r="BS185" i="12"/>
  <c r="AM187" i="12"/>
  <c r="BA188" i="12"/>
  <c r="BS188" i="12"/>
  <c r="BM189" i="12"/>
  <c r="AU191" i="12"/>
  <c r="AM194" i="12"/>
  <c r="BS198" i="12"/>
  <c r="BA200" i="12"/>
  <c r="DP161" i="12"/>
  <c r="AM162" i="12"/>
  <c r="AX163" i="12"/>
  <c r="BS163" i="12"/>
  <c r="DP164" i="12"/>
  <c r="AM165" i="12"/>
  <c r="AU166" i="12"/>
  <c r="BF166" i="12"/>
  <c r="AX167" i="12"/>
  <c r="BS167" i="12"/>
  <c r="DP168" i="12"/>
  <c r="AX169" i="12"/>
  <c r="BF170" i="12"/>
  <c r="AX171" i="12"/>
  <c r="BM171" i="12"/>
  <c r="BM173" i="12"/>
  <c r="AM174" i="12"/>
  <c r="DP174" i="12"/>
  <c r="BF175" i="12"/>
  <c r="BF176" i="12"/>
  <c r="AM177" i="12"/>
  <c r="BF177" i="12"/>
  <c r="AU178" i="12"/>
  <c r="BA178" i="12"/>
  <c r="AM179" i="12"/>
  <c r="AX179" i="12"/>
  <c r="BS179" i="12"/>
  <c r="BF180" i="12"/>
  <c r="AU181" i="12"/>
  <c r="BM181" i="12"/>
  <c r="AU182" i="12"/>
  <c r="BF182" i="12"/>
  <c r="AX183" i="12"/>
  <c r="BS183" i="12"/>
  <c r="AM184" i="12"/>
  <c r="AU187" i="12"/>
  <c r="BF187" i="12"/>
  <c r="BF189" i="12"/>
  <c r="AM190" i="12"/>
  <c r="BA192" i="12"/>
  <c r="BF192" i="12"/>
  <c r="DP193" i="12"/>
  <c r="AU194" i="12"/>
  <c r="BF194" i="12"/>
  <c r="BF195" i="12"/>
  <c r="BA197" i="12"/>
  <c r="BS197" i="12"/>
  <c r="AM198" i="12"/>
  <c r="BS199" i="12"/>
  <c r="DP200" i="12"/>
  <c r="DP216" i="12"/>
  <c r="P219" i="12"/>
  <c r="N219" i="12"/>
  <c r="BF235" i="12"/>
  <c r="DP239" i="12"/>
  <c r="AM164" i="12"/>
  <c r="BF165" i="12"/>
  <c r="AX166" i="12"/>
  <c r="DP167" i="12"/>
  <c r="AM168" i="12"/>
  <c r="BA170" i="12"/>
  <c r="DP170" i="12"/>
  <c r="BA172" i="12"/>
  <c r="BF172" i="12"/>
  <c r="BM174" i="12"/>
  <c r="BA175" i="12"/>
  <c r="BM176" i="12"/>
  <c r="BA177" i="12"/>
  <c r="BF178" i="12"/>
  <c r="AU179" i="12"/>
  <c r="BA180" i="12"/>
  <c r="BA181" i="12"/>
  <c r="BS181" i="12"/>
  <c r="AX182" i="12"/>
  <c r="DP182" i="12"/>
  <c r="DP183" i="12"/>
  <c r="AU184" i="12"/>
  <c r="BF184" i="12"/>
  <c r="AM185" i="12"/>
  <c r="AM186" i="12"/>
  <c r="DP186" i="12"/>
  <c r="AX187" i="12"/>
  <c r="DP187" i="12"/>
  <c r="BA189" i="12"/>
  <c r="DP189" i="12"/>
  <c r="BF190" i="12"/>
  <c r="BF191" i="12"/>
  <c r="AX194" i="12"/>
  <c r="DP194" i="12"/>
  <c r="BM195" i="12"/>
  <c r="BA196" i="12"/>
  <c r="BF196" i="12"/>
  <c r="DP197" i="12"/>
  <c r="BA199" i="12"/>
  <c r="AM202" i="12"/>
  <c r="BA223" i="12"/>
  <c r="H239" i="12"/>
  <c r="N239" i="12"/>
  <c r="BS201" i="12"/>
  <c r="AX202" i="12"/>
  <c r="BF203" i="12"/>
  <c r="DP203" i="12"/>
  <c r="BA204" i="12"/>
  <c r="AX205" i="12"/>
  <c r="AU206" i="12"/>
  <c r="BF206" i="12"/>
  <c r="BS206" i="12"/>
  <c r="DP206" i="12"/>
  <c r="BF208" i="12"/>
  <c r="AM209" i="12"/>
  <c r="AX210" i="12"/>
  <c r="BA210" i="12"/>
  <c r="BF212" i="12"/>
  <c r="BA213" i="12"/>
  <c r="DP213" i="12"/>
  <c r="BF214" i="12"/>
  <c r="AM215" i="12"/>
  <c r="BF216" i="12"/>
  <c r="AU217" i="12"/>
  <c r="BA217" i="12"/>
  <c r="BF217" i="12"/>
  <c r="AX219" i="12"/>
  <c r="DP220" i="12"/>
  <c r="DP222" i="12"/>
  <c r="AU223" i="12"/>
  <c r="BF224" i="12"/>
  <c r="AM225" i="12"/>
  <c r="DP225" i="12"/>
  <c r="AU226" i="12"/>
  <c r="BA226" i="12"/>
  <c r="DP226" i="12"/>
  <c r="AU227" i="12"/>
  <c r="BS227" i="12"/>
  <c r="AM228" i="12"/>
  <c r="AX228" i="12"/>
  <c r="AU229" i="12"/>
  <c r="BS229" i="12"/>
  <c r="BA230" i="12"/>
  <c r="BS230" i="12"/>
  <c r="AX232" i="12"/>
  <c r="BF233" i="12"/>
  <c r="DP233" i="12"/>
  <c r="BA235" i="12"/>
  <c r="BS235" i="12"/>
  <c r="AU236" i="12"/>
  <c r="BM236" i="12"/>
  <c r="BS237" i="12"/>
  <c r="AX238" i="12"/>
  <c r="BA239" i="12"/>
  <c r="AU241" i="12"/>
  <c r="AU242" i="12"/>
  <c r="BF242" i="12"/>
  <c r="AX243" i="12"/>
  <c r="BS243" i="12"/>
  <c r="DP202" i="12"/>
  <c r="BA208" i="12"/>
  <c r="BF209" i="12"/>
  <c r="AM210" i="12"/>
  <c r="AM211" i="12"/>
  <c r="AM212" i="12"/>
  <c r="DP212" i="12"/>
  <c r="AM213" i="12"/>
  <c r="BA214" i="12"/>
  <c r="DP217" i="12"/>
  <c r="DP218" i="12"/>
  <c r="AM222" i="12"/>
  <c r="AM224" i="12"/>
  <c r="BF225" i="12"/>
  <c r="BF226" i="12"/>
  <c r="BF229" i="12"/>
  <c r="AM231" i="12"/>
  <c r="DP234" i="12"/>
  <c r="BA236" i="12"/>
  <c r="DP237" i="12"/>
  <c r="AM240" i="12"/>
  <c r="DP243" i="12"/>
  <c r="AK247" i="12"/>
  <c r="AU202" i="12"/>
  <c r="BF202" i="12"/>
  <c r="AX203" i="12"/>
  <c r="BM204" i="12"/>
  <c r="BF205" i="12"/>
  <c r="DP205" i="12"/>
  <c r="AX206" i="12"/>
  <c r="BA206" i="12"/>
  <c r="AM207" i="12"/>
  <c r="AM208" i="12"/>
  <c r="AX208" i="12"/>
  <c r="AU210" i="12"/>
  <c r="BF210" i="12"/>
  <c r="AU211" i="12"/>
  <c r="BM211" i="12"/>
  <c r="AU212" i="12"/>
  <c r="AU213" i="12"/>
  <c r="BS213" i="12"/>
  <c r="AM214" i="12"/>
  <c r="AX214" i="12"/>
  <c r="BF215" i="12"/>
  <c r="AM216" i="12"/>
  <c r="BS216" i="12"/>
  <c r="AX217" i="12"/>
  <c r="BM217" i="12"/>
  <c r="BS219" i="12"/>
  <c r="BF221" i="12"/>
  <c r="DP221" i="12"/>
  <c r="AU222" i="12"/>
  <c r="BF223" i="12"/>
  <c r="DP223" i="12"/>
  <c r="AU224" i="12"/>
  <c r="BM226" i="12"/>
  <c r="BA227" i="12"/>
  <c r="BF228" i="12"/>
  <c r="BA229" i="12"/>
  <c r="AM230" i="12"/>
  <c r="DP230" i="12"/>
  <c r="BM231" i="12"/>
  <c r="BF232" i="12"/>
  <c r="AU234" i="12"/>
  <c r="BM234" i="12"/>
  <c r="AM235" i="12"/>
  <c r="DP235" i="12"/>
  <c r="H236" i="12"/>
  <c r="BS238" i="12"/>
  <c r="AU239" i="12"/>
  <c r="BS239" i="12"/>
  <c r="AU240" i="12"/>
  <c r="AX241" i="12"/>
  <c r="DP242" i="12"/>
  <c r="AM243" i="12"/>
  <c r="CQ247" i="12"/>
  <c r="CV247" i="12"/>
  <c r="G244" i="12"/>
  <c r="P10" i="12"/>
  <c r="H5" i="12"/>
  <c r="BF5" i="12"/>
  <c r="H7" i="12"/>
  <c r="BS5" i="12"/>
  <c r="H15" i="12"/>
  <c r="R15" i="12"/>
  <c r="H16" i="12"/>
  <c r="R16" i="12"/>
  <c r="H17" i="12"/>
  <c r="H18" i="12"/>
  <c r="H19" i="12"/>
  <c r="N44" i="12"/>
  <c r="R44" i="12"/>
  <c r="P44" i="12"/>
  <c r="P8" i="12"/>
  <c r="H8" i="12"/>
  <c r="H9" i="12"/>
  <c r="DP5" i="12"/>
  <c r="N6" i="12"/>
  <c r="N7" i="12"/>
  <c r="N9" i="12"/>
  <c r="N10" i="12"/>
  <c r="N11" i="12"/>
  <c r="N12" i="12"/>
  <c r="N13" i="12"/>
  <c r="N14" i="12"/>
  <c r="P20" i="12"/>
  <c r="AM20" i="12"/>
  <c r="P21" i="12"/>
  <c r="AM21" i="12"/>
  <c r="P22" i="12"/>
  <c r="AM22" i="12"/>
  <c r="P23" i="12"/>
  <c r="AM23" i="12"/>
  <c r="R27" i="12"/>
  <c r="H27" i="12"/>
  <c r="P27" i="12"/>
  <c r="R28" i="12"/>
  <c r="P28" i="12"/>
  <c r="N29" i="12"/>
  <c r="N30" i="12"/>
  <c r="N45" i="12"/>
  <c r="H45" i="12"/>
  <c r="P45" i="12"/>
  <c r="N47" i="12"/>
  <c r="H47" i="12"/>
  <c r="P47" i="12"/>
  <c r="N49" i="12"/>
  <c r="H49" i="12"/>
  <c r="P49" i="12"/>
  <c r="H53" i="12"/>
  <c r="P53" i="12"/>
  <c r="N53" i="12"/>
  <c r="P6" i="12"/>
  <c r="P11" i="12"/>
  <c r="N15" i="12"/>
  <c r="N16" i="12"/>
  <c r="N17" i="12"/>
  <c r="N18" i="12"/>
  <c r="N19" i="12"/>
  <c r="BZ243" i="12"/>
  <c r="AG243" i="12"/>
  <c r="BZ242" i="12"/>
  <c r="AG242" i="12"/>
  <c r="BZ241" i="12"/>
  <c r="AG241" i="12"/>
  <c r="BZ240" i="12"/>
  <c r="AG240" i="12"/>
  <c r="BZ25" i="12"/>
  <c r="AG25" i="12"/>
  <c r="P30" i="12"/>
  <c r="R30" i="12"/>
  <c r="N42" i="12"/>
  <c r="R42" i="12"/>
  <c r="H42" i="12"/>
  <c r="P42" i="12"/>
  <c r="H52" i="12"/>
  <c r="P52" i="12"/>
  <c r="N52" i="12"/>
  <c r="H22" i="12"/>
  <c r="H23" i="12"/>
  <c r="DP23" i="12"/>
  <c r="H24" i="12"/>
  <c r="BZ24" i="12"/>
  <c r="G248" i="12"/>
  <c r="N26" i="12"/>
  <c r="R26" i="12"/>
  <c r="H26" i="12"/>
  <c r="G250" i="12"/>
  <c r="H29" i="12"/>
  <c r="P29" i="12"/>
  <c r="N43" i="12"/>
  <c r="R43" i="12"/>
  <c r="H43" i="12"/>
  <c r="P43" i="12"/>
  <c r="N46" i="12"/>
  <c r="H46" i="12"/>
  <c r="P46" i="12"/>
  <c r="N48" i="12"/>
  <c r="H48" i="12"/>
  <c r="P48" i="12"/>
  <c r="N50" i="12"/>
  <c r="H50" i="12"/>
  <c r="P50" i="12"/>
  <c r="H51" i="12"/>
  <c r="P51" i="12"/>
  <c r="N51" i="12"/>
  <c r="R55" i="12"/>
  <c r="R31" i="12"/>
  <c r="H32" i="12"/>
  <c r="H33" i="12"/>
  <c r="H34" i="12"/>
  <c r="R35" i="12"/>
  <c r="P40" i="12"/>
  <c r="P41" i="12"/>
  <c r="AU54" i="12"/>
  <c r="P55" i="12"/>
  <c r="R56" i="12"/>
  <c r="AM59" i="12"/>
  <c r="BS59" i="12"/>
  <c r="R61" i="12"/>
  <c r="R64" i="12"/>
  <c r="N64" i="12"/>
  <c r="AU64" i="12"/>
  <c r="BX74" i="12"/>
  <c r="P74" i="12"/>
  <c r="BX75" i="12"/>
  <c r="H74" i="12"/>
  <c r="R75" i="12"/>
  <c r="N78" i="12"/>
  <c r="R29" i="12"/>
  <c r="H40" i="12"/>
  <c r="R40" i="12"/>
  <c r="H41" i="12"/>
  <c r="R41" i="12"/>
  <c r="BF51" i="12"/>
  <c r="BF52" i="12"/>
  <c r="BF53" i="12"/>
  <c r="DP56" i="12"/>
  <c r="P57" i="12"/>
  <c r="BM57" i="12"/>
  <c r="C23" i="11" s="1"/>
  <c r="AM58" i="12"/>
  <c r="BS58" i="12"/>
  <c r="P59" i="12"/>
  <c r="AU59" i="12"/>
  <c r="R60" i="12"/>
  <c r="AM62" i="12"/>
  <c r="BS63" i="12"/>
  <c r="G246" i="12"/>
  <c r="R65" i="12"/>
  <c r="H65" i="12"/>
  <c r="N65" i="12"/>
  <c r="P68" i="12"/>
  <c r="N68" i="12"/>
  <c r="R68" i="12"/>
  <c r="H68" i="12"/>
  <c r="N69" i="12"/>
  <c r="DU70" i="12"/>
  <c r="AF70" i="12"/>
  <c r="R69" i="12"/>
  <c r="H69" i="12"/>
  <c r="DU69" i="12"/>
  <c r="AF69" i="12"/>
  <c r="P69" i="12"/>
  <c r="P73" i="12"/>
  <c r="P78" i="12"/>
  <c r="H87" i="12"/>
  <c r="P87" i="12"/>
  <c r="N87" i="12"/>
  <c r="N31" i="12"/>
  <c r="N32" i="12"/>
  <c r="N33" i="12"/>
  <c r="N34" i="12"/>
  <c r="N35" i="12"/>
  <c r="N36" i="12"/>
  <c r="N37" i="12"/>
  <c r="N38" i="12"/>
  <c r="N39" i="12"/>
  <c r="AX51" i="12"/>
  <c r="AX52" i="12"/>
  <c r="R57" i="12"/>
  <c r="R59" i="12"/>
  <c r="AM61" i="12"/>
  <c r="BS61" i="12"/>
  <c r="P62" i="12"/>
  <c r="AU62" i="12"/>
  <c r="AM63" i="12"/>
  <c r="BS64" i="12"/>
  <c r="R73" i="12"/>
  <c r="R78" i="12"/>
  <c r="R54" i="12"/>
  <c r="DP55" i="12"/>
  <c r="P56" i="12"/>
  <c r="DP57" i="12"/>
  <c r="C49" i="11" s="1"/>
  <c r="R58" i="12"/>
  <c r="AM60" i="12"/>
  <c r="BS60" i="12"/>
  <c r="P61" i="12"/>
  <c r="AU61" i="12"/>
  <c r="R62" i="12"/>
  <c r="R63" i="12"/>
  <c r="N63" i="12"/>
  <c r="AU63" i="12"/>
  <c r="P64" i="12"/>
  <c r="AM64" i="12"/>
  <c r="P65" i="12"/>
  <c r="DU67" i="12"/>
  <c r="AF67" i="12"/>
  <c r="DU66" i="12"/>
  <c r="AF66" i="12"/>
  <c r="P66" i="12"/>
  <c r="AV67" i="12"/>
  <c r="AU67" i="12" s="1"/>
  <c r="AV66" i="12"/>
  <c r="AU66" i="12" s="1"/>
  <c r="N66" i="12"/>
  <c r="BG67" i="12"/>
  <c r="BF67" i="12" s="1"/>
  <c r="BG66" i="12"/>
  <c r="BF66" i="12" s="1"/>
  <c r="R66" i="12"/>
  <c r="H66" i="12"/>
  <c r="P67" i="12"/>
  <c r="N67" i="12"/>
  <c r="R67" i="12"/>
  <c r="H67" i="12"/>
  <c r="P75" i="12"/>
  <c r="N70" i="12"/>
  <c r="P72" i="12"/>
  <c r="DP72" i="12"/>
  <c r="M73" i="12"/>
  <c r="AF73" i="12"/>
  <c r="DU73" i="12"/>
  <c r="N74" i="12"/>
  <c r="R74" i="12"/>
  <c r="H77" i="12"/>
  <c r="BG77" i="12"/>
  <c r="BF77" i="12" s="1"/>
  <c r="BG78" i="12"/>
  <c r="BF78" i="12" s="1"/>
  <c r="H79" i="12"/>
  <c r="R80" i="12"/>
  <c r="H81" i="12"/>
  <c r="H82" i="12"/>
  <c r="H83" i="12"/>
  <c r="R83" i="12"/>
  <c r="R84" i="12"/>
  <c r="H85" i="12"/>
  <c r="H86" i="12"/>
  <c r="AF96" i="12"/>
  <c r="R95" i="12"/>
  <c r="H95" i="12"/>
  <c r="AF95" i="12"/>
  <c r="P95" i="12"/>
  <c r="N95" i="12"/>
  <c r="N103" i="12"/>
  <c r="AV117" i="12"/>
  <c r="AU117" i="12" s="1"/>
  <c r="AV116" i="12"/>
  <c r="AU116" i="12" s="1"/>
  <c r="P116" i="12"/>
  <c r="H116" i="12"/>
  <c r="DU117" i="12"/>
  <c r="AF117" i="12"/>
  <c r="DU116" i="12"/>
  <c r="AF116" i="12"/>
  <c r="H120" i="12"/>
  <c r="P120" i="12"/>
  <c r="N120" i="12"/>
  <c r="N71" i="12"/>
  <c r="AF72" i="12"/>
  <c r="DU72" i="12"/>
  <c r="BV73" i="12"/>
  <c r="N76" i="12"/>
  <c r="P77" i="12"/>
  <c r="AN77" i="12"/>
  <c r="AM77" i="12" s="1"/>
  <c r="DP77" i="12"/>
  <c r="AN78" i="12"/>
  <c r="AM78" i="12" s="1"/>
  <c r="BF87" i="12"/>
  <c r="P88" i="12"/>
  <c r="AF88" i="12"/>
  <c r="DU88" i="12"/>
  <c r="M89" i="12"/>
  <c r="AF89" i="12"/>
  <c r="DU89" i="12"/>
  <c r="BM90" i="12"/>
  <c r="H92" i="12"/>
  <c r="P92" i="12"/>
  <c r="N92" i="12"/>
  <c r="N98" i="12"/>
  <c r="R98" i="12"/>
  <c r="H98" i="12"/>
  <c r="P98" i="12"/>
  <c r="R101" i="12"/>
  <c r="P101" i="12"/>
  <c r="N101" i="12"/>
  <c r="P104" i="12"/>
  <c r="H115" i="12"/>
  <c r="AF115" i="12"/>
  <c r="BH114" i="12"/>
  <c r="BH115" i="12"/>
  <c r="BF115" i="12" s="1"/>
  <c r="N72" i="12"/>
  <c r="R72" i="12"/>
  <c r="DP74" i="12"/>
  <c r="M75" i="12"/>
  <c r="AF77" i="12"/>
  <c r="DU77" i="12"/>
  <c r="AF78" i="12"/>
  <c r="DU78" i="12"/>
  <c r="N79" i="12"/>
  <c r="N80" i="12"/>
  <c r="N81" i="12"/>
  <c r="N82" i="12"/>
  <c r="N83" i="12"/>
  <c r="N84" i="12"/>
  <c r="N85" i="12"/>
  <c r="N86" i="12"/>
  <c r="AX87" i="12"/>
  <c r="AM88" i="12"/>
  <c r="P89" i="12"/>
  <c r="H93" i="12"/>
  <c r="P93" i="12"/>
  <c r="N93" i="12"/>
  <c r="N99" i="12"/>
  <c r="R99" i="12"/>
  <c r="H99" i="12"/>
  <c r="P99" i="12"/>
  <c r="DU104" i="12"/>
  <c r="AF104" i="12"/>
  <c r="P103" i="12"/>
  <c r="H103" i="12"/>
  <c r="BV103" i="12"/>
  <c r="BV104" i="12"/>
  <c r="DU103" i="12"/>
  <c r="AF103" i="12"/>
  <c r="N116" i="12"/>
  <c r="R118" i="12"/>
  <c r="H118" i="12"/>
  <c r="P118" i="12"/>
  <c r="N118" i="12"/>
  <c r="H119" i="12"/>
  <c r="P119" i="12"/>
  <c r="N119" i="12"/>
  <c r="H121" i="12"/>
  <c r="P121" i="12"/>
  <c r="N121" i="12"/>
  <c r="N77" i="12"/>
  <c r="N88" i="12"/>
  <c r="R88" i="12"/>
  <c r="BS88" i="12"/>
  <c r="Q89" i="12"/>
  <c r="BS89" i="12"/>
  <c r="R90" i="12"/>
  <c r="H90" i="12"/>
  <c r="P90" i="12"/>
  <c r="H94" i="12"/>
  <c r="P94" i="12"/>
  <c r="N94" i="12"/>
  <c r="N100" i="12"/>
  <c r="R100" i="12"/>
  <c r="H100" i="12"/>
  <c r="P100" i="12"/>
  <c r="H102" i="12"/>
  <c r="P102" i="12"/>
  <c r="N102" i="12"/>
  <c r="P115" i="12"/>
  <c r="N115" i="12"/>
  <c r="P117" i="12"/>
  <c r="H123" i="12"/>
  <c r="P123" i="12"/>
  <c r="N123" i="12"/>
  <c r="H96" i="12"/>
  <c r="R96" i="12"/>
  <c r="H97" i="12"/>
  <c r="R97" i="12"/>
  <c r="N104" i="12"/>
  <c r="R104" i="12"/>
  <c r="H105" i="12"/>
  <c r="H106" i="12"/>
  <c r="H107" i="12"/>
  <c r="H108" i="12"/>
  <c r="H109" i="12"/>
  <c r="M117" i="12"/>
  <c r="Q117" i="12"/>
  <c r="DQ117" i="12"/>
  <c r="DP117" i="12" s="1"/>
  <c r="P122" i="12"/>
  <c r="P124" i="12"/>
  <c r="R126" i="12"/>
  <c r="H134" i="12"/>
  <c r="N134" i="12"/>
  <c r="R135" i="12"/>
  <c r="H135" i="12"/>
  <c r="N135" i="12"/>
  <c r="N91" i="12"/>
  <c r="R103" i="12"/>
  <c r="P114" i="12"/>
  <c r="DU115" i="12"/>
  <c r="R116" i="12"/>
  <c r="H122" i="12"/>
  <c r="H124" i="12"/>
  <c r="H125" i="12"/>
  <c r="AM127" i="12"/>
  <c r="AM128" i="12"/>
  <c r="AM129" i="12"/>
  <c r="AM131" i="12"/>
  <c r="AU133" i="12"/>
  <c r="BF134" i="12"/>
  <c r="BS134" i="12"/>
  <c r="R140" i="12"/>
  <c r="H140" i="12"/>
  <c r="P140" i="12"/>
  <c r="N140" i="12"/>
  <c r="N96" i="12"/>
  <c r="N97" i="12"/>
  <c r="N105" i="12"/>
  <c r="N106" i="12"/>
  <c r="N107" i="12"/>
  <c r="N108" i="12"/>
  <c r="N109" i="12"/>
  <c r="N110" i="12"/>
  <c r="N111" i="12"/>
  <c r="N112" i="12"/>
  <c r="N113" i="12"/>
  <c r="AF114" i="12"/>
  <c r="DU114" i="12"/>
  <c r="R115" i="12"/>
  <c r="AU122" i="12"/>
  <c r="AM123" i="12"/>
  <c r="AU124" i="12"/>
  <c r="AM125" i="12"/>
  <c r="BS125" i="12"/>
  <c r="AM126" i="12"/>
  <c r="BS126" i="12"/>
  <c r="P127" i="12"/>
  <c r="AU127" i="12"/>
  <c r="P128" i="12"/>
  <c r="AU128" i="12"/>
  <c r="P129" i="12"/>
  <c r="AU129" i="12"/>
  <c r="P130" i="12"/>
  <c r="AM132" i="12"/>
  <c r="R133" i="12"/>
  <c r="H133" i="12"/>
  <c r="N133" i="12"/>
  <c r="BF133" i="12"/>
  <c r="BS133" i="12"/>
  <c r="P134" i="12"/>
  <c r="N114" i="12"/>
  <c r="BS121" i="12"/>
  <c r="BS123" i="12"/>
  <c r="P125" i="12"/>
  <c r="AU125" i="12"/>
  <c r="P126" i="12"/>
  <c r="AU126" i="12"/>
  <c r="P131" i="12"/>
  <c r="P132" i="12"/>
  <c r="N136" i="12"/>
  <c r="N137" i="12"/>
  <c r="N138" i="12"/>
  <c r="N139" i="12"/>
  <c r="AU139" i="12"/>
  <c r="AU140" i="12"/>
  <c r="BS141" i="12"/>
  <c r="P142" i="12"/>
  <c r="AM142" i="12"/>
  <c r="DP142" i="12"/>
  <c r="AM144" i="12"/>
  <c r="BS144" i="12"/>
  <c r="P145" i="12"/>
  <c r="AU145" i="12"/>
  <c r="R146" i="12"/>
  <c r="DP150" i="12"/>
  <c r="P136" i="12"/>
  <c r="P137" i="12"/>
  <c r="P138" i="12"/>
  <c r="P139" i="12"/>
  <c r="R145" i="12"/>
  <c r="H137" i="12"/>
  <c r="H139" i="12"/>
  <c r="AM139" i="12"/>
  <c r="AM140" i="12"/>
  <c r="N141" i="12"/>
  <c r="AU142" i="12"/>
  <c r="P143" i="12"/>
  <c r="AU143" i="12"/>
  <c r="R144" i="12"/>
  <c r="DP144" i="12"/>
  <c r="H145" i="12"/>
  <c r="AM146" i="12"/>
  <c r="AM147" i="12"/>
  <c r="DP148" i="12"/>
  <c r="AM152" i="12"/>
  <c r="DP152" i="12"/>
  <c r="BS139" i="12"/>
  <c r="BS140" i="12"/>
  <c r="AM141" i="12"/>
  <c r="R143" i="12"/>
  <c r="DP143" i="12"/>
  <c r="AM145" i="12"/>
  <c r="BS145" i="12"/>
  <c r="P146" i="12"/>
  <c r="AM148" i="12"/>
  <c r="AM149" i="12"/>
  <c r="DP149" i="12"/>
  <c r="AM153" i="12"/>
  <c r="DP153" i="12"/>
  <c r="P154" i="12"/>
  <c r="N154" i="12"/>
  <c r="AM154" i="12"/>
  <c r="N157" i="12"/>
  <c r="R157" i="12"/>
  <c r="H157" i="12"/>
  <c r="N159" i="12"/>
  <c r="H159" i="12"/>
  <c r="N160" i="12"/>
  <c r="H160" i="12"/>
  <c r="N161" i="12"/>
  <c r="H161" i="12"/>
  <c r="DP154" i="12"/>
  <c r="P155" i="12"/>
  <c r="BF157" i="12"/>
  <c r="N158" i="12"/>
  <c r="R158" i="12"/>
  <c r="H158" i="12"/>
  <c r="BF159" i="12"/>
  <c r="BF160" i="12"/>
  <c r="P175" i="12"/>
  <c r="N175" i="12"/>
  <c r="R175" i="12"/>
  <c r="H175" i="12"/>
  <c r="N147" i="12"/>
  <c r="N148" i="12"/>
  <c r="N149" i="12"/>
  <c r="N150" i="12"/>
  <c r="N151" i="12"/>
  <c r="N152" i="12"/>
  <c r="N153" i="12"/>
  <c r="N156" i="12"/>
  <c r="H156" i="12"/>
  <c r="DP156" i="12"/>
  <c r="P157" i="12"/>
  <c r="BF158" i="12"/>
  <c r="P159" i="12"/>
  <c r="P160" i="12"/>
  <c r="P161" i="12"/>
  <c r="P173" i="12"/>
  <c r="N173" i="12"/>
  <c r="H155" i="12"/>
  <c r="R162" i="12"/>
  <c r="H163" i="12"/>
  <c r="H164" i="12"/>
  <c r="H165" i="12"/>
  <c r="H166" i="12"/>
  <c r="H167" i="12"/>
  <c r="H168" i="12"/>
  <c r="R169" i="12"/>
  <c r="H170" i="12"/>
  <c r="R170" i="12"/>
  <c r="H171" i="12"/>
  <c r="R171" i="12"/>
  <c r="R172" i="12"/>
  <c r="BS173" i="12"/>
  <c r="N174" i="12"/>
  <c r="P177" i="12"/>
  <c r="N178" i="12"/>
  <c r="R178" i="12"/>
  <c r="P179" i="12"/>
  <c r="N190" i="12"/>
  <c r="R190" i="12"/>
  <c r="H190" i="12"/>
  <c r="P190" i="12"/>
  <c r="N162" i="12"/>
  <c r="N163" i="12"/>
  <c r="N164" i="12"/>
  <c r="N165" i="12"/>
  <c r="N166" i="12"/>
  <c r="N167" i="12"/>
  <c r="N168" i="12"/>
  <c r="N169" i="12"/>
  <c r="N170" i="12"/>
  <c r="N171" i="12"/>
  <c r="N172" i="12"/>
  <c r="N176" i="12"/>
  <c r="DP177" i="12"/>
  <c r="AM178" i="12"/>
  <c r="AM173" i="12"/>
  <c r="AU174" i="12"/>
  <c r="AM175" i="12"/>
  <c r="AM176" i="12"/>
  <c r="N177" i="12"/>
  <c r="N179" i="12"/>
  <c r="R179" i="12"/>
  <c r="BA179" i="12"/>
  <c r="DP180" i="12"/>
  <c r="N181" i="12"/>
  <c r="P181" i="12"/>
  <c r="AM181" i="12"/>
  <c r="R182" i="12"/>
  <c r="N182" i="12"/>
  <c r="R186" i="12"/>
  <c r="P186" i="12"/>
  <c r="N186" i="12"/>
  <c r="R180" i="12"/>
  <c r="N183" i="12"/>
  <c r="N184" i="12"/>
  <c r="N185" i="12"/>
  <c r="H187" i="12"/>
  <c r="R187" i="12"/>
  <c r="H188" i="12"/>
  <c r="R188" i="12"/>
  <c r="H189" i="12"/>
  <c r="R189" i="12"/>
  <c r="BA190" i="12"/>
  <c r="R191" i="12"/>
  <c r="AM193" i="12"/>
  <c r="P184" i="12"/>
  <c r="P185" i="12"/>
  <c r="R195" i="12"/>
  <c r="H195" i="12"/>
  <c r="P195" i="12"/>
  <c r="N195" i="12"/>
  <c r="H201" i="12"/>
  <c r="P201" i="12"/>
  <c r="N201" i="12"/>
  <c r="N180" i="12"/>
  <c r="H184" i="12"/>
  <c r="H185" i="12"/>
  <c r="N187" i="12"/>
  <c r="N188" i="12"/>
  <c r="N189" i="12"/>
  <c r="H200" i="12"/>
  <c r="P200" i="12"/>
  <c r="N200" i="12"/>
  <c r="DP191" i="12"/>
  <c r="DP192" i="12"/>
  <c r="H199" i="12"/>
  <c r="P199" i="12"/>
  <c r="N199" i="12"/>
  <c r="P193" i="12"/>
  <c r="N194" i="12"/>
  <c r="H196" i="12"/>
  <c r="R196" i="12"/>
  <c r="P197" i="12"/>
  <c r="N198" i="12"/>
  <c r="AX199" i="12"/>
  <c r="AX200" i="12"/>
  <c r="AX201" i="12"/>
  <c r="H203" i="12"/>
  <c r="P203" i="12"/>
  <c r="N203" i="12"/>
  <c r="H205" i="12"/>
  <c r="P205" i="12"/>
  <c r="N205" i="12"/>
  <c r="N206" i="12"/>
  <c r="N209" i="12"/>
  <c r="R209" i="12"/>
  <c r="P209" i="12"/>
  <c r="P194" i="12"/>
  <c r="P198" i="12"/>
  <c r="BA202" i="12"/>
  <c r="P207" i="12"/>
  <c r="N210" i="12"/>
  <c r="H210" i="12"/>
  <c r="P210" i="12"/>
  <c r="N211" i="12"/>
  <c r="H211" i="12"/>
  <c r="P211" i="12"/>
  <c r="H212" i="12"/>
  <c r="N212" i="12"/>
  <c r="P212" i="12"/>
  <c r="N192" i="12"/>
  <c r="H194" i="12"/>
  <c r="N196" i="12"/>
  <c r="H202" i="12"/>
  <c r="P202" i="12"/>
  <c r="H204" i="12"/>
  <c r="P204" i="12"/>
  <c r="N204" i="12"/>
  <c r="DU207" i="12"/>
  <c r="AF207" i="12"/>
  <c r="P206" i="12"/>
  <c r="BW206" i="12"/>
  <c r="H206" i="12"/>
  <c r="BW207" i="12"/>
  <c r="DU206" i="12"/>
  <c r="AF206" i="12"/>
  <c r="N208" i="12"/>
  <c r="H208" i="12"/>
  <c r="P208" i="12"/>
  <c r="BF199" i="12"/>
  <c r="BF200" i="12"/>
  <c r="BF201" i="12"/>
  <c r="N207" i="12"/>
  <c r="R207" i="12"/>
  <c r="H215" i="12"/>
  <c r="P215" i="12"/>
  <c r="N215" i="12"/>
  <c r="R206" i="12"/>
  <c r="BS211" i="12"/>
  <c r="BS212" i="12"/>
  <c r="R220" i="12"/>
  <c r="P220" i="12"/>
  <c r="N220" i="12"/>
  <c r="N213" i="12"/>
  <c r="H214" i="12"/>
  <c r="P214" i="12"/>
  <c r="N214" i="12"/>
  <c r="H216" i="12"/>
  <c r="P216" i="12"/>
  <c r="N216" i="12"/>
  <c r="P213" i="12"/>
  <c r="H217" i="12"/>
  <c r="P217" i="12"/>
  <c r="N217" i="12"/>
  <c r="N221" i="12"/>
  <c r="R221" i="12"/>
  <c r="AU221" i="12"/>
  <c r="BF222" i="12"/>
  <c r="AM223" i="12"/>
  <c r="AM218" i="12"/>
  <c r="BF218" i="12"/>
  <c r="AU220" i="12"/>
  <c r="N223" i="12"/>
  <c r="R223" i="12"/>
  <c r="N218" i="12"/>
  <c r="R219" i="12"/>
  <c r="H219" i="12"/>
  <c r="AM219" i="12"/>
  <c r="BF219" i="12"/>
  <c r="AU218" i="12"/>
  <c r="AM220" i="12"/>
  <c r="BF220" i="12"/>
  <c r="P221" i="12"/>
  <c r="AM221" i="12"/>
  <c r="N222" i="12"/>
  <c r="R222" i="12"/>
  <c r="H222" i="12"/>
  <c r="BS222" i="12"/>
  <c r="R226" i="12"/>
  <c r="P226" i="12"/>
  <c r="N226" i="12"/>
  <c r="R227" i="12"/>
  <c r="P227" i="12"/>
  <c r="N227" i="12"/>
  <c r="P224" i="12"/>
  <c r="P225" i="12"/>
  <c r="G247" i="12"/>
  <c r="H228" i="12"/>
  <c r="P228" i="12"/>
  <c r="N228" i="12"/>
  <c r="P232" i="12"/>
  <c r="N232" i="12"/>
  <c r="H232" i="12"/>
  <c r="H224" i="12"/>
  <c r="R225" i="12"/>
  <c r="AM226" i="12"/>
  <c r="BS226" i="12"/>
  <c r="AM227" i="12"/>
  <c r="BF227" i="12"/>
  <c r="H229" i="12"/>
  <c r="P229" i="12"/>
  <c r="N229" i="12"/>
  <c r="P230" i="12"/>
  <c r="N231" i="12"/>
  <c r="R230" i="12"/>
  <c r="P231" i="12"/>
  <c r="H233" i="12"/>
  <c r="R237" i="12"/>
  <c r="P237" i="12"/>
  <c r="N237" i="12"/>
  <c r="AM233" i="12"/>
  <c r="BS233" i="12"/>
  <c r="AM234" i="12"/>
  <c r="AU231" i="12"/>
  <c r="AM232" i="12"/>
  <c r="P233" i="12"/>
  <c r="AU233" i="12"/>
  <c r="P234" i="12"/>
  <c r="H238" i="12"/>
  <c r="P238" i="12"/>
  <c r="N238" i="12"/>
  <c r="N235" i="12"/>
  <c r="N236" i="12"/>
  <c r="BF237" i="12"/>
  <c r="BF238" i="12"/>
  <c r="P239" i="12"/>
  <c r="BF239" i="12"/>
  <c r="BF240" i="12"/>
  <c r="AX237" i="12"/>
  <c r="BA240" i="12"/>
  <c r="BF241" i="12"/>
  <c r="AM239" i="12"/>
  <c r="AX239" i="12"/>
  <c r="AX240" i="12"/>
  <c r="N243" i="12"/>
  <c r="H243" i="12"/>
  <c r="CF241" i="12"/>
  <c r="DS247" i="12"/>
  <c r="DD241" i="12"/>
  <c r="AJ242" i="12"/>
  <c r="CF242" i="12"/>
  <c r="CV242" i="12"/>
  <c r="P243" i="12"/>
  <c r="AJ243" i="12"/>
  <c r="CF243" i="12"/>
  <c r="CV243" i="12"/>
  <c r="AR247" i="12"/>
  <c r="DB247" i="12"/>
  <c r="DF247" i="12"/>
  <c r="DP241" i="12"/>
  <c r="P242" i="12"/>
  <c r="CD247" i="12"/>
  <c r="CL247" i="12"/>
  <c r="DV247" i="12"/>
  <c r="EB243" i="12"/>
  <c r="EB242" i="12"/>
  <c r="C15" i="11" l="1"/>
  <c r="C18" i="11"/>
  <c r="C22" i="11"/>
  <c r="C27" i="11"/>
  <c r="DG19" i="12"/>
  <c r="DG35" i="12"/>
  <c r="DG51" i="12"/>
  <c r="DG67" i="12"/>
  <c r="DG83" i="12"/>
  <c r="DG99" i="12"/>
  <c r="DG115" i="12"/>
  <c r="DG131" i="12"/>
  <c r="DG147" i="12"/>
  <c r="DG163" i="12"/>
  <c r="DG179" i="12"/>
  <c r="DG195" i="12"/>
  <c r="DG211" i="12"/>
  <c r="DG227" i="12"/>
  <c r="DG243" i="12"/>
  <c r="DG20" i="12"/>
  <c r="DG36" i="12"/>
  <c r="DG52" i="12"/>
  <c r="DG68" i="12"/>
  <c r="DG84" i="12"/>
  <c r="DG100" i="12"/>
  <c r="DG229" i="12"/>
  <c r="DG208" i="12"/>
  <c r="DG186" i="12"/>
  <c r="DG165" i="12"/>
  <c r="DG144" i="12"/>
  <c r="DG122" i="12"/>
  <c r="DG98" i="12"/>
  <c r="DG66" i="12"/>
  <c r="DG34" i="12"/>
  <c r="DG5" i="12"/>
  <c r="DG222" i="12"/>
  <c r="DG201" i="12"/>
  <c r="DG180" i="12"/>
  <c r="DG158" i="12"/>
  <c r="DG137" i="12"/>
  <c r="DG116" i="12"/>
  <c r="DG89" i="12"/>
  <c r="DG57" i="12"/>
  <c r="DG25" i="12"/>
  <c r="DG237" i="12"/>
  <c r="DG216" i="12"/>
  <c r="DG194" i="12"/>
  <c r="DG173" i="12"/>
  <c r="DG152" i="12"/>
  <c r="DG130" i="12"/>
  <c r="DG109" i="12"/>
  <c r="DG78" i="12"/>
  <c r="DG46" i="12"/>
  <c r="DG14" i="12"/>
  <c r="DG230" i="12"/>
  <c r="DG209" i="12"/>
  <c r="DG188" i="12"/>
  <c r="DG166" i="12"/>
  <c r="DG145" i="12"/>
  <c r="DG124" i="12"/>
  <c r="DG101" i="12"/>
  <c r="DG69" i="12"/>
  <c r="DG37" i="12"/>
  <c r="DG7" i="12"/>
  <c r="DG23" i="12"/>
  <c r="DG39" i="12"/>
  <c r="DG55" i="12"/>
  <c r="DG71" i="12"/>
  <c r="DG87" i="12"/>
  <c r="DG103" i="12"/>
  <c r="DG119" i="12"/>
  <c r="DG135" i="12"/>
  <c r="DG151" i="12"/>
  <c r="DG167" i="12"/>
  <c r="DG183" i="12"/>
  <c r="DG199" i="12"/>
  <c r="DG215" i="12"/>
  <c r="DG231" i="12"/>
  <c r="DG8" i="12"/>
  <c r="DG24" i="12"/>
  <c r="DG40" i="12"/>
  <c r="DG56" i="12"/>
  <c r="DG72" i="12"/>
  <c r="DG88" i="12"/>
  <c r="DG104" i="12"/>
  <c r="DG224" i="12"/>
  <c r="DG202" i="12"/>
  <c r="DG181" i="12"/>
  <c r="DG160" i="12"/>
  <c r="DG138" i="12"/>
  <c r="DG117" i="12"/>
  <c r="DG90" i="12"/>
  <c r="DG58" i="12"/>
  <c r="DG26" i="12"/>
  <c r="DG238" i="12"/>
  <c r="DG217" i="12"/>
  <c r="DG196" i="12"/>
  <c r="DG174" i="12"/>
  <c r="DG153" i="12"/>
  <c r="DG132" i="12"/>
  <c r="DG110" i="12"/>
  <c r="DG81" i="12"/>
  <c r="DG49" i="12"/>
  <c r="DG17" i="12"/>
  <c r="DG232" i="12"/>
  <c r="DG210" i="12"/>
  <c r="DG189" i="12"/>
  <c r="DG168" i="12"/>
  <c r="DG146" i="12"/>
  <c r="DG125" i="12"/>
  <c r="DG102" i="12"/>
  <c r="DG70" i="12"/>
  <c r="DG38" i="12"/>
  <c r="DG6" i="12"/>
  <c r="DG225" i="12"/>
  <c r="DG204" i="12"/>
  <c r="DG182" i="12"/>
  <c r="DG161" i="12"/>
  <c r="DG140" i="12"/>
  <c r="DG118" i="12"/>
  <c r="DG93" i="12"/>
  <c r="DG61" i="12"/>
  <c r="DG29" i="12"/>
  <c r="DG11" i="12"/>
  <c r="DG27" i="12"/>
  <c r="DG43" i="12"/>
  <c r="DG59" i="12"/>
  <c r="DG75" i="12"/>
  <c r="DG91" i="12"/>
  <c r="DG107" i="12"/>
  <c r="DG123" i="12"/>
  <c r="DG139" i="12"/>
  <c r="DG155" i="12"/>
  <c r="DG171" i="12"/>
  <c r="DG187" i="12"/>
  <c r="DG203" i="12"/>
  <c r="DG219" i="12"/>
  <c r="DG235" i="12"/>
  <c r="DG12" i="12"/>
  <c r="DG28" i="12"/>
  <c r="DG44" i="12"/>
  <c r="DG60" i="12"/>
  <c r="DG76" i="12"/>
  <c r="DG92" i="12"/>
  <c r="DG240" i="12"/>
  <c r="DG218" i="12"/>
  <c r="DG197" i="12"/>
  <c r="DG176" i="12"/>
  <c r="DG154" i="12"/>
  <c r="DG133" i="12"/>
  <c r="DG112" i="12"/>
  <c r="DG82" i="12"/>
  <c r="DG50" i="12"/>
  <c r="DG18" i="12"/>
  <c r="DG233" i="12"/>
  <c r="DG212" i="12"/>
  <c r="DG190" i="12"/>
  <c r="DG169" i="12"/>
  <c r="DG148" i="12"/>
  <c r="DG126" i="12"/>
  <c r="DG105" i="12"/>
  <c r="DG73" i="12"/>
  <c r="DG41" i="12"/>
  <c r="DG9" i="12"/>
  <c r="DG226" i="12"/>
  <c r="DG205" i="12"/>
  <c r="DG184" i="12"/>
  <c r="DG162" i="12"/>
  <c r="DG141" i="12"/>
  <c r="DG120" i="12"/>
  <c r="DG94" i="12"/>
  <c r="DG62" i="12"/>
  <c r="DG30" i="12"/>
  <c r="DG241" i="12"/>
  <c r="DG220" i="12"/>
  <c r="DG198" i="12"/>
  <c r="DG177" i="12"/>
  <c r="DG156" i="12"/>
  <c r="DG134" i="12"/>
  <c r="DG113" i="12"/>
  <c r="DG85" i="12"/>
  <c r="DG53" i="12"/>
  <c r="DG21" i="12"/>
  <c r="DG15" i="12"/>
  <c r="DG31" i="12"/>
  <c r="DG47" i="12"/>
  <c r="DG63" i="12"/>
  <c r="DG79" i="12"/>
  <c r="DG95" i="12"/>
  <c r="DG111" i="12"/>
  <c r="DG127" i="12"/>
  <c r="DG143" i="12"/>
  <c r="DG159" i="12"/>
  <c r="DG175" i="12"/>
  <c r="DG191" i="12"/>
  <c r="DG207" i="12"/>
  <c r="DG223" i="12"/>
  <c r="DG239" i="12"/>
  <c r="DG16" i="12"/>
  <c r="DG32" i="12"/>
  <c r="DG48" i="12"/>
  <c r="DG64" i="12"/>
  <c r="DG80" i="12"/>
  <c r="DG96" i="12"/>
  <c r="DG234" i="12"/>
  <c r="DG213" i="12"/>
  <c r="DG192" i="12"/>
  <c r="DG170" i="12"/>
  <c r="DG149" i="12"/>
  <c r="DG128" i="12"/>
  <c r="DG106" i="12"/>
  <c r="DG74" i="12"/>
  <c r="DG42" i="12"/>
  <c r="DG10" i="12"/>
  <c r="DG228" i="12"/>
  <c r="DG206" i="12"/>
  <c r="DG185" i="12"/>
  <c r="DG164" i="12"/>
  <c r="DG142" i="12"/>
  <c r="DG121" i="12"/>
  <c r="DG97" i="12"/>
  <c r="DG65" i="12"/>
  <c r="DG33" i="12"/>
  <c r="DG242" i="12"/>
  <c r="DG221" i="12"/>
  <c r="DG200" i="12"/>
  <c r="DG178" i="12"/>
  <c r="DG157" i="12"/>
  <c r="DG136" i="12"/>
  <c r="DG114" i="12"/>
  <c r="DG86" i="12"/>
  <c r="DG54" i="12"/>
  <c r="DG22" i="12"/>
  <c r="DG236" i="12"/>
  <c r="DG214" i="12"/>
  <c r="DG193" i="12"/>
  <c r="DG172" i="12"/>
  <c r="DG150" i="12"/>
  <c r="DG129" i="12"/>
  <c r="DG108" i="12"/>
  <c r="DG77" i="12"/>
  <c r="DG45" i="12"/>
  <c r="DG13" i="12"/>
  <c r="CY5" i="12"/>
  <c r="AL10" i="12"/>
  <c r="AL21" i="12"/>
  <c r="AL31" i="12"/>
  <c r="AL42" i="12"/>
  <c r="AL53" i="12"/>
  <c r="AL63" i="12"/>
  <c r="AL74" i="12"/>
  <c r="AL85" i="12"/>
  <c r="AL95" i="12"/>
  <c r="AL106" i="12"/>
  <c r="AL114" i="12"/>
  <c r="AL122" i="12"/>
  <c r="AL130" i="12"/>
  <c r="AL138" i="12"/>
  <c r="AL146" i="12"/>
  <c r="AL154" i="12"/>
  <c r="AL162" i="12"/>
  <c r="AL170" i="12"/>
  <c r="AL178" i="12"/>
  <c r="AL186" i="12"/>
  <c r="AL194" i="12"/>
  <c r="AL202" i="12"/>
  <c r="AL208" i="12"/>
  <c r="AL214" i="12"/>
  <c r="AL219" i="12"/>
  <c r="AL224" i="12"/>
  <c r="AL230" i="12"/>
  <c r="AL235" i="12"/>
  <c r="AL240" i="12"/>
  <c r="AL34" i="12"/>
  <c r="AL66" i="12"/>
  <c r="AL87" i="12"/>
  <c r="AL116" i="12"/>
  <c r="AL132" i="12"/>
  <c r="AL148" i="12"/>
  <c r="AL164" i="12"/>
  <c r="AL188" i="12"/>
  <c r="AL204" i="12"/>
  <c r="AL215" i="12"/>
  <c r="AL231" i="12"/>
  <c r="AL242" i="12"/>
  <c r="AL23" i="12"/>
  <c r="AL98" i="12"/>
  <c r="AL180" i="12"/>
  <c r="AL226" i="12"/>
  <c r="AL243" i="12"/>
  <c r="AL15" i="12"/>
  <c r="AL26" i="12"/>
  <c r="AL37" i="12"/>
  <c r="AL47" i="12"/>
  <c r="AL58" i="12"/>
  <c r="AL69" i="12"/>
  <c r="AL79" i="12"/>
  <c r="AL90" i="12"/>
  <c r="AL101" i="12"/>
  <c r="AL110" i="12"/>
  <c r="AL118" i="12"/>
  <c r="AL126" i="12"/>
  <c r="AL134" i="12"/>
  <c r="AL142" i="12"/>
  <c r="AL150" i="12"/>
  <c r="AL158" i="12"/>
  <c r="AL166" i="12"/>
  <c r="AL174" i="12"/>
  <c r="AL182" i="12"/>
  <c r="AL190" i="12"/>
  <c r="AL198" i="12"/>
  <c r="AL206" i="12"/>
  <c r="AL211" i="12"/>
  <c r="AL216" i="12"/>
  <c r="AL222" i="12"/>
  <c r="AL227" i="12"/>
  <c r="AL232" i="12"/>
  <c r="AL238" i="12"/>
  <c r="AL5" i="12"/>
  <c r="AL7" i="12"/>
  <c r="AL18" i="12"/>
  <c r="AL29" i="12"/>
  <c r="AL39" i="12"/>
  <c r="AL50" i="12"/>
  <c r="AL61" i="12"/>
  <c r="AL71" i="12"/>
  <c r="AL82" i="12"/>
  <c r="AL93" i="12"/>
  <c r="AL103" i="12"/>
  <c r="AL112" i="12"/>
  <c r="AL120" i="12"/>
  <c r="AL128" i="12"/>
  <c r="AL136" i="12"/>
  <c r="AL144" i="12"/>
  <c r="AL152" i="12"/>
  <c r="AL160" i="12"/>
  <c r="AL168" i="12"/>
  <c r="AL176" i="12"/>
  <c r="AL184" i="12"/>
  <c r="AL192" i="12"/>
  <c r="AL200" i="12"/>
  <c r="AL207" i="12"/>
  <c r="AL212" i="12"/>
  <c r="AL218" i="12"/>
  <c r="AL223" i="12"/>
  <c r="AL228" i="12"/>
  <c r="AL234" i="12"/>
  <c r="AL239" i="12"/>
  <c r="AL13" i="12"/>
  <c r="AL45" i="12"/>
  <c r="AL55" i="12"/>
  <c r="AL77" i="12"/>
  <c r="AL108" i="12"/>
  <c r="AL124" i="12"/>
  <c r="AL140" i="12"/>
  <c r="AL156" i="12"/>
  <c r="AL172" i="12"/>
  <c r="AL196" i="12"/>
  <c r="AL210" i="12"/>
  <c r="AL220" i="12"/>
  <c r="AL236" i="12"/>
  <c r="AL8" i="12"/>
  <c r="AL24" i="12"/>
  <c r="AL40" i="12"/>
  <c r="AL56" i="12"/>
  <c r="AL72" i="12"/>
  <c r="AL88" i="12"/>
  <c r="AL104" i="12"/>
  <c r="AL229" i="12"/>
  <c r="AL213" i="12"/>
  <c r="AL197" i="12"/>
  <c r="AL181" i="12"/>
  <c r="AL165" i="12"/>
  <c r="AL149" i="12"/>
  <c r="AL133" i="12"/>
  <c r="AL117" i="12"/>
  <c r="AL99" i="12"/>
  <c r="AL78" i="12"/>
  <c r="AL57" i="12"/>
  <c r="AL35" i="12"/>
  <c r="AL14" i="12"/>
  <c r="AL195" i="12"/>
  <c r="AL179" i="12"/>
  <c r="AL163" i="12"/>
  <c r="AL147" i="12"/>
  <c r="AL131" i="12"/>
  <c r="AL115" i="12"/>
  <c r="AL97" i="12"/>
  <c r="AL75" i="12"/>
  <c r="AL54" i="12"/>
  <c r="AL33" i="12"/>
  <c r="AL11" i="12"/>
  <c r="AL12" i="12"/>
  <c r="AL28" i="12"/>
  <c r="AL44" i="12"/>
  <c r="AL60" i="12"/>
  <c r="AL76" i="12"/>
  <c r="AL92" i="12"/>
  <c r="AL241" i="12"/>
  <c r="AL225" i="12"/>
  <c r="AL209" i="12"/>
  <c r="AL193" i="12"/>
  <c r="AL177" i="12"/>
  <c r="AL161" i="12"/>
  <c r="AL145" i="12"/>
  <c r="AL129" i="12"/>
  <c r="AL113" i="12"/>
  <c r="AL94" i="12"/>
  <c r="AL73" i="12"/>
  <c r="AL51" i="12"/>
  <c r="AL30" i="12"/>
  <c r="AL9" i="12"/>
  <c r="AL191" i="12"/>
  <c r="AL175" i="12"/>
  <c r="AL159" i="12"/>
  <c r="AL143" i="12"/>
  <c r="AL127" i="12"/>
  <c r="AL111" i="12"/>
  <c r="AL91" i="12"/>
  <c r="AL70" i="12"/>
  <c r="AL49" i="12"/>
  <c r="AL27" i="12"/>
  <c r="AL6" i="12"/>
  <c r="AL16" i="12"/>
  <c r="AL32" i="12"/>
  <c r="AL48" i="12"/>
  <c r="AL64" i="12"/>
  <c r="AL80" i="12"/>
  <c r="AL96" i="12"/>
  <c r="AL237" i="12"/>
  <c r="AL221" i="12"/>
  <c r="AL205" i="12"/>
  <c r="AL189" i="12"/>
  <c r="AL173" i="12"/>
  <c r="AL157" i="12"/>
  <c r="AL141" i="12"/>
  <c r="AL125" i="12"/>
  <c r="AL109" i="12"/>
  <c r="AL89" i="12"/>
  <c r="AL67" i="12"/>
  <c r="AL46" i="12"/>
  <c r="AL25" i="12"/>
  <c r="AL203" i="12"/>
  <c r="AL187" i="12"/>
  <c r="AL171" i="12"/>
  <c r="AL155" i="12"/>
  <c r="AL139" i="12"/>
  <c r="AL123" i="12"/>
  <c r="AL107" i="12"/>
  <c r="AL86" i="12"/>
  <c r="AL65" i="12"/>
  <c r="AL43" i="12"/>
  <c r="AL22" i="12"/>
  <c r="AL20" i="12"/>
  <c r="AL36" i="12"/>
  <c r="AL52" i="12"/>
  <c r="AL68" i="12"/>
  <c r="AL84" i="12"/>
  <c r="AL100" i="12"/>
  <c r="AL233" i="12"/>
  <c r="AL217" i="12"/>
  <c r="AL201" i="12"/>
  <c r="AL185" i="12"/>
  <c r="AL169" i="12"/>
  <c r="AL153" i="12"/>
  <c r="AL137" i="12"/>
  <c r="AL121" i="12"/>
  <c r="AL105" i="12"/>
  <c r="AL83" i="12"/>
  <c r="AL62" i="12"/>
  <c r="AL41" i="12"/>
  <c r="AL19" i="12"/>
  <c r="AL199" i="12"/>
  <c r="AL183" i="12"/>
  <c r="AL167" i="12"/>
  <c r="AL151" i="12"/>
  <c r="AL135" i="12"/>
  <c r="AL119" i="12"/>
  <c r="AL102" i="12"/>
  <c r="AL81" i="12"/>
  <c r="AL59" i="12"/>
  <c r="AL38" i="12"/>
  <c r="AL17" i="12"/>
  <c r="L244" i="12"/>
  <c r="P5" i="12"/>
  <c r="BX244" i="12"/>
  <c r="BX247" i="12" s="1"/>
  <c r="N5" i="12"/>
  <c r="BH244" i="12"/>
  <c r="BH247" i="12" s="1"/>
  <c r="BV244" i="12"/>
  <c r="BV247" i="12" s="1"/>
  <c r="DU244" i="12"/>
  <c r="DU247" i="12" s="1"/>
  <c r="BM244" i="12"/>
  <c r="AU244" i="12"/>
  <c r="AM244" i="12"/>
  <c r="BW244" i="12"/>
  <c r="BW247" i="12" s="1"/>
  <c r="AX244" i="12"/>
  <c r="BA244" i="12"/>
  <c r="BF114" i="12"/>
  <c r="AF244" i="12"/>
  <c r="N73" i="12"/>
  <c r="BS244" i="12"/>
  <c r="BZ209" i="12"/>
  <c r="AG209" i="12"/>
  <c r="BZ172" i="12"/>
  <c r="AG172" i="12"/>
  <c r="BZ171" i="12"/>
  <c r="AG171" i="12"/>
  <c r="BZ170" i="12"/>
  <c r="AG170" i="12"/>
  <c r="BZ169" i="12"/>
  <c r="AG169" i="12"/>
  <c r="BZ168" i="12"/>
  <c r="AG168" i="12"/>
  <c r="BZ167" i="12"/>
  <c r="AG167" i="12"/>
  <c r="BZ166" i="12"/>
  <c r="AG166" i="12"/>
  <c r="BZ165" i="12"/>
  <c r="AG165" i="12"/>
  <c r="BZ164" i="12"/>
  <c r="AG164" i="12"/>
  <c r="BZ163" i="12"/>
  <c r="AG163" i="12"/>
  <c r="BZ162" i="12"/>
  <c r="AG162" i="12"/>
  <c r="BZ161" i="12"/>
  <c r="AG161" i="12"/>
  <c r="BZ160" i="12"/>
  <c r="AG160" i="12"/>
  <c r="BZ159" i="12"/>
  <c r="AG159" i="12"/>
  <c r="BZ158" i="12"/>
  <c r="AG158" i="12"/>
  <c r="BZ157" i="12"/>
  <c r="AG157" i="12"/>
  <c r="BZ156" i="12"/>
  <c r="AG156" i="12"/>
  <c r="AG155" i="12"/>
  <c r="BZ155" i="12"/>
  <c r="AG152" i="12"/>
  <c r="BZ150" i="12"/>
  <c r="AG147" i="12"/>
  <c r="AG145" i="12"/>
  <c r="BZ143" i="12"/>
  <c r="BZ142" i="12"/>
  <c r="AG141" i="12"/>
  <c r="BZ154" i="12"/>
  <c r="BZ153" i="12"/>
  <c r="AG151" i="12"/>
  <c r="BZ149" i="12"/>
  <c r="BZ148" i="12"/>
  <c r="AG146" i="12"/>
  <c r="BZ144" i="12"/>
  <c r="BZ141" i="12"/>
  <c r="AG140" i="12"/>
  <c r="AG139" i="12"/>
  <c r="BZ138" i="12"/>
  <c r="AG138" i="12"/>
  <c r="BZ137" i="12"/>
  <c r="AG137" i="12"/>
  <c r="BZ135" i="12"/>
  <c r="AG135" i="12"/>
  <c r="BZ134" i="12"/>
  <c r="AG134" i="12"/>
  <c r="BZ133" i="12"/>
  <c r="AG133" i="12"/>
  <c r="BZ152" i="12"/>
  <c r="AG150" i="12"/>
  <c r="BZ147" i="12"/>
  <c r="BZ146" i="12"/>
  <c r="BZ145" i="12"/>
  <c r="AG143" i="12"/>
  <c r="BZ140" i="12"/>
  <c r="BZ139" i="12"/>
  <c r="AG154" i="12"/>
  <c r="AG153" i="12"/>
  <c r="BZ151" i="12"/>
  <c r="AG149" i="12"/>
  <c r="AG148" i="12"/>
  <c r="AG144" i="12"/>
  <c r="AG142" i="12"/>
  <c r="AG132" i="12"/>
  <c r="BZ130" i="12"/>
  <c r="AG131" i="12"/>
  <c r="BZ132" i="12"/>
  <c r="AG130" i="12"/>
  <c r="BZ131" i="12"/>
  <c r="BZ45" i="12"/>
  <c r="AG45" i="12"/>
  <c r="BZ44" i="12"/>
  <c r="AG44" i="12"/>
  <c r="BZ43" i="12"/>
  <c r="AG43" i="12"/>
  <c r="BZ42" i="12"/>
  <c r="AG42" i="12"/>
  <c r="BZ41" i="12"/>
  <c r="AG41" i="12"/>
  <c r="BZ40" i="12"/>
  <c r="AG40" i="12"/>
  <c r="BZ39" i="12"/>
  <c r="AG39" i="12"/>
  <c r="BZ14" i="12"/>
  <c r="AG14" i="12"/>
  <c r="BZ13" i="12"/>
  <c r="AG13" i="12"/>
  <c r="AG11" i="12"/>
  <c r="AG10" i="12"/>
  <c r="BZ9" i="12"/>
  <c r="AG8" i="12"/>
  <c r="AG6" i="12"/>
  <c r="BZ5" i="12"/>
  <c r="BZ23" i="12"/>
  <c r="BZ22" i="12"/>
  <c r="BZ21" i="12"/>
  <c r="BZ20" i="12"/>
  <c r="BZ10" i="12"/>
  <c r="AG9" i="12"/>
  <c r="BZ8" i="12"/>
  <c r="AG23" i="12"/>
  <c r="AG22" i="12"/>
  <c r="AG21" i="12"/>
  <c r="AG20" i="12"/>
  <c r="BZ19" i="12"/>
  <c r="AG19" i="12"/>
  <c r="BZ18" i="12"/>
  <c r="AG18" i="12"/>
  <c r="BZ17" i="12"/>
  <c r="AG17" i="12"/>
  <c r="BZ16" i="12"/>
  <c r="AG16" i="12"/>
  <c r="BZ15" i="12"/>
  <c r="AG15" i="12"/>
  <c r="BZ12" i="12"/>
  <c r="AG12" i="12"/>
  <c r="BZ11" i="12"/>
  <c r="BZ7" i="12"/>
  <c r="AG7" i="12"/>
  <c r="BZ6" i="12"/>
  <c r="AG5" i="12"/>
  <c r="R117" i="12"/>
  <c r="BZ239" i="12"/>
  <c r="AG239" i="12"/>
  <c r="BZ238" i="12"/>
  <c r="AG238" i="12"/>
  <c r="BZ237" i="12"/>
  <c r="AG237" i="12"/>
  <c r="BZ236" i="12"/>
  <c r="AG236" i="12"/>
  <c r="BZ235" i="12"/>
  <c r="AG235" i="12"/>
  <c r="BZ234" i="12"/>
  <c r="AG232" i="12"/>
  <c r="BZ230" i="12"/>
  <c r="AG234" i="12"/>
  <c r="AG233" i="12"/>
  <c r="BZ232" i="12"/>
  <c r="BZ229" i="12"/>
  <c r="AG229" i="12"/>
  <c r="BZ228" i="12"/>
  <c r="AG228" i="12"/>
  <c r="AG231" i="12"/>
  <c r="BZ233" i="12"/>
  <c r="BZ231" i="12"/>
  <c r="AG230" i="12"/>
  <c r="N117" i="12"/>
  <c r="AG226" i="12"/>
  <c r="BZ226" i="12"/>
  <c r="AG225" i="12"/>
  <c r="BZ224" i="12"/>
  <c r="AG224" i="12"/>
  <c r="BZ223" i="12"/>
  <c r="AG223" i="12"/>
  <c r="BZ222" i="12"/>
  <c r="AG222" i="12"/>
  <c r="BZ221" i="12"/>
  <c r="AG221" i="12"/>
  <c r="BZ220" i="12"/>
  <c r="AG220" i="12"/>
  <c r="BZ219" i="12"/>
  <c r="AG219" i="12"/>
  <c r="BZ218" i="12"/>
  <c r="AG218" i="12"/>
  <c r="BZ225" i="12"/>
  <c r="BZ217" i="12"/>
  <c r="AG217" i="12"/>
  <c r="BZ216" i="12"/>
  <c r="AG216" i="12"/>
  <c r="BZ215" i="12"/>
  <c r="AG215" i="12"/>
  <c r="BZ214" i="12"/>
  <c r="AG214" i="12"/>
  <c r="BZ213" i="12"/>
  <c r="AG213" i="12"/>
  <c r="BZ212" i="12"/>
  <c r="AG212" i="12"/>
  <c r="BZ211" i="12"/>
  <c r="BZ210" i="12"/>
  <c r="AG210" i="12"/>
  <c r="AG211" i="12"/>
  <c r="BZ63" i="12"/>
  <c r="AG63" i="12"/>
  <c r="BZ62" i="12"/>
  <c r="BZ53" i="12"/>
  <c r="AG53" i="12"/>
  <c r="BZ52" i="12"/>
  <c r="AG52" i="12"/>
  <c r="BZ51" i="12"/>
  <c r="AG51" i="12"/>
  <c r="AG60" i="12"/>
  <c r="BZ58" i="12"/>
  <c r="AG61" i="12"/>
  <c r="BZ59" i="12"/>
  <c r="AG62" i="12"/>
  <c r="BZ60" i="12"/>
  <c r="AG58" i="12"/>
  <c r="BZ50" i="12"/>
  <c r="AG50" i="12"/>
  <c r="BZ49" i="12"/>
  <c r="AG49" i="12"/>
  <c r="BZ48" i="12"/>
  <c r="AG48" i="12"/>
  <c r="BZ47" i="12"/>
  <c r="AG47" i="12"/>
  <c r="BZ46" i="12"/>
  <c r="AG46" i="12"/>
  <c r="BZ29" i="12"/>
  <c r="AG29" i="12"/>
  <c r="BZ61" i="12"/>
  <c r="AG59" i="12"/>
  <c r="BZ38" i="12"/>
  <c r="AG38" i="12"/>
  <c r="BZ37" i="12"/>
  <c r="AG37" i="12"/>
  <c r="BZ36" i="12"/>
  <c r="AG36" i="12"/>
  <c r="BZ35" i="12"/>
  <c r="AG35" i="12"/>
  <c r="BZ34" i="12"/>
  <c r="AG34" i="12"/>
  <c r="BZ33" i="12"/>
  <c r="AG33" i="12"/>
  <c r="BZ32" i="12"/>
  <c r="AG32" i="12"/>
  <c r="BZ31" i="12"/>
  <c r="AG31" i="12"/>
  <c r="BZ30" i="12"/>
  <c r="AG30" i="12"/>
  <c r="BG244" i="12"/>
  <c r="BG247" i="12" s="1"/>
  <c r="BF244" i="12"/>
  <c r="DQ244" i="12"/>
  <c r="DQ247" i="12" s="1"/>
  <c r="DC243" i="12"/>
  <c r="CY243" i="12"/>
  <c r="CU243" i="12"/>
  <c r="CQ243" i="12"/>
  <c r="CA243" i="12"/>
  <c r="AR243" i="12"/>
  <c r="AQ243" i="12" s="1"/>
  <c r="DC242" i="12"/>
  <c r="CY242" i="12"/>
  <c r="CU242" i="12"/>
  <c r="CQ242" i="12"/>
  <c r="CA242" i="12"/>
  <c r="AR242" i="12"/>
  <c r="AQ242" i="12" s="1"/>
  <c r="DC241" i="12"/>
  <c r="CY241" i="12"/>
  <c r="CU241" i="12"/>
  <c r="DK243" i="12"/>
  <c r="DF243" i="12"/>
  <c r="DB243" i="12"/>
  <c r="CX243" i="12"/>
  <c r="CT243" i="12"/>
  <c r="CL243" i="12"/>
  <c r="CH243" i="12"/>
  <c r="CD243" i="12"/>
  <c r="AH243" i="12"/>
  <c r="DK242" i="12"/>
  <c r="DF242" i="12"/>
  <c r="DB242" i="12"/>
  <c r="CX242" i="12"/>
  <c r="CT242" i="12"/>
  <c r="CL242" i="12"/>
  <c r="CH242" i="12"/>
  <c r="CD242" i="12"/>
  <c r="DJ243" i="12"/>
  <c r="DE243" i="12"/>
  <c r="CW243" i="12"/>
  <c r="AK243" i="12"/>
  <c r="DJ242" i="12"/>
  <c r="DE242" i="12"/>
  <c r="CW242" i="12"/>
  <c r="CB243" i="12"/>
  <c r="CB242" i="12"/>
  <c r="AK242" i="12"/>
  <c r="DK241" i="12"/>
  <c r="DE241" i="12"/>
  <c r="CT241" i="12"/>
  <c r="CL241" i="12"/>
  <c r="CH241" i="12"/>
  <c r="CD241" i="12"/>
  <c r="AH241" i="12"/>
  <c r="DK240" i="12"/>
  <c r="DF240" i="12"/>
  <c r="DB240" i="12"/>
  <c r="CX240" i="12"/>
  <c r="CT240" i="12"/>
  <c r="CL240" i="12"/>
  <c r="CH240" i="12"/>
  <c r="CD240" i="12"/>
  <c r="AH240" i="12"/>
  <c r="DK239" i="12"/>
  <c r="DF239" i="12"/>
  <c r="DB239" i="12"/>
  <c r="CX239" i="12"/>
  <c r="CT239" i="12"/>
  <c r="CL239" i="12"/>
  <c r="CH239" i="12"/>
  <c r="CD239" i="12"/>
  <c r="AH239" i="12"/>
  <c r="DK238" i="12"/>
  <c r="DF238" i="12"/>
  <c r="DB238" i="12"/>
  <c r="CX238" i="12"/>
  <c r="CT238" i="12"/>
  <c r="CL238" i="12"/>
  <c r="CH238" i="12"/>
  <c r="DJ241" i="12"/>
  <c r="CX241" i="12"/>
  <c r="AK241" i="12"/>
  <c r="DJ240" i="12"/>
  <c r="DE240" i="12"/>
  <c r="CW240" i="12"/>
  <c r="AK240" i="12"/>
  <c r="DJ239" i="12"/>
  <c r="DE239" i="12"/>
  <c r="CW239" i="12"/>
  <c r="AK239" i="12"/>
  <c r="DJ238" i="12"/>
  <c r="DE238" i="12"/>
  <c r="CW238" i="12"/>
  <c r="AK238" i="12"/>
  <c r="DJ237" i="12"/>
  <c r="DE237" i="12"/>
  <c r="CW237" i="12"/>
  <c r="AK237" i="12"/>
  <c r="DJ236" i="12"/>
  <c r="DE236" i="12"/>
  <c r="CW236" i="12"/>
  <c r="DI243" i="12"/>
  <c r="CR243" i="12"/>
  <c r="DI242" i="12"/>
  <c r="CR242" i="12"/>
  <c r="DI241" i="12"/>
  <c r="DB241" i="12"/>
  <c r="CW241" i="12"/>
  <c r="CR241" i="12"/>
  <c r="CB241" i="12"/>
  <c r="AJ241" i="12"/>
  <c r="DI240" i="12"/>
  <c r="DD240" i="12"/>
  <c r="CV240" i="12"/>
  <c r="CR240" i="12"/>
  <c r="CF240" i="12"/>
  <c r="CB240" i="12"/>
  <c r="AJ240" i="12"/>
  <c r="DI239" i="12"/>
  <c r="DD239" i="12"/>
  <c r="CV239" i="12"/>
  <c r="CR239" i="12"/>
  <c r="CF239" i="12"/>
  <c r="CB239" i="12"/>
  <c r="DD243" i="12"/>
  <c r="DD242" i="12"/>
  <c r="AH242" i="12"/>
  <c r="AE242" i="12" s="1"/>
  <c r="DF241" i="12"/>
  <c r="CV241" i="12"/>
  <c r="CQ241" i="12"/>
  <c r="CA241" i="12"/>
  <c r="CY240" i="12"/>
  <c r="CU239" i="12"/>
  <c r="DD238" i="12"/>
  <c r="CV238" i="12"/>
  <c r="CD238" i="12"/>
  <c r="AR238" i="12"/>
  <c r="AQ238" i="12" s="1"/>
  <c r="AH238" i="12"/>
  <c r="DB237" i="12"/>
  <c r="CV237" i="12"/>
  <c r="CQ237" i="12"/>
  <c r="CL237" i="12"/>
  <c r="CH237" i="12"/>
  <c r="CD237" i="12"/>
  <c r="AR237" i="12"/>
  <c r="AQ237" i="12" s="1"/>
  <c r="AH237" i="12"/>
  <c r="DB236" i="12"/>
  <c r="CV236" i="12"/>
  <c r="CQ236" i="12"/>
  <c r="CL236" i="12"/>
  <c r="CH236" i="12"/>
  <c r="CD236" i="12"/>
  <c r="AH236" i="12"/>
  <c r="DK235" i="12"/>
  <c r="DF235" i="12"/>
  <c r="DB235" i="12"/>
  <c r="CX235" i="12"/>
  <c r="CT235" i="12"/>
  <c r="CL235" i="12"/>
  <c r="CH235" i="12"/>
  <c r="CD235" i="12"/>
  <c r="AH235" i="12"/>
  <c r="DK234" i="12"/>
  <c r="DF234" i="12"/>
  <c r="DB234" i="12"/>
  <c r="CX234" i="12"/>
  <c r="CT234" i="12"/>
  <c r="CL234" i="12"/>
  <c r="CH234" i="12"/>
  <c r="CD234" i="12"/>
  <c r="AH234" i="12"/>
  <c r="DK233" i="12"/>
  <c r="DF233" i="12"/>
  <c r="DB233" i="12"/>
  <c r="CX233" i="12"/>
  <c r="CT233" i="12"/>
  <c r="CL233" i="12"/>
  <c r="CH233" i="12"/>
  <c r="CD233" i="12"/>
  <c r="AH233" i="12"/>
  <c r="DK232" i="12"/>
  <c r="DF232" i="12"/>
  <c r="DB232" i="12"/>
  <c r="CX232" i="12"/>
  <c r="CT232" i="12"/>
  <c r="CL232" i="12"/>
  <c r="CH232" i="12"/>
  <c r="CD232" i="12"/>
  <c r="AH232" i="12"/>
  <c r="DK231" i="12"/>
  <c r="DF231" i="12"/>
  <c r="DB231" i="12"/>
  <c r="CX231" i="12"/>
  <c r="CT231" i="12"/>
  <c r="CL231" i="12"/>
  <c r="CH231" i="12"/>
  <c r="CD231" i="12"/>
  <c r="AH231" i="12"/>
  <c r="DK230" i="12"/>
  <c r="DF230" i="12"/>
  <c r="DB230" i="12"/>
  <c r="CX230" i="12"/>
  <c r="CT230" i="12"/>
  <c r="CL230" i="12"/>
  <c r="CH230" i="12"/>
  <c r="CD230" i="12"/>
  <c r="AH230" i="12"/>
  <c r="AR241" i="12"/>
  <c r="AQ241" i="12" s="1"/>
  <c r="CU240" i="12"/>
  <c r="CQ239" i="12"/>
  <c r="DC238" i="12"/>
  <c r="CU238" i="12"/>
  <c r="DF237" i="12"/>
  <c r="CU237" i="12"/>
  <c r="DF236" i="12"/>
  <c r="CU236" i="12"/>
  <c r="AK236" i="12"/>
  <c r="DJ235" i="12"/>
  <c r="DE235" i="12"/>
  <c r="CW235" i="12"/>
  <c r="AK235" i="12"/>
  <c r="DJ234" i="12"/>
  <c r="DE234" i="12"/>
  <c r="CW234" i="12"/>
  <c r="CQ240" i="12"/>
  <c r="AR240" i="12"/>
  <c r="AQ240" i="12" s="1"/>
  <c r="DC239" i="12"/>
  <c r="CA239" i="12"/>
  <c r="AR239" i="12"/>
  <c r="AQ239" i="12" s="1"/>
  <c r="AJ239" i="12"/>
  <c r="DI238" i="12"/>
  <c r="CR238" i="12"/>
  <c r="CF238" i="12"/>
  <c r="CB238" i="12"/>
  <c r="AJ238" i="12"/>
  <c r="DK237" i="12"/>
  <c r="DD237" i="12"/>
  <c r="CY237" i="12"/>
  <c r="CT237" i="12"/>
  <c r="CF237" i="12"/>
  <c r="CB237" i="12"/>
  <c r="AJ237" i="12"/>
  <c r="DK236" i="12"/>
  <c r="DD236" i="12"/>
  <c r="CY236" i="12"/>
  <c r="CT236" i="12"/>
  <c r="CF236" i="12"/>
  <c r="CB236" i="12"/>
  <c r="AJ236" i="12"/>
  <c r="DI235" i="12"/>
  <c r="DD235" i="12"/>
  <c r="CV235" i="12"/>
  <c r="CR235" i="12"/>
  <c r="CF235" i="12"/>
  <c r="CB235" i="12"/>
  <c r="AJ235" i="12"/>
  <c r="DI234" i="12"/>
  <c r="DD234" i="12"/>
  <c r="CV234" i="12"/>
  <c r="CR234" i="12"/>
  <c r="CF234" i="12"/>
  <c r="CB234" i="12"/>
  <c r="DC240" i="12"/>
  <c r="CA240" i="12"/>
  <c r="CY239" i="12"/>
  <c r="CY238" i="12"/>
  <c r="CQ238" i="12"/>
  <c r="CA238" i="12"/>
  <c r="DI237" i="12"/>
  <c r="DC237" i="12"/>
  <c r="CX237" i="12"/>
  <c r="CR237" i="12"/>
  <c r="CA237" i="12"/>
  <c r="DI236" i="12"/>
  <c r="DC236" i="12"/>
  <c r="CX236" i="12"/>
  <c r="CR236" i="12"/>
  <c r="CA236" i="12"/>
  <c r="AR236" i="12"/>
  <c r="AQ236" i="12" s="1"/>
  <c r="DC235" i="12"/>
  <c r="CY235" i="12"/>
  <c r="CU235" i="12"/>
  <c r="CQ235" i="12"/>
  <c r="CA235" i="12"/>
  <c r="AR235" i="12"/>
  <c r="AQ235" i="12" s="1"/>
  <c r="DC234" i="12"/>
  <c r="CY234" i="12"/>
  <c r="CU234" i="12"/>
  <c r="CQ234" i="12"/>
  <c r="CA234" i="12"/>
  <c r="AR234" i="12"/>
  <c r="AQ234" i="12" s="1"/>
  <c r="DC233" i="12"/>
  <c r="CY233" i="12"/>
  <c r="CU233" i="12"/>
  <c r="CQ233" i="12"/>
  <c r="CA233" i="12"/>
  <c r="AR233" i="12"/>
  <c r="AQ233" i="12" s="1"/>
  <c r="DE233" i="12"/>
  <c r="CW233" i="12"/>
  <c r="CV232" i="12"/>
  <c r="CQ232" i="12"/>
  <c r="CF232" i="12"/>
  <c r="CA232" i="12"/>
  <c r="DJ231" i="12"/>
  <c r="DD231" i="12"/>
  <c r="CY231" i="12"/>
  <c r="AJ231" i="12"/>
  <c r="DE230" i="12"/>
  <c r="CU230" i="12"/>
  <c r="AR230" i="12"/>
  <c r="AQ230" i="12" s="1"/>
  <c r="AK230" i="12"/>
  <c r="DK229" i="12"/>
  <c r="DF229" i="12"/>
  <c r="DB229" i="12"/>
  <c r="CX229" i="12"/>
  <c r="CT229" i="12"/>
  <c r="CL229" i="12"/>
  <c r="CH229" i="12"/>
  <c r="CD229" i="12"/>
  <c r="AH229" i="12"/>
  <c r="DK228" i="12"/>
  <c r="DF228" i="12"/>
  <c r="DB228" i="12"/>
  <c r="CX228" i="12"/>
  <c r="CT228" i="12"/>
  <c r="CL228" i="12"/>
  <c r="CH228" i="12"/>
  <c r="CD228" i="12"/>
  <c r="AH228" i="12"/>
  <c r="DK227" i="12"/>
  <c r="DF227" i="12"/>
  <c r="DB227" i="12"/>
  <c r="CX227" i="12"/>
  <c r="CT227" i="12"/>
  <c r="CL227" i="12"/>
  <c r="CH227" i="12"/>
  <c r="CD227" i="12"/>
  <c r="AH227" i="12"/>
  <c r="DK226" i="12"/>
  <c r="DF226" i="12"/>
  <c r="DB226" i="12"/>
  <c r="CX226" i="12"/>
  <c r="CT226" i="12"/>
  <c r="CL226" i="12"/>
  <c r="CH226" i="12"/>
  <c r="CD226" i="12"/>
  <c r="AH226" i="12"/>
  <c r="DK225" i="12"/>
  <c r="DF225" i="12"/>
  <c r="DB225" i="12"/>
  <c r="CX225" i="12"/>
  <c r="CT225" i="12"/>
  <c r="CL225" i="12"/>
  <c r="CH225" i="12"/>
  <c r="CD225" i="12"/>
  <c r="DD233" i="12"/>
  <c r="CV233" i="12"/>
  <c r="DE232" i="12"/>
  <c r="CU232" i="12"/>
  <c r="AR232" i="12"/>
  <c r="AQ232" i="12" s="1"/>
  <c r="AK232" i="12"/>
  <c r="DI231" i="12"/>
  <c r="DC231" i="12"/>
  <c r="CW231" i="12"/>
  <c r="CR231" i="12"/>
  <c r="CB231" i="12"/>
  <c r="DJ230" i="12"/>
  <c r="DD230" i="12"/>
  <c r="CY230" i="12"/>
  <c r="AJ230" i="12"/>
  <c r="DJ229" i="12"/>
  <c r="DE229" i="12"/>
  <c r="CW229" i="12"/>
  <c r="AK229" i="12"/>
  <c r="DJ228" i="12"/>
  <c r="DE228" i="12"/>
  <c r="CW228" i="12"/>
  <c r="AK228" i="12"/>
  <c r="DJ227" i="12"/>
  <c r="DE227" i="12"/>
  <c r="CW227" i="12"/>
  <c r="AK227" i="12"/>
  <c r="DJ226" i="12"/>
  <c r="DE226" i="12"/>
  <c r="CW226" i="12"/>
  <c r="AK234" i="12"/>
  <c r="DJ233" i="12"/>
  <c r="CB233" i="12"/>
  <c r="AK233" i="12"/>
  <c r="DJ232" i="12"/>
  <c r="DD232" i="12"/>
  <c r="CY232" i="12"/>
  <c r="AJ232" i="12"/>
  <c r="CV231" i="12"/>
  <c r="CQ231" i="12"/>
  <c r="CF231" i="12"/>
  <c r="CA231" i="12"/>
  <c r="DI230" i="12"/>
  <c r="DC230" i="12"/>
  <c r="CW230" i="12"/>
  <c r="CR230" i="12"/>
  <c r="CB230" i="12"/>
  <c r="DI229" i="12"/>
  <c r="DD229" i="12"/>
  <c r="CV229" i="12"/>
  <c r="CR229" i="12"/>
  <c r="CF229" i="12"/>
  <c r="CB229" i="12"/>
  <c r="AJ229" i="12"/>
  <c r="DI228" i="12"/>
  <c r="DD228" i="12"/>
  <c r="CV228" i="12"/>
  <c r="CR228" i="12"/>
  <c r="CF228" i="12"/>
  <c r="CB228" i="12"/>
  <c r="AJ228" i="12"/>
  <c r="DI227" i="12"/>
  <c r="DD227" i="12"/>
  <c r="CV227" i="12"/>
  <c r="CR227" i="12"/>
  <c r="CF227" i="12"/>
  <c r="CB227" i="12"/>
  <c r="AJ234" i="12"/>
  <c r="DI233" i="12"/>
  <c r="CR233" i="12"/>
  <c r="CF233" i="12"/>
  <c r="AJ233" i="12"/>
  <c r="DI232" i="12"/>
  <c r="DC232" i="12"/>
  <c r="CW232" i="12"/>
  <c r="CR232" i="12"/>
  <c r="CB232" i="12"/>
  <c r="DE231" i="12"/>
  <c r="CU231" i="12"/>
  <c r="AR231" i="12"/>
  <c r="AQ231" i="12" s="1"/>
  <c r="AK231" i="12"/>
  <c r="CV230" i="12"/>
  <c r="CQ230" i="12"/>
  <c r="CF230" i="12"/>
  <c r="CA230" i="12"/>
  <c r="DC229" i="12"/>
  <c r="CY229" i="12"/>
  <c r="CU229" i="12"/>
  <c r="CQ229" i="12"/>
  <c r="CA229" i="12"/>
  <c r="AR229" i="12"/>
  <c r="AQ229" i="12" s="1"/>
  <c r="DC228" i="12"/>
  <c r="CY228" i="12"/>
  <c r="CU228" i="12"/>
  <c r="CQ228" i="12"/>
  <c r="CA228" i="12"/>
  <c r="AR228" i="12"/>
  <c r="AQ228" i="12" s="1"/>
  <c r="DC227" i="12"/>
  <c r="CA227" i="12"/>
  <c r="DC226" i="12"/>
  <c r="CU226" i="12"/>
  <c r="CB226" i="12"/>
  <c r="DJ225" i="12"/>
  <c r="DD225" i="12"/>
  <c r="CY225" i="12"/>
  <c r="AR225" i="12"/>
  <c r="AQ225" i="12" s="1"/>
  <c r="DC224" i="12"/>
  <c r="CY224" i="12"/>
  <c r="CU224" i="12"/>
  <c r="CQ224" i="12"/>
  <c r="CA224" i="12"/>
  <c r="AR224" i="12"/>
  <c r="AQ224" i="12" s="1"/>
  <c r="DC223" i="12"/>
  <c r="CY223" i="12"/>
  <c r="CU223" i="12"/>
  <c r="CQ223" i="12"/>
  <c r="CA223" i="12"/>
  <c r="AR223" i="12"/>
  <c r="AQ223" i="12" s="1"/>
  <c r="DC222" i="12"/>
  <c r="CY222" i="12"/>
  <c r="CU222" i="12"/>
  <c r="CQ222" i="12"/>
  <c r="CA222" i="12"/>
  <c r="AR222" i="12"/>
  <c r="AQ222" i="12" s="1"/>
  <c r="DC221" i="12"/>
  <c r="CY221" i="12"/>
  <c r="CU221" i="12"/>
  <c r="CQ221" i="12"/>
  <c r="CA221" i="12"/>
  <c r="AR221" i="12"/>
  <c r="AQ221" i="12" s="1"/>
  <c r="DC220" i="12"/>
  <c r="CY220" i="12"/>
  <c r="CU220" i="12"/>
  <c r="CQ220" i="12"/>
  <c r="CA220" i="12"/>
  <c r="CY227" i="12"/>
  <c r="AR227" i="12"/>
  <c r="AQ227" i="12" s="1"/>
  <c r="AJ227" i="12"/>
  <c r="DI226" i="12"/>
  <c r="CR226" i="12"/>
  <c r="CF226" i="12"/>
  <c r="CA226" i="12"/>
  <c r="DI225" i="12"/>
  <c r="DC225" i="12"/>
  <c r="CW225" i="12"/>
  <c r="CR225" i="12"/>
  <c r="CB225" i="12"/>
  <c r="AH225" i="12"/>
  <c r="DK224" i="12"/>
  <c r="DF224" i="12"/>
  <c r="DB224" i="12"/>
  <c r="DA224" i="12" s="1"/>
  <c r="CX224" i="12"/>
  <c r="CT224" i="12"/>
  <c r="CL224" i="12"/>
  <c r="CH224" i="12"/>
  <c r="CD224" i="12"/>
  <c r="AH224" i="12"/>
  <c r="DK223" i="12"/>
  <c r="DF223" i="12"/>
  <c r="DB223" i="12"/>
  <c r="CX223" i="12"/>
  <c r="CT223" i="12"/>
  <c r="CL223" i="12"/>
  <c r="CH223" i="12"/>
  <c r="CD223" i="12"/>
  <c r="AH223" i="12"/>
  <c r="DK222" i="12"/>
  <c r="DF222" i="12"/>
  <c r="DB222" i="12"/>
  <c r="DA222" i="12" s="1"/>
  <c r="CX222" i="12"/>
  <c r="CT222" i="12"/>
  <c r="CL222" i="12"/>
  <c r="CH222" i="12"/>
  <c r="CD222" i="12"/>
  <c r="AH222" i="12"/>
  <c r="DK221" i="12"/>
  <c r="DF221" i="12"/>
  <c r="DB221" i="12"/>
  <c r="CX221" i="12"/>
  <c r="CT221" i="12"/>
  <c r="CL221" i="12"/>
  <c r="CH221" i="12"/>
  <c r="CD221" i="12"/>
  <c r="AH221" i="12"/>
  <c r="DK220" i="12"/>
  <c r="DF220" i="12"/>
  <c r="DB220" i="12"/>
  <c r="DA220" i="12" s="1"/>
  <c r="CX220" i="12"/>
  <c r="CT220" i="12"/>
  <c r="CL220" i="12"/>
  <c r="CH220" i="12"/>
  <c r="CD220" i="12"/>
  <c r="AH220" i="12"/>
  <c r="DK219" i="12"/>
  <c r="DF219" i="12"/>
  <c r="DB219" i="12"/>
  <c r="CX219" i="12"/>
  <c r="CT219" i="12"/>
  <c r="CL219" i="12"/>
  <c r="CH219" i="12"/>
  <c r="CD219" i="12"/>
  <c r="AH219" i="12"/>
  <c r="DK218" i="12"/>
  <c r="DF218" i="12"/>
  <c r="DB218" i="12"/>
  <c r="CX218" i="12"/>
  <c r="CT218" i="12"/>
  <c r="CL218" i="12"/>
  <c r="CH218" i="12"/>
  <c r="CD218" i="12"/>
  <c r="AH218" i="12"/>
  <c r="DK217" i="12"/>
  <c r="DF217" i="12"/>
  <c r="DB217" i="12"/>
  <c r="CX217" i="12"/>
  <c r="CT217" i="12"/>
  <c r="CU227" i="12"/>
  <c r="CY226" i="12"/>
  <c r="CQ226" i="12"/>
  <c r="AR226" i="12"/>
  <c r="AQ226" i="12" s="1"/>
  <c r="AK226" i="12"/>
  <c r="CV225" i="12"/>
  <c r="CQ225" i="12"/>
  <c r="CP225" i="12" s="1"/>
  <c r="CF225" i="12"/>
  <c r="CA225" i="12"/>
  <c r="AK225" i="12"/>
  <c r="DJ224" i="12"/>
  <c r="DE224" i="12"/>
  <c r="CW224" i="12"/>
  <c r="AK224" i="12"/>
  <c r="DJ223" i="12"/>
  <c r="DE223" i="12"/>
  <c r="CW223" i="12"/>
  <c r="AK223" i="12"/>
  <c r="DJ222" i="12"/>
  <c r="DE222" i="12"/>
  <c r="CW222" i="12"/>
  <c r="AK222" i="12"/>
  <c r="DJ221" i="12"/>
  <c r="DE221" i="12"/>
  <c r="CW221" i="12"/>
  <c r="AK221" i="12"/>
  <c r="DJ220" i="12"/>
  <c r="DE220" i="12"/>
  <c r="CW220" i="12"/>
  <c r="AK220" i="12"/>
  <c r="DJ219" i="12"/>
  <c r="DE219" i="12"/>
  <c r="CW219" i="12"/>
  <c r="AK219" i="12"/>
  <c r="DJ218" i="12"/>
  <c r="DE218" i="12"/>
  <c r="CW218" i="12"/>
  <c r="AK218" i="12"/>
  <c r="DJ217" i="12"/>
  <c r="DE217" i="12"/>
  <c r="CW217" i="12"/>
  <c r="CQ227" i="12"/>
  <c r="DD226" i="12"/>
  <c r="CV226" i="12"/>
  <c r="AJ226" i="12"/>
  <c r="DE225" i="12"/>
  <c r="CU225" i="12"/>
  <c r="AJ225" i="12"/>
  <c r="DI224" i="12"/>
  <c r="DD224" i="12"/>
  <c r="CV224" i="12"/>
  <c r="CR224" i="12"/>
  <c r="CF224" i="12"/>
  <c r="CB224" i="12"/>
  <c r="AJ224" i="12"/>
  <c r="DI223" i="12"/>
  <c r="DD223" i="12"/>
  <c r="CV223" i="12"/>
  <c r="CR223" i="12"/>
  <c r="CF223" i="12"/>
  <c r="CB223" i="12"/>
  <c r="AJ223" i="12"/>
  <c r="DI222" i="12"/>
  <c r="DH222" i="12" s="1"/>
  <c r="CR222" i="12"/>
  <c r="CB221" i="12"/>
  <c r="CV220" i="12"/>
  <c r="CF220" i="12"/>
  <c r="DI219" i="12"/>
  <c r="CR219" i="12"/>
  <c r="CF219" i="12"/>
  <c r="CA219" i="12"/>
  <c r="DC218" i="12"/>
  <c r="CU218" i="12"/>
  <c r="CB218" i="12"/>
  <c r="DI217" i="12"/>
  <c r="CR217" i="12"/>
  <c r="CL217" i="12"/>
  <c r="CH217" i="12"/>
  <c r="CD217" i="12"/>
  <c r="AH217" i="12"/>
  <c r="DK216" i="12"/>
  <c r="DF216" i="12"/>
  <c r="DB216" i="12"/>
  <c r="CX216" i="12"/>
  <c r="CT216" i="12"/>
  <c r="CL216" i="12"/>
  <c r="CH216" i="12"/>
  <c r="CD216" i="12"/>
  <c r="AH216" i="12"/>
  <c r="DK215" i="12"/>
  <c r="DF215" i="12"/>
  <c r="DB215" i="12"/>
  <c r="CX215" i="12"/>
  <c r="CT215" i="12"/>
  <c r="CL215" i="12"/>
  <c r="CH215" i="12"/>
  <c r="CD215" i="12"/>
  <c r="AH215" i="12"/>
  <c r="DK214" i="12"/>
  <c r="DF214" i="12"/>
  <c r="DB214" i="12"/>
  <c r="CX214" i="12"/>
  <c r="CT214" i="12"/>
  <c r="CL214" i="12"/>
  <c r="CH214" i="12"/>
  <c r="CD214" i="12"/>
  <c r="AH214" i="12"/>
  <c r="DK213" i="12"/>
  <c r="DF213" i="12"/>
  <c r="DB213" i="12"/>
  <c r="CX213" i="12"/>
  <c r="CT213" i="12"/>
  <c r="CL213" i="12"/>
  <c r="CH213" i="12"/>
  <c r="CD213" i="12"/>
  <c r="AH213" i="12"/>
  <c r="DK212" i="12"/>
  <c r="DF212" i="12"/>
  <c r="DB212" i="12"/>
  <c r="CX212" i="12"/>
  <c r="CT212" i="12"/>
  <c r="CL212" i="12"/>
  <c r="CH212" i="12"/>
  <c r="CD212" i="12"/>
  <c r="AH212" i="12"/>
  <c r="DK211" i="12"/>
  <c r="DF211" i="12"/>
  <c r="DB211" i="12"/>
  <c r="CX211" i="12"/>
  <c r="CT211" i="12"/>
  <c r="CL211" i="12"/>
  <c r="CH211" i="12"/>
  <c r="CD211" i="12"/>
  <c r="AH211" i="12"/>
  <c r="DK210" i="12"/>
  <c r="DF210" i="12"/>
  <c r="DB210" i="12"/>
  <c r="CX210" i="12"/>
  <c r="CT210" i="12"/>
  <c r="CL210" i="12"/>
  <c r="CH210" i="12"/>
  <c r="CD210" i="12"/>
  <c r="DD222" i="12"/>
  <c r="CV221" i="12"/>
  <c r="CF221" i="12"/>
  <c r="AJ221" i="12"/>
  <c r="DI220" i="12"/>
  <c r="CR220" i="12"/>
  <c r="AR220" i="12"/>
  <c r="AQ220" i="12" s="1"/>
  <c r="AJ220" i="12"/>
  <c r="CY219" i="12"/>
  <c r="CQ219" i="12"/>
  <c r="DI218" i="12"/>
  <c r="CR218" i="12"/>
  <c r="CF218" i="12"/>
  <c r="CA218" i="12"/>
  <c r="CY217" i="12"/>
  <c r="CQ217" i="12"/>
  <c r="AK217" i="12"/>
  <c r="DJ216" i="12"/>
  <c r="DE216" i="12"/>
  <c r="CW216" i="12"/>
  <c r="AK216" i="12"/>
  <c r="DJ215" i="12"/>
  <c r="DE215" i="12"/>
  <c r="CW215" i="12"/>
  <c r="AK215" i="12"/>
  <c r="DJ214" i="12"/>
  <c r="DE214" i="12"/>
  <c r="CW214" i="12"/>
  <c r="AK214" i="12"/>
  <c r="DJ213" i="12"/>
  <c r="DE213" i="12"/>
  <c r="CW213" i="12"/>
  <c r="AK213" i="12"/>
  <c r="DJ212" i="12"/>
  <c r="DE212" i="12"/>
  <c r="CW212" i="12"/>
  <c r="AK212" i="12"/>
  <c r="DJ211" i="12"/>
  <c r="DE211" i="12"/>
  <c r="CW211" i="12"/>
  <c r="CB222" i="12"/>
  <c r="DI221" i="12"/>
  <c r="CR221" i="12"/>
  <c r="DD220" i="12"/>
  <c r="DD219" i="12"/>
  <c r="CV219" i="12"/>
  <c r="AR219" i="12"/>
  <c r="AQ219" i="12" s="1"/>
  <c r="AJ219" i="12"/>
  <c r="CY218" i="12"/>
  <c r="CQ218" i="12"/>
  <c r="DD217" i="12"/>
  <c r="CV217" i="12"/>
  <c r="CF217" i="12"/>
  <c r="CB217" i="12"/>
  <c r="AJ217" i="12"/>
  <c r="DI216" i="12"/>
  <c r="DD216" i="12"/>
  <c r="CV216" i="12"/>
  <c r="CR216" i="12"/>
  <c r="CF216" i="12"/>
  <c r="CB216" i="12"/>
  <c r="AJ216" i="12"/>
  <c r="DI215" i="12"/>
  <c r="DD215" i="12"/>
  <c r="CV215" i="12"/>
  <c r="CR215" i="12"/>
  <c r="CF215" i="12"/>
  <c r="CB215" i="12"/>
  <c r="AJ215" i="12"/>
  <c r="DI214" i="12"/>
  <c r="DD214" i="12"/>
  <c r="CV214" i="12"/>
  <c r="CR214" i="12"/>
  <c r="CF214" i="12"/>
  <c r="CB214" i="12"/>
  <c r="AJ214" i="12"/>
  <c r="DI213" i="12"/>
  <c r="DD213" i="12"/>
  <c r="CV213" i="12"/>
  <c r="CR213" i="12"/>
  <c r="CF213" i="12"/>
  <c r="CB213" i="12"/>
  <c r="CV222" i="12"/>
  <c r="CF222" i="12"/>
  <c r="AJ222" i="12"/>
  <c r="DD221" i="12"/>
  <c r="CB220" i="12"/>
  <c r="DC219" i="12"/>
  <c r="CU219" i="12"/>
  <c r="CB219" i="12"/>
  <c r="DD218" i="12"/>
  <c r="CV218" i="12"/>
  <c r="AR218" i="12"/>
  <c r="AQ218" i="12" s="1"/>
  <c r="AJ218" i="12"/>
  <c r="DC217" i="12"/>
  <c r="CU217" i="12"/>
  <c r="CA217" i="12"/>
  <c r="AR217" i="12"/>
  <c r="AQ217" i="12" s="1"/>
  <c r="DC216" i="12"/>
  <c r="CY216" i="12"/>
  <c r="CU216" i="12"/>
  <c r="CQ216" i="12"/>
  <c r="CA216" i="12"/>
  <c r="AR216" i="12"/>
  <c r="AQ216" i="12" s="1"/>
  <c r="DC215" i="12"/>
  <c r="CY215" i="12"/>
  <c r="CU215" i="12"/>
  <c r="CQ215" i="12"/>
  <c r="CA215" i="12"/>
  <c r="AR215" i="12"/>
  <c r="AQ215" i="12" s="1"/>
  <c r="DC214" i="12"/>
  <c r="CY214" i="12"/>
  <c r="CU214" i="12"/>
  <c r="CQ214" i="12"/>
  <c r="CA214" i="12"/>
  <c r="AR214" i="12"/>
  <c r="AQ214" i="12" s="1"/>
  <c r="DC213" i="12"/>
  <c r="CY213" i="12"/>
  <c r="CU213" i="12"/>
  <c r="CQ213" i="12"/>
  <c r="CP213" i="12" s="1"/>
  <c r="CA213" i="12"/>
  <c r="DI212" i="12"/>
  <c r="CR212" i="12"/>
  <c r="CF212" i="12"/>
  <c r="CA212" i="12"/>
  <c r="CY211" i="12"/>
  <c r="CQ211" i="12"/>
  <c r="AR211" i="12"/>
  <c r="AQ211" i="12" s="1"/>
  <c r="AK211" i="12"/>
  <c r="DI210" i="12"/>
  <c r="DC210" i="12"/>
  <c r="CW210" i="12"/>
  <c r="CR210" i="12"/>
  <c r="CB210" i="12"/>
  <c r="AR210" i="12"/>
  <c r="AQ210" i="12" s="1"/>
  <c r="DC209" i="12"/>
  <c r="CY209" i="12"/>
  <c r="CU209" i="12"/>
  <c r="CQ209" i="12"/>
  <c r="CA209" i="12"/>
  <c r="AR209" i="12"/>
  <c r="AQ209" i="12" s="1"/>
  <c r="DC208" i="12"/>
  <c r="CY208" i="12"/>
  <c r="CU208" i="12"/>
  <c r="CQ208" i="12"/>
  <c r="CA208" i="12"/>
  <c r="AR208" i="12"/>
  <c r="AQ208" i="12" s="1"/>
  <c r="DI207" i="12"/>
  <c r="DD207" i="12"/>
  <c r="CV207" i="12"/>
  <c r="CR207" i="12"/>
  <c r="CF207" i="12"/>
  <c r="CB207" i="12"/>
  <c r="AJ207" i="12"/>
  <c r="DC206" i="12"/>
  <c r="CY206" i="12"/>
  <c r="CU206" i="12"/>
  <c r="CQ206" i="12"/>
  <c r="CA206" i="12"/>
  <c r="AR206" i="12"/>
  <c r="AQ206" i="12" s="1"/>
  <c r="DK205" i="12"/>
  <c r="DF205" i="12"/>
  <c r="DB205" i="12"/>
  <c r="CX205" i="12"/>
  <c r="CT205" i="12"/>
  <c r="CL205" i="12"/>
  <c r="CH205" i="12"/>
  <c r="CD205" i="12"/>
  <c r="CY212" i="12"/>
  <c r="CQ212" i="12"/>
  <c r="DD211" i="12"/>
  <c r="CV211" i="12"/>
  <c r="AJ211" i="12"/>
  <c r="CV210" i="12"/>
  <c r="CQ210" i="12"/>
  <c r="CF210" i="12"/>
  <c r="CA210" i="12"/>
  <c r="AH210" i="12"/>
  <c r="DK209" i="12"/>
  <c r="DF209" i="12"/>
  <c r="DB209" i="12"/>
  <c r="CX209" i="12"/>
  <c r="CT209" i="12"/>
  <c r="CL209" i="12"/>
  <c r="CH209" i="12"/>
  <c r="CD209" i="12"/>
  <c r="AH209" i="12"/>
  <c r="DK208" i="12"/>
  <c r="DF208" i="12"/>
  <c r="DB208" i="12"/>
  <c r="CX208" i="12"/>
  <c r="CT208" i="12"/>
  <c r="CL208" i="12"/>
  <c r="CH208" i="12"/>
  <c r="CD208" i="12"/>
  <c r="AH208" i="12"/>
  <c r="DC207" i="12"/>
  <c r="CY207" i="12"/>
  <c r="CU207" i="12"/>
  <c r="CQ207" i="12"/>
  <c r="CA207" i="12"/>
  <c r="AR207" i="12"/>
  <c r="AQ207" i="12" s="1"/>
  <c r="DK206" i="12"/>
  <c r="DF206" i="12"/>
  <c r="DB206" i="12"/>
  <c r="CX206" i="12"/>
  <c r="CT206" i="12"/>
  <c r="CL206" i="12"/>
  <c r="CH206" i="12"/>
  <c r="CD206" i="12"/>
  <c r="AH206" i="12"/>
  <c r="DJ205" i="12"/>
  <c r="DE205" i="12"/>
  <c r="CW205" i="12"/>
  <c r="AK205" i="12"/>
  <c r="DJ204" i="12"/>
  <c r="DE204" i="12"/>
  <c r="CW204" i="12"/>
  <c r="AK204" i="12"/>
  <c r="DJ203" i="12"/>
  <c r="DE203" i="12"/>
  <c r="CW203" i="12"/>
  <c r="AK203" i="12"/>
  <c r="DJ202" i="12"/>
  <c r="DE202" i="12"/>
  <c r="CW202" i="12"/>
  <c r="AK202" i="12"/>
  <c r="DJ201" i="12"/>
  <c r="DE201" i="12"/>
  <c r="CW201" i="12"/>
  <c r="AK201" i="12"/>
  <c r="DJ200" i="12"/>
  <c r="DE200" i="12"/>
  <c r="CW200" i="12"/>
  <c r="AK200" i="12"/>
  <c r="DJ199" i="12"/>
  <c r="DE199" i="12"/>
  <c r="CW199" i="12"/>
  <c r="AK199" i="12"/>
  <c r="DJ198" i="12"/>
  <c r="DE198" i="12"/>
  <c r="CW198" i="12"/>
  <c r="DD212" i="12"/>
  <c r="CV212" i="12"/>
  <c r="AR212" i="12"/>
  <c r="AQ212" i="12" s="1"/>
  <c r="AJ212" i="12"/>
  <c r="DC211" i="12"/>
  <c r="CU211" i="12"/>
  <c r="CB211" i="12"/>
  <c r="DE210" i="12"/>
  <c r="CU210" i="12"/>
  <c r="AK210" i="12"/>
  <c r="DJ209" i="12"/>
  <c r="DE209" i="12"/>
  <c r="CW209" i="12"/>
  <c r="AK209" i="12"/>
  <c r="DJ208" i="12"/>
  <c r="DE208" i="12"/>
  <c r="CW208" i="12"/>
  <c r="AK208" i="12"/>
  <c r="DK207" i="12"/>
  <c r="DF207" i="12"/>
  <c r="DB207" i="12"/>
  <c r="CX207" i="12"/>
  <c r="CT207" i="12"/>
  <c r="CL207" i="12"/>
  <c r="CH207" i="12"/>
  <c r="CD207" i="12"/>
  <c r="AH207" i="12"/>
  <c r="DJ206" i="12"/>
  <c r="DE206" i="12"/>
  <c r="CW206" i="12"/>
  <c r="AK206" i="12"/>
  <c r="DI205" i="12"/>
  <c r="DD205" i="12"/>
  <c r="CV205" i="12"/>
  <c r="CR205" i="12"/>
  <c r="CF205" i="12"/>
  <c r="CB205" i="12"/>
  <c r="AJ205" i="12"/>
  <c r="DI204" i="12"/>
  <c r="DD204" i="12"/>
  <c r="CV204" i="12"/>
  <c r="CR204" i="12"/>
  <c r="CF204" i="12"/>
  <c r="CB204" i="12"/>
  <c r="AJ204" i="12"/>
  <c r="DI203" i="12"/>
  <c r="DD203" i="12"/>
  <c r="CV203" i="12"/>
  <c r="CR203" i="12"/>
  <c r="CF203" i="12"/>
  <c r="CB203" i="12"/>
  <c r="AJ203" i="12"/>
  <c r="DI202" i="12"/>
  <c r="DD202" i="12"/>
  <c r="CV202" i="12"/>
  <c r="CR202" i="12"/>
  <c r="CF202" i="12"/>
  <c r="CB202" i="12"/>
  <c r="AJ202" i="12"/>
  <c r="AR213" i="12"/>
  <c r="AQ213" i="12" s="1"/>
  <c r="AJ213" i="12"/>
  <c r="DC212" i="12"/>
  <c r="CU212" i="12"/>
  <c r="CB212" i="12"/>
  <c r="DI211" i="12"/>
  <c r="CR211" i="12"/>
  <c r="CF211" i="12"/>
  <c r="CA211" i="12"/>
  <c r="DJ210" i="12"/>
  <c r="DD210" i="12"/>
  <c r="CY210" i="12"/>
  <c r="AJ210" i="12"/>
  <c r="DI209" i="12"/>
  <c r="DD209" i="12"/>
  <c r="CV209" i="12"/>
  <c r="CR209" i="12"/>
  <c r="CF209" i="12"/>
  <c r="CB209" i="12"/>
  <c r="AJ209" i="12"/>
  <c r="DI208" i="12"/>
  <c r="DD208" i="12"/>
  <c r="CV208" i="12"/>
  <c r="CR208" i="12"/>
  <c r="CF208" i="12"/>
  <c r="CB208" i="12"/>
  <c r="AJ208" i="12"/>
  <c r="DJ207" i="12"/>
  <c r="DE207" i="12"/>
  <c r="CW207" i="12"/>
  <c r="AK207" i="12"/>
  <c r="DI206" i="12"/>
  <c r="DD206" i="12"/>
  <c r="CV206" i="12"/>
  <c r="CR206" i="12"/>
  <c r="CF206" i="12"/>
  <c r="CB206" i="12"/>
  <c r="AJ206" i="12"/>
  <c r="DC205" i="12"/>
  <c r="CY205" i="12"/>
  <c r="CU205" i="12"/>
  <c r="CQ205" i="12"/>
  <c r="CA205" i="12"/>
  <c r="AR205" i="12"/>
  <c r="AQ205" i="12" s="1"/>
  <c r="DC204" i="12"/>
  <c r="CY204" i="12"/>
  <c r="CU204" i="12"/>
  <c r="CQ204" i="12"/>
  <c r="CA204" i="12"/>
  <c r="AR204" i="12"/>
  <c r="AQ204" i="12" s="1"/>
  <c r="DC203" i="12"/>
  <c r="CY203" i="12"/>
  <c r="CU203" i="12"/>
  <c r="CQ203" i="12"/>
  <c r="CP203" i="12" s="1"/>
  <c r="CA203" i="12"/>
  <c r="AR203" i="12"/>
  <c r="AQ203" i="12" s="1"/>
  <c r="DC202" i="12"/>
  <c r="CY202" i="12"/>
  <c r="CU202" i="12"/>
  <c r="CQ202" i="12"/>
  <c r="DK204" i="12"/>
  <c r="CT204" i="12"/>
  <c r="CL204" i="12"/>
  <c r="CH204" i="12"/>
  <c r="AH204" i="12"/>
  <c r="DB203" i="12"/>
  <c r="DK202" i="12"/>
  <c r="CT202" i="12"/>
  <c r="CL202" i="12"/>
  <c r="CH202" i="12"/>
  <c r="DI201" i="12"/>
  <c r="DC201" i="12"/>
  <c r="CX201" i="12"/>
  <c r="CR201" i="12"/>
  <c r="CA201" i="12"/>
  <c r="DI200" i="12"/>
  <c r="DC200" i="12"/>
  <c r="CX200" i="12"/>
  <c r="CR200" i="12"/>
  <c r="CA200" i="12"/>
  <c r="DI199" i="12"/>
  <c r="DC199" i="12"/>
  <c r="CX199" i="12"/>
  <c r="CR199" i="12"/>
  <c r="CA199" i="12"/>
  <c r="DI198" i="12"/>
  <c r="DC198" i="12"/>
  <c r="CX198" i="12"/>
  <c r="CR198" i="12"/>
  <c r="CA198" i="12"/>
  <c r="AH198" i="12"/>
  <c r="DC197" i="12"/>
  <c r="CY197" i="12"/>
  <c r="CU197" i="12"/>
  <c r="CQ197" i="12"/>
  <c r="CA197" i="12"/>
  <c r="AR197" i="12"/>
  <c r="AQ197" i="12" s="1"/>
  <c r="DI196" i="12"/>
  <c r="DD196" i="12"/>
  <c r="CV196" i="12"/>
  <c r="CR196" i="12"/>
  <c r="CF196" i="12"/>
  <c r="CB196" i="12"/>
  <c r="AJ196" i="12"/>
  <c r="DJ195" i="12"/>
  <c r="DE195" i="12"/>
  <c r="CW195" i="12"/>
  <c r="AK195" i="12"/>
  <c r="DK194" i="12"/>
  <c r="DF194" i="12"/>
  <c r="DB194" i="12"/>
  <c r="CX194" i="12"/>
  <c r="CT194" i="12"/>
  <c r="CL194" i="12"/>
  <c r="CH194" i="12"/>
  <c r="CD194" i="12"/>
  <c r="AH194" i="12"/>
  <c r="DC193" i="12"/>
  <c r="CY193" i="12"/>
  <c r="CU193" i="12"/>
  <c r="CQ193" i="12"/>
  <c r="CA193" i="12"/>
  <c r="AR193" i="12"/>
  <c r="AQ193" i="12" s="1"/>
  <c r="DI192" i="12"/>
  <c r="DD192" i="12"/>
  <c r="CV192" i="12"/>
  <c r="CR192" i="12"/>
  <c r="CF192" i="12"/>
  <c r="CB192" i="12"/>
  <c r="AJ192" i="12"/>
  <c r="DI191" i="12"/>
  <c r="DD191" i="12"/>
  <c r="CV191" i="12"/>
  <c r="CR191" i="12"/>
  <c r="CF191" i="12"/>
  <c r="CB191" i="12"/>
  <c r="DF204" i="12"/>
  <c r="CX203" i="12"/>
  <c r="CD203" i="12"/>
  <c r="DF202" i="12"/>
  <c r="CA202" i="12"/>
  <c r="DB201" i="12"/>
  <c r="DA201" i="12" s="1"/>
  <c r="CV201" i="12"/>
  <c r="CQ201" i="12"/>
  <c r="CL201" i="12"/>
  <c r="CH201" i="12"/>
  <c r="CD201" i="12"/>
  <c r="AR201" i="12"/>
  <c r="AQ201" i="12" s="1"/>
  <c r="AH201" i="12"/>
  <c r="DB200" i="12"/>
  <c r="DA200" i="12" s="1"/>
  <c r="CV200" i="12"/>
  <c r="CQ200" i="12"/>
  <c r="CP200" i="12" s="1"/>
  <c r="CL200" i="12"/>
  <c r="CH200" i="12"/>
  <c r="CD200" i="12"/>
  <c r="AR200" i="12"/>
  <c r="AQ200" i="12" s="1"/>
  <c r="AH200" i="12"/>
  <c r="DB199" i="12"/>
  <c r="DA199" i="12" s="1"/>
  <c r="CV199" i="12"/>
  <c r="CQ199" i="12"/>
  <c r="CP199" i="12" s="1"/>
  <c r="CL199" i="12"/>
  <c r="CH199" i="12"/>
  <c r="CD199" i="12"/>
  <c r="AR199" i="12"/>
  <c r="AQ199" i="12" s="1"/>
  <c r="AH199" i="12"/>
  <c r="DB198" i="12"/>
  <c r="DA198" i="12" s="1"/>
  <c r="CV198" i="12"/>
  <c r="CQ198" i="12"/>
  <c r="CP198" i="12" s="1"/>
  <c r="CL198" i="12"/>
  <c r="CH198" i="12"/>
  <c r="CD198" i="12"/>
  <c r="AK198" i="12"/>
  <c r="DK197" i="12"/>
  <c r="DF197" i="12"/>
  <c r="DB197" i="12"/>
  <c r="CX197" i="12"/>
  <c r="CT197" i="12"/>
  <c r="CL197" i="12"/>
  <c r="CH197" i="12"/>
  <c r="CD197" i="12"/>
  <c r="AH197" i="12"/>
  <c r="DC196" i="12"/>
  <c r="CY196" i="12"/>
  <c r="CU196" i="12"/>
  <c r="CQ196" i="12"/>
  <c r="CA196" i="12"/>
  <c r="AR196" i="12"/>
  <c r="AQ196" i="12" s="1"/>
  <c r="DI195" i="12"/>
  <c r="DD195" i="12"/>
  <c r="CV195" i="12"/>
  <c r="CR195" i="12"/>
  <c r="CF195" i="12"/>
  <c r="CB195" i="12"/>
  <c r="AJ195" i="12"/>
  <c r="DJ194" i="12"/>
  <c r="DE194" i="12"/>
  <c r="CW194" i="12"/>
  <c r="AK194" i="12"/>
  <c r="DK193" i="12"/>
  <c r="DF193" i="12"/>
  <c r="DB193" i="12"/>
  <c r="CX193" i="12"/>
  <c r="CT193" i="12"/>
  <c r="CL193" i="12"/>
  <c r="CH193" i="12"/>
  <c r="CD193" i="12"/>
  <c r="AH193" i="12"/>
  <c r="DC192" i="12"/>
  <c r="CY192" i="12"/>
  <c r="CU192" i="12"/>
  <c r="CQ192" i="12"/>
  <c r="CA192" i="12"/>
  <c r="AR192" i="12"/>
  <c r="AQ192" i="12" s="1"/>
  <c r="DC191" i="12"/>
  <c r="CY191" i="12"/>
  <c r="CU191" i="12"/>
  <c r="CQ191" i="12"/>
  <c r="CA191" i="12"/>
  <c r="AR191" i="12"/>
  <c r="AQ191" i="12" s="1"/>
  <c r="DI190" i="12"/>
  <c r="DD190" i="12"/>
  <c r="CV190" i="12"/>
  <c r="CR190" i="12"/>
  <c r="CF190" i="12"/>
  <c r="CB190" i="12"/>
  <c r="AH205" i="12"/>
  <c r="DB204" i="12"/>
  <c r="DK203" i="12"/>
  <c r="CT203" i="12"/>
  <c r="CL203" i="12"/>
  <c r="CH203" i="12"/>
  <c r="AH203" i="12"/>
  <c r="DB202" i="12"/>
  <c r="DA202" i="12" s="1"/>
  <c r="CZ202" i="12" s="1"/>
  <c r="AH202" i="12"/>
  <c r="DF201" i="12"/>
  <c r="CU201" i="12"/>
  <c r="DF200" i="12"/>
  <c r="CU200" i="12"/>
  <c r="DF199" i="12"/>
  <c r="CU199" i="12"/>
  <c r="DF198" i="12"/>
  <c r="CU198" i="12"/>
  <c r="AJ198" i="12"/>
  <c r="DJ197" i="12"/>
  <c r="DE197" i="12"/>
  <c r="CW197" i="12"/>
  <c r="AK197" i="12"/>
  <c r="DK196" i="12"/>
  <c r="DF196" i="12"/>
  <c r="DB196" i="12"/>
  <c r="CX196" i="12"/>
  <c r="CT196" i="12"/>
  <c r="CL196" i="12"/>
  <c r="CH196" i="12"/>
  <c r="CD196" i="12"/>
  <c r="AH196" i="12"/>
  <c r="DC195" i="12"/>
  <c r="CY195" i="12"/>
  <c r="CU195" i="12"/>
  <c r="CQ195" i="12"/>
  <c r="CP195" i="12" s="1"/>
  <c r="CA195" i="12"/>
  <c r="AR195" i="12"/>
  <c r="AQ195" i="12" s="1"/>
  <c r="DI194" i="12"/>
  <c r="DD194" i="12"/>
  <c r="CV194" i="12"/>
  <c r="CR194" i="12"/>
  <c r="CF194" i="12"/>
  <c r="CB194" i="12"/>
  <c r="AJ194" i="12"/>
  <c r="DJ193" i="12"/>
  <c r="DE193" i="12"/>
  <c r="CW193" i="12"/>
  <c r="CX204" i="12"/>
  <c r="CD204" i="12"/>
  <c r="DF203" i="12"/>
  <c r="CX202" i="12"/>
  <c r="CD202" i="12"/>
  <c r="AR202" i="12"/>
  <c r="AQ202" i="12" s="1"/>
  <c r="DK201" i="12"/>
  <c r="DD201" i="12"/>
  <c r="CY201" i="12"/>
  <c r="CT201" i="12"/>
  <c r="CF201" i="12"/>
  <c r="CB201" i="12"/>
  <c r="AJ201" i="12"/>
  <c r="DK200" i="12"/>
  <c r="DD200" i="12"/>
  <c r="CY200" i="12"/>
  <c r="CT200" i="12"/>
  <c r="CF200" i="12"/>
  <c r="CB200" i="12"/>
  <c r="AJ200" i="12"/>
  <c r="DK199" i="12"/>
  <c r="DD199" i="12"/>
  <c r="CY199" i="12"/>
  <c r="CT199" i="12"/>
  <c r="CF199" i="12"/>
  <c r="CB199" i="12"/>
  <c r="AJ199" i="12"/>
  <c r="DK198" i="12"/>
  <c r="DD198" i="12"/>
  <c r="CY198" i="12"/>
  <c r="CT198" i="12"/>
  <c r="CF198" i="12"/>
  <c r="CB198" i="12"/>
  <c r="AR198" i="12"/>
  <c r="AQ198" i="12" s="1"/>
  <c r="DI197" i="12"/>
  <c r="DD197" i="12"/>
  <c r="CV197" i="12"/>
  <c r="CR197" i="12"/>
  <c r="CF197" i="12"/>
  <c r="CB197" i="12"/>
  <c r="AJ197" i="12"/>
  <c r="DJ196" i="12"/>
  <c r="DE196" i="12"/>
  <c r="CW196" i="12"/>
  <c r="AK196" i="12"/>
  <c r="DK195" i="12"/>
  <c r="DF195" i="12"/>
  <c r="DB195" i="12"/>
  <c r="CX195" i="12"/>
  <c r="CT195" i="12"/>
  <c r="CL195" i="12"/>
  <c r="CH195" i="12"/>
  <c r="CD195" i="12"/>
  <c r="AH195" i="12"/>
  <c r="DC194" i="12"/>
  <c r="CY194" i="12"/>
  <c r="CU194" i="12"/>
  <c r="CQ194" i="12"/>
  <c r="CA194" i="12"/>
  <c r="AR194" i="12"/>
  <c r="AQ194" i="12" s="1"/>
  <c r="DI193" i="12"/>
  <c r="DD193" i="12"/>
  <c r="CV193" i="12"/>
  <c r="CR193" i="12"/>
  <c r="CF193" i="12"/>
  <c r="CB193" i="12"/>
  <c r="AJ193" i="12"/>
  <c r="DJ192" i="12"/>
  <c r="DE192" i="12"/>
  <c r="CW192" i="12"/>
  <c r="AK192" i="12"/>
  <c r="AK193" i="12"/>
  <c r="DB192" i="12"/>
  <c r="DF191" i="12"/>
  <c r="CX191" i="12"/>
  <c r="CL191" i="12"/>
  <c r="CH191" i="12"/>
  <c r="AK191" i="12"/>
  <c r="DJ190" i="12"/>
  <c r="DC190" i="12"/>
  <c r="CX190" i="12"/>
  <c r="AR190" i="12"/>
  <c r="AQ190" i="12" s="1"/>
  <c r="DI189" i="12"/>
  <c r="DD189" i="12"/>
  <c r="CV189" i="12"/>
  <c r="CR189" i="12"/>
  <c r="CF189" i="12"/>
  <c r="CB189" i="12"/>
  <c r="AJ189" i="12"/>
  <c r="DI188" i="12"/>
  <c r="DD188" i="12"/>
  <c r="CV188" i="12"/>
  <c r="CR188" i="12"/>
  <c r="CF188" i="12"/>
  <c r="CB188" i="12"/>
  <c r="AJ188" i="12"/>
  <c r="DI187" i="12"/>
  <c r="DD187" i="12"/>
  <c r="CV187" i="12"/>
  <c r="CR187" i="12"/>
  <c r="CF187" i="12"/>
  <c r="CB187" i="12"/>
  <c r="AJ187" i="12"/>
  <c r="DJ186" i="12"/>
  <c r="DE186" i="12"/>
  <c r="CW186" i="12"/>
  <c r="AK186" i="12"/>
  <c r="DK185" i="12"/>
  <c r="DF185" i="12"/>
  <c r="DB185" i="12"/>
  <c r="CX185" i="12"/>
  <c r="CT185" i="12"/>
  <c r="CL185" i="12"/>
  <c r="CH185" i="12"/>
  <c r="CD185" i="12"/>
  <c r="AH185" i="12"/>
  <c r="DK184" i="12"/>
  <c r="DF184" i="12"/>
  <c r="DB184" i="12"/>
  <c r="CX184" i="12"/>
  <c r="CT184" i="12"/>
  <c r="CL184" i="12"/>
  <c r="CH184" i="12"/>
  <c r="CD184" i="12"/>
  <c r="AH184" i="12"/>
  <c r="DK183" i="12"/>
  <c r="DF183" i="12"/>
  <c r="DB183" i="12"/>
  <c r="CX183" i="12"/>
  <c r="CT183" i="12"/>
  <c r="CL183" i="12"/>
  <c r="CH183" i="12"/>
  <c r="CD183" i="12"/>
  <c r="AH183" i="12"/>
  <c r="DK182" i="12"/>
  <c r="DF182" i="12"/>
  <c r="DB182" i="12"/>
  <c r="CX182" i="12"/>
  <c r="CT182" i="12"/>
  <c r="CL182" i="12"/>
  <c r="CH182" i="12"/>
  <c r="CD182" i="12"/>
  <c r="AH182" i="12"/>
  <c r="DC181" i="12"/>
  <c r="CY181" i="12"/>
  <c r="CU181" i="12"/>
  <c r="CQ181" i="12"/>
  <c r="CA181" i="12"/>
  <c r="AR181" i="12"/>
  <c r="AQ181" i="12" s="1"/>
  <c r="DI180" i="12"/>
  <c r="DD180" i="12"/>
  <c r="CV180" i="12"/>
  <c r="CR180" i="12"/>
  <c r="CF180" i="12"/>
  <c r="CB180" i="12"/>
  <c r="AJ180" i="12"/>
  <c r="DJ179" i="12"/>
  <c r="DE179" i="12"/>
  <c r="CW179" i="12"/>
  <c r="AK179" i="12"/>
  <c r="DJ178" i="12"/>
  <c r="DE178" i="12"/>
  <c r="CW178" i="12"/>
  <c r="CX192" i="12"/>
  <c r="CD192" i="12"/>
  <c r="DE191" i="12"/>
  <c r="CW191" i="12"/>
  <c r="AJ191" i="12"/>
  <c r="DB190" i="12"/>
  <c r="CW190" i="12"/>
  <c r="CQ190" i="12"/>
  <c r="CD190" i="12"/>
  <c r="AH190" i="12"/>
  <c r="DC189" i="12"/>
  <c r="CY189" i="12"/>
  <c r="CU189" i="12"/>
  <c r="CQ189" i="12"/>
  <c r="CA189" i="12"/>
  <c r="AR189" i="12"/>
  <c r="AQ189" i="12" s="1"/>
  <c r="DC188" i="12"/>
  <c r="CY188" i="12"/>
  <c r="CU188" i="12"/>
  <c r="CQ188" i="12"/>
  <c r="CA188" i="12"/>
  <c r="AR188" i="12"/>
  <c r="AQ188" i="12" s="1"/>
  <c r="DC187" i="12"/>
  <c r="CY187" i="12"/>
  <c r="CU187" i="12"/>
  <c r="CQ187" i="12"/>
  <c r="CA187" i="12"/>
  <c r="AR187" i="12"/>
  <c r="AQ187" i="12" s="1"/>
  <c r="DI186" i="12"/>
  <c r="DD186" i="12"/>
  <c r="CV186" i="12"/>
  <c r="CR186" i="12"/>
  <c r="CF186" i="12"/>
  <c r="CB186" i="12"/>
  <c r="AJ186" i="12"/>
  <c r="DJ185" i="12"/>
  <c r="DE185" i="12"/>
  <c r="CW185" i="12"/>
  <c r="AK185" i="12"/>
  <c r="DJ184" i="12"/>
  <c r="DE184" i="12"/>
  <c r="CW184" i="12"/>
  <c r="AK184" i="12"/>
  <c r="DJ183" i="12"/>
  <c r="DE183" i="12"/>
  <c r="CW183" i="12"/>
  <c r="AK183" i="12"/>
  <c r="DJ182" i="12"/>
  <c r="DE182" i="12"/>
  <c r="CW182" i="12"/>
  <c r="AK182" i="12"/>
  <c r="DK181" i="12"/>
  <c r="DF181" i="12"/>
  <c r="DB181" i="12"/>
  <c r="CX181" i="12"/>
  <c r="CT181" i="12"/>
  <c r="CL181" i="12"/>
  <c r="CH181" i="12"/>
  <c r="CD181" i="12"/>
  <c r="AH181" i="12"/>
  <c r="DC180" i="12"/>
  <c r="CY180" i="12"/>
  <c r="CU180" i="12"/>
  <c r="CQ180" i="12"/>
  <c r="CA180" i="12"/>
  <c r="AR180" i="12"/>
  <c r="AQ180" i="12" s="1"/>
  <c r="DI179" i="12"/>
  <c r="DD179" i="12"/>
  <c r="CV179" i="12"/>
  <c r="CR179" i="12"/>
  <c r="CF179" i="12"/>
  <c r="CB179" i="12"/>
  <c r="AJ179" i="12"/>
  <c r="DI178" i="12"/>
  <c r="DD178" i="12"/>
  <c r="CV178" i="12"/>
  <c r="CR178" i="12"/>
  <c r="CF178" i="12"/>
  <c r="CB178" i="12"/>
  <c r="AJ178" i="12"/>
  <c r="DC177" i="12"/>
  <c r="CY177" i="12"/>
  <c r="CU177" i="12"/>
  <c r="CQ177" i="12"/>
  <c r="CA177" i="12"/>
  <c r="AR177" i="12"/>
  <c r="AQ177" i="12" s="1"/>
  <c r="DK192" i="12"/>
  <c r="CT192" i="12"/>
  <c r="CL192" i="12"/>
  <c r="CH192" i="12"/>
  <c r="AH192" i="12"/>
  <c r="DK191" i="12"/>
  <c r="DB191" i="12"/>
  <c r="CT191" i="12"/>
  <c r="DF190" i="12"/>
  <c r="CU190" i="12"/>
  <c r="CL190" i="12"/>
  <c r="CH190" i="12"/>
  <c r="AK190" i="12"/>
  <c r="DK189" i="12"/>
  <c r="DF189" i="12"/>
  <c r="DB189" i="12"/>
  <c r="CX189" i="12"/>
  <c r="CT189" i="12"/>
  <c r="CL189" i="12"/>
  <c r="CH189" i="12"/>
  <c r="CD189" i="12"/>
  <c r="AH189" i="12"/>
  <c r="DK188" i="12"/>
  <c r="DF188" i="12"/>
  <c r="DB188" i="12"/>
  <c r="CX188" i="12"/>
  <c r="CT188" i="12"/>
  <c r="CL188" i="12"/>
  <c r="CH188" i="12"/>
  <c r="CD188" i="12"/>
  <c r="AH188" i="12"/>
  <c r="DK187" i="12"/>
  <c r="DF187" i="12"/>
  <c r="DB187" i="12"/>
  <c r="CX187" i="12"/>
  <c r="CT187" i="12"/>
  <c r="CL187" i="12"/>
  <c r="CH187" i="12"/>
  <c r="CD187" i="12"/>
  <c r="AH187" i="12"/>
  <c r="DC186" i="12"/>
  <c r="CY186" i="12"/>
  <c r="CU186" i="12"/>
  <c r="CQ186" i="12"/>
  <c r="CA186" i="12"/>
  <c r="AR186" i="12"/>
  <c r="AQ186" i="12" s="1"/>
  <c r="DI185" i="12"/>
  <c r="DD185" i="12"/>
  <c r="CV185" i="12"/>
  <c r="CR185" i="12"/>
  <c r="CF185" i="12"/>
  <c r="CB185" i="12"/>
  <c r="AJ185" i="12"/>
  <c r="DI184" i="12"/>
  <c r="DD184" i="12"/>
  <c r="CV184" i="12"/>
  <c r="CR184" i="12"/>
  <c r="CF184" i="12"/>
  <c r="CB184" i="12"/>
  <c r="AJ184" i="12"/>
  <c r="DI183" i="12"/>
  <c r="DD183" i="12"/>
  <c r="CV183" i="12"/>
  <c r="CR183" i="12"/>
  <c r="CF183" i="12"/>
  <c r="CB183" i="12"/>
  <c r="AJ183" i="12"/>
  <c r="DI182" i="12"/>
  <c r="DD182" i="12"/>
  <c r="CV182" i="12"/>
  <c r="CR182" i="12"/>
  <c r="CF182" i="12"/>
  <c r="CB182" i="12"/>
  <c r="AJ182" i="12"/>
  <c r="DF192" i="12"/>
  <c r="DJ191" i="12"/>
  <c r="CD191" i="12"/>
  <c r="AH191" i="12"/>
  <c r="DK190" i="12"/>
  <c r="DE190" i="12"/>
  <c r="CY190" i="12"/>
  <c r="CT190" i="12"/>
  <c r="CA190" i="12"/>
  <c r="AJ190" i="12"/>
  <c r="DJ189" i="12"/>
  <c r="DE189" i="12"/>
  <c r="CW189" i="12"/>
  <c r="AK189" i="12"/>
  <c r="DJ188" i="12"/>
  <c r="DE188" i="12"/>
  <c r="CW188" i="12"/>
  <c r="AK188" i="12"/>
  <c r="DJ187" i="12"/>
  <c r="DE187" i="12"/>
  <c r="CW187" i="12"/>
  <c r="AK187" i="12"/>
  <c r="DK186" i="12"/>
  <c r="DF186" i="12"/>
  <c r="DB186" i="12"/>
  <c r="CX186" i="12"/>
  <c r="CT186" i="12"/>
  <c r="CL186" i="12"/>
  <c r="CH186" i="12"/>
  <c r="CD186" i="12"/>
  <c r="AH186" i="12"/>
  <c r="DC185" i="12"/>
  <c r="CY185" i="12"/>
  <c r="CU185" i="12"/>
  <c r="CQ185" i="12"/>
  <c r="CA185" i="12"/>
  <c r="AR185" i="12"/>
  <c r="AQ185" i="12" s="1"/>
  <c r="DC184" i="12"/>
  <c r="CY184" i="12"/>
  <c r="CU184" i="12"/>
  <c r="CQ184" i="12"/>
  <c r="CA184" i="12"/>
  <c r="AR184" i="12"/>
  <c r="AQ184" i="12" s="1"/>
  <c r="DC183" i="12"/>
  <c r="CY183" i="12"/>
  <c r="CU183" i="12"/>
  <c r="CQ183" i="12"/>
  <c r="CA183" i="12"/>
  <c r="AR183" i="12"/>
  <c r="AQ183" i="12" s="1"/>
  <c r="DC182" i="12"/>
  <c r="CY182" i="12"/>
  <c r="CU182" i="12"/>
  <c r="CQ182" i="12"/>
  <c r="CA182" i="12"/>
  <c r="AR182" i="12"/>
  <c r="AQ182" i="12" s="1"/>
  <c r="DI181" i="12"/>
  <c r="DD181" i="12"/>
  <c r="CV181" i="12"/>
  <c r="CR181" i="12"/>
  <c r="CF181" i="12"/>
  <c r="CB181" i="12"/>
  <c r="AJ181" i="12"/>
  <c r="DJ180" i="12"/>
  <c r="DE180" i="12"/>
  <c r="CW180" i="12"/>
  <c r="AK180" i="12"/>
  <c r="DK179" i="12"/>
  <c r="DF179" i="12"/>
  <c r="DB179" i="12"/>
  <c r="CX179" i="12"/>
  <c r="CT179" i="12"/>
  <c r="CL179" i="12"/>
  <c r="CH179" i="12"/>
  <c r="CD179" i="12"/>
  <c r="AH179" i="12"/>
  <c r="DK178" i="12"/>
  <c r="DF178" i="12"/>
  <c r="DB178" i="12"/>
  <c r="CX178" i="12"/>
  <c r="CT178" i="12"/>
  <c r="CL178" i="12"/>
  <c r="CH178" i="12"/>
  <c r="CD178" i="12"/>
  <c r="AH178" i="12"/>
  <c r="DJ177" i="12"/>
  <c r="DE177" i="12"/>
  <c r="CW177" i="12"/>
  <c r="AK177" i="12"/>
  <c r="DK176" i="12"/>
  <c r="DF176" i="12"/>
  <c r="DB176" i="12"/>
  <c r="CX176" i="12"/>
  <c r="CT176" i="12"/>
  <c r="CL176" i="12"/>
  <c r="CH176" i="12"/>
  <c r="CD176" i="12"/>
  <c r="AH176" i="12"/>
  <c r="DK175" i="12"/>
  <c r="DF175" i="12"/>
  <c r="DB175" i="12"/>
  <c r="CX175" i="12"/>
  <c r="CT175" i="12"/>
  <c r="CL175" i="12"/>
  <c r="CH175" i="12"/>
  <c r="CD175" i="12"/>
  <c r="AH175" i="12"/>
  <c r="DK174" i="12"/>
  <c r="DF174" i="12"/>
  <c r="DB174" i="12"/>
  <c r="CX174" i="12"/>
  <c r="CT174" i="12"/>
  <c r="CL174" i="12"/>
  <c r="CH174" i="12"/>
  <c r="CD174" i="12"/>
  <c r="AH174" i="12"/>
  <c r="DK173" i="12"/>
  <c r="DF173" i="12"/>
  <c r="DB173" i="12"/>
  <c r="CX173" i="12"/>
  <c r="CT173" i="12"/>
  <c r="CL173" i="12"/>
  <c r="CH173" i="12"/>
  <c r="CD173" i="12"/>
  <c r="AH173" i="12"/>
  <c r="DK172" i="12"/>
  <c r="DF172" i="12"/>
  <c r="DB172" i="12"/>
  <c r="CX172" i="12"/>
  <c r="CT172" i="12"/>
  <c r="CL172" i="12"/>
  <c r="CH172" i="12"/>
  <c r="CD172" i="12"/>
  <c r="DE181" i="12"/>
  <c r="DB180" i="12"/>
  <c r="DA180" i="12" s="1"/>
  <c r="DC179" i="12"/>
  <c r="CA179" i="12"/>
  <c r="CU178" i="12"/>
  <c r="DK177" i="12"/>
  <c r="DB177" i="12"/>
  <c r="CT177" i="12"/>
  <c r="CV176" i="12"/>
  <c r="CQ176" i="12"/>
  <c r="CF176" i="12"/>
  <c r="CA176" i="12"/>
  <c r="CV175" i="12"/>
  <c r="CQ175" i="12"/>
  <c r="CF175" i="12"/>
  <c r="CA175" i="12"/>
  <c r="DJ174" i="12"/>
  <c r="DD174" i="12"/>
  <c r="CY174" i="12"/>
  <c r="AJ174" i="12"/>
  <c r="CV173" i="12"/>
  <c r="CQ173" i="12"/>
  <c r="CF173" i="12"/>
  <c r="CA173" i="12"/>
  <c r="DI172" i="12"/>
  <c r="DC172" i="12"/>
  <c r="CW172" i="12"/>
  <c r="CR172" i="12"/>
  <c r="CB172" i="12"/>
  <c r="AJ172" i="12"/>
  <c r="DI171" i="12"/>
  <c r="DD171" i="12"/>
  <c r="CV171" i="12"/>
  <c r="CR171" i="12"/>
  <c r="CF171" i="12"/>
  <c r="CB171" i="12"/>
  <c r="AJ171" i="12"/>
  <c r="DI170" i="12"/>
  <c r="DD170" i="12"/>
  <c r="CV170" i="12"/>
  <c r="CR170" i="12"/>
  <c r="CF170" i="12"/>
  <c r="CB170" i="12"/>
  <c r="AJ170" i="12"/>
  <c r="DI169" i="12"/>
  <c r="DD169" i="12"/>
  <c r="CV169" i="12"/>
  <c r="CR169" i="12"/>
  <c r="CF169" i="12"/>
  <c r="CB169" i="12"/>
  <c r="AJ169" i="12"/>
  <c r="DI168" i="12"/>
  <c r="DD168" i="12"/>
  <c r="CV168" i="12"/>
  <c r="CR168" i="12"/>
  <c r="CF168" i="12"/>
  <c r="CB168" i="12"/>
  <c r="AJ168" i="12"/>
  <c r="DI167" i="12"/>
  <c r="DD167" i="12"/>
  <c r="CV167" i="12"/>
  <c r="CR167" i="12"/>
  <c r="CF167" i="12"/>
  <c r="CB167" i="12"/>
  <c r="AJ167" i="12"/>
  <c r="DI166" i="12"/>
  <c r="DD166" i="12"/>
  <c r="CV166" i="12"/>
  <c r="CR166" i="12"/>
  <c r="CF166" i="12"/>
  <c r="CB166" i="12"/>
  <c r="AJ166" i="12"/>
  <c r="DI165" i="12"/>
  <c r="DD165" i="12"/>
  <c r="CV165" i="12"/>
  <c r="CR165" i="12"/>
  <c r="CF165" i="12"/>
  <c r="CB165" i="12"/>
  <c r="AJ165" i="12"/>
  <c r="DI164" i="12"/>
  <c r="DD164" i="12"/>
  <c r="CV164" i="12"/>
  <c r="CR164" i="12"/>
  <c r="CF164" i="12"/>
  <c r="CB164" i="12"/>
  <c r="AJ164" i="12"/>
  <c r="DI163" i="12"/>
  <c r="DD163" i="12"/>
  <c r="CV163" i="12"/>
  <c r="CR163" i="12"/>
  <c r="CF163" i="12"/>
  <c r="CB163" i="12"/>
  <c r="AJ163" i="12"/>
  <c r="DI162" i="12"/>
  <c r="DD162" i="12"/>
  <c r="CV162" i="12"/>
  <c r="CR162" i="12"/>
  <c r="CF162" i="12"/>
  <c r="CB162" i="12"/>
  <c r="AJ162" i="12"/>
  <c r="DI161" i="12"/>
  <c r="DD161" i="12"/>
  <c r="CV161" i="12"/>
  <c r="CR161" i="12"/>
  <c r="CF161" i="12"/>
  <c r="CB161" i="12"/>
  <c r="AK181" i="12"/>
  <c r="CX180" i="12"/>
  <c r="CD180" i="12"/>
  <c r="CY179" i="12"/>
  <c r="CQ178" i="12"/>
  <c r="DI177" i="12"/>
  <c r="CR177" i="12"/>
  <c r="CL177" i="12"/>
  <c r="CH177" i="12"/>
  <c r="CD177" i="12"/>
  <c r="AJ177" i="12"/>
  <c r="DE176" i="12"/>
  <c r="CU176" i="12"/>
  <c r="AR176" i="12"/>
  <c r="AQ176" i="12" s="1"/>
  <c r="AK176" i="12"/>
  <c r="DE175" i="12"/>
  <c r="CU175" i="12"/>
  <c r="AR175" i="12"/>
  <c r="AQ175" i="12" s="1"/>
  <c r="AK175" i="12"/>
  <c r="DI174" i="12"/>
  <c r="DC174" i="12"/>
  <c r="CW174" i="12"/>
  <c r="CR174" i="12"/>
  <c r="CB174" i="12"/>
  <c r="DE173" i="12"/>
  <c r="CU173" i="12"/>
  <c r="AR173" i="12"/>
  <c r="AQ173" i="12" s="1"/>
  <c r="AK173" i="12"/>
  <c r="CV172" i="12"/>
  <c r="CQ172" i="12"/>
  <c r="CP172" i="12" s="1"/>
  <c r="CF172" i="12"/>
  <c r="CA172" i="12"/>
  <c r="AR172" i="12"/>
  <c r="AQ172" i="12" s="1"/>
  <c r="DC171" i="12"/>
  <c r="CY171" i="12"/>
  <c r="CU171" i="12"/>
  <c r="CQ171" i="12"/>
  <c r="CA171" i="12"/>
  <c r="AR171" i="12"/>
  <c r="AQ171" i="12" s="1"/>
  <c r="DC170" i="12"/>
  <c r="CY170" i="12"/>
  <c r="CU170" i="12"/>
  <c r="CQ170" i="12"/>
  <c r="CP170" i="12" s="1"/>
  <c r="CA170" i="12"/>
  <c r="AR170" i="12"/>
  <c r="AQ170" i="12" s="1"/>
  <c r="DC169" i="12"/>
  <c r="CY169" i="12"/>
  <c r="CU169" i="12"/>
  <c r="CQ169" i="12"/>
  <c r="CA169" i="12"/>
  <c r="AR169" i="12"/>
  <c r="AQ169" i="12" s="1"/>
  <c r="DC168" i="12"/>
  <c r="CY168" i="12"/>
  <c r="CU168" i="12"/>
  <c r="CQ168" i="12"/>
  <c r="CA168" i="12"/>
  <c r="AR168" i="12"/>
  <c r="AQ168" i="12" s="1"/>
  <c r="DC167" i="12"/>
  <c r="CY167" i="12"/>
  <c r="CU167" i="12"/>
  <c r="CQ167" i="12"/>
  <c r="CA167" i="12"/>
  <c r="AR167" i="12"/>
  <c r="AQ167" i="12" s="1"/>
  <c r="DC166" i="12"/>
  <c r="CY166" i="12"/>
  <c r="CU166" i="12"/>
  <c r="CQ166" i="12"/>
  <c r="CP166" i="12" s="1"/>
  <c r="CA166" i="12"/>
  <c r="AR166" i="12"/>
  <c r="AQ166" i="12" s="1"/>
  <c r="DC165" i="12"/>
  <c r="CY165" i="12"/>
  <c r="CU165" i="12"/>
  <c r="CQ165" i="12"/>
  <c r="CA165" i="12"/>
  <c r="AR165" i="12"/>
  <c r="AQ165" i="12" s="1"/>
  <c r="DC164" i="12"/>
  <c r="CY164" i="12"/>
  <c r="CU164" i="12"/>
  <c r="CQ164" i="12"/>
  <c r="CA164" i="12"/>
  <c r="AR164" i="12"/>
  <c r="AQ164" i="12" s="1"/>
  <c r="DC163" i="12"/>
  <c r="CY163" i="12"/>
  <c r="CU163" i="12"/>
  <c r="CQ163" i="12"/>
  <c r="CA163" i="12"/>
  <c r="AR163" i="12"/>
  <c r="AQ163" i="12" s="1"/>
  <c r="DC162" i="12"/>
  <c r="CY162" i="12"/>
  <c r="CU162" i="12"/>
  <c r="CQ162" i="12"/>
  <c r="CP162" i="12" s="1"/>
  <c r="CA162" i="12"/>
  <c r="AR162" i="12"/>
  <c r="AQ162" i="12" s="1"/>
  <c r="DC161" i="12"/>
  <c r="CY161" i="12"/>
  <c r="CU161" i="12"/>
  <c r="CQ161" i="12"/>
  <c r="CA161" i="12"/>
  <c r="AR161" i="12"/>
  <c r="AQ161" i="12" s="1"/>
  <c r="DC160" i="12"/>
  <c r="CY160" i="12"/>
  <c r="CU160" i="12"/>
  <c r="CQ160" i="12"/>
  <c r="CA160" i="12"/>
  <c r="AR160" i="12"/>
  <c r="AQ160" i="12" s="1"/>
  <c r="DC159" i="12"/>
  <c r="CY159" i="12"/>
  <c r="CU159" i="12"/>
  <c r="CQ159" i="12"/>
  <c r="CA159" i="12"/>
  <c r="AR159" i="12"/>
  <c r="AQ159" i="12" s="1"/>
  <c r="DC158" i="12"/>
  <c r="CY158" i="12"/>
  <c r="CU158" i="12"/>
  <c r="CQ158" i="12"/>
  <c r="CA158" i="12"/>
  <c r="AR158" i="12"/>
  <c r="AQ158" i="12" s="1"/>
  <c r="DC157" i="12"/>
  <c r="CY157" i="12"/>
  <c r="CU157" i="12"/>
  <c r="CQ157" i="12"/>
  <c r="CA157" i="12"/>
  <c r="AR157" i="12"/>
  <c r="AQ157" i="12" s="1"/>
  <c r="DC156" i="12"/>
  <c r="CY156" i="12"/>
  <c r="CU156" i="12"/>
  <c r="CQ156" i="12"/>
  <c r="CA156" i="12"/>
  <c r="AR156" i="12"/>
  <c r="AQ156" i="12" s="1"/>
  <c r="DC155" i="12"/>
  <c r="CY155" i="12"/>
  <c r="CU155" i="12"/>
  <c r="CQ155" i="12"/>
  <c r="CA155" i="12"/>
  <c r="AR155" i="12"/>
  <c r="AQ155" i="12" s="1"/>
  <c r="DC154" i="12"/>
  <c r="CY154" i="12"/>
  <c r="CU154" i="12"/>
  <c r="CW181" i="12"/>
  <c r="DK180" i="12"/>
  <c r="CT180" i="12"/>
  <c r="CL180" i="12"/>
  <c r="CH180" i="12"/>
  <c r="AH180" i="12"/>
  <c r="CU179" i="12"/>
  <c r="DC178" i="12"/>
  <c r="CA178" i="12"/>
  <c r="AR178" i="12"/>
  <c r="AQ178" i="12" s="1"/>
  <c r="AK178" i="12"/>
  <c r="DF177" i="12"/>
  <c r="CX177" i="12"/>
  <c r="DJ176" i="12"/>
  <c r="DD176" i="12"/>
  <c r="CY176" i="12"/>
  <c r="AJ176" i="12"/>
  <c r="DJ175" i="12"/>
  <c r="DD175" i="12"/>
  <c r="CY175" i="12"/>
  <c r="AJ175" i="12"/>
  <c r="CV174" i="12"/>
  <c r="CQ174" i="12"/>
  <c r="CF174" i="12"/>
  <c r="CA174" i="12"/>
  <c r="DJ173" i="12"/>
  <c r="DD173" i="12"/>
  <c r="CY173" i="12"/>
  <c r="AJ173" i="12"/>
  <c r="DE172" i="12"/>
  <c r="CU172" i="12"/>
  <c r="AH172" i="12"/>
  <c r="DK171" i="12"/>
  <c r="DF171" i="12"/>
  <c r="DB171" i="12"/>
  <c r="DA171" i="12" s="1"/>
  <c r="CX171" i="12"/>
  <c r="CT171" i="12"/>
  <c r="CL171" i="12"/>
  <c r="CH171" i="12"/>
  <c r="CD171" i="12"/>
  <c r="AH171" i="12"/>
  <c r="DK170" i="12"/>
  <c r="DF170" i="12"/>
  <c r="DB170" i="12"/>
  <c r="DA170" i="12" s="1"/>
  <c r="CX170" i="12"/>
  <c r="CT170" i="12"/>
  <c r="CL170" i="12"/>
  <c r="CH170" i="12"/>
  <c r="CD170" i="12"/>
  <c r="AH170" i="12"/>
  <c r="DK169" i="12"/>
  <c r="DF169" i="12"/>
  <c r="DB169" i="12"/>
  <c r="DA169" i="12" s="1"/>
  <c r="CX169" i="12"/>
  <c r="CT169" i="12"/>
  <c r="CL169" i="12"/>
  <c r="CH169" i="12"/>
  <c r="CD169" i="12"/>
  <c r="AH169" i="12"/>
  <c r="DK168" i="12"/>
  <c r="DF168" i="12"/>
  <c r="DB168" i="12"/>
  <c r="DA168" i="12" s="1"/>
  <c r="CX168" i="12"/>
  <c r="CT168" i="12"/>
  <c r="CL168" i="12"/>
  <c r="CH168" i="12"/>
  <c r="CD168" i="12"/>
  <c r="AH168" i="12"/>
  <c r="DK167" i="12"/>
  <c r="DF167" i="12"/>
  <c r="DB167" i="12"/>
  <c r="DA167" i="12" s="1"/>
  <c r="CX167" i="12"/>
  <c r="CT167" i="12"/>
  <c r="CL167" i="12"/>
  <c r="CH167" i="12"/>
  <c r="CD167" i="12"/>
  <c r="AH167" i="12"/>
  <c r="DK166" i="12"/>
  <c r="DF166" i="12"/>
  <c r="DB166" i="12"/>
  <c r="DA166" i="12" s="1"/>
  <c r="CX166" i="12"/>
  <c r="CT166" i="12"/>
  <c r="CL166" i="12"/>
  <c r="CH166" i="12"/>
  <c r="CD166" i="12"/>
  <c r="AH166" i="12"/>
  <c r="DK165" i="12"/>
  <c r="DF165" i="12"/>
  <c r="DB165" i="12"/>
  <c r="DA165" i="12" s="1"/>
  <c r="CX165" i="12"/>
  <c r="CT165" i="12"/>
  <c r="CL165" i="12"/>
  <c r="CH165" i="12"/>
  <c r="CD165" i="12"/>
  <c r="AH165" i="12"/>
  <c r="DK164" i="12"/>
  <c r="DF164" i="12"/>
  <c r="DB164" i="12"/>
  <c r="DA164" i="12" s="1"/>
  <c r="CX164" i="12"/>
  <c r="CT164" i="12"/>
  <c r="CL164" i="12"/>
  <c r="CH164" i="12"/>
  <c r="CD164" i="12"/>
  <c r="AH164" i="12"/>
  <c r="DK163" i="12"/>
  <c r="DF163" i="12"/>
  <c r="DB163" i="12"/>
  <c r="DA163" i="12" s="1"/>
  <c r="CX163" i="12"/>
  <c r="CT163" i="12"/>
  <c r="CL163" i="12"/>
  <c r="CH163" i="12"/>
  <c r="CD163" i="12"/>
  <c r="AH163" i="12"/>
  <c r="DK162" i="12"/>
  <c r="DF162" i="12"/>
  <c r="DB162" i="12"/>
  <c r="DA162" i="12" s="1"/>
  <c r="CX162" i="12"/>
  <c r="CT162" i="12"/>
  <c r="CL162" i="12"/>
  <c r="CH162" i="12"/>
  <c r="CD162" i="12"/>
  <c r="AH162" i="12"/>
  <c r="DK161" i="12"/>
  <c r="DF161" i="12"/>
  <c r="DB161" i="12"/>
  <c r="DA161" i="12" s="1"/>
  <c r="CX161" i="12"/>
  <c r="CT161" i="12"/>
  <c r="CL161" i="12"/>
  <c r="CH161" i="12"/>
  <c r="CD161" i="12"/>
  <c r="AH161" i="12"/>
  <c r="DK160" i="12"/>
  <c r="DF160" i="12"/>
  <c r="DB160" i="12"/>
  <c r="DA160" i="12" s="1"/>
  <c r="CX160" i="12"/>
  <c r="CT160" i="12"/>
  <c r="CL160" i="12"/>
  <c r="CH160" i="12"/>
  <c r="CD160" i="12"/>
  <c r="AH160" i="12"/>
  <c r="DK159" i="12"/>
  <c r="DF159" i="12"/>
  <c r="DB159" i="12"/>
  <c r="DA159" i="12" s="1"/>
  <c r="CX159" i="12"/>
  <c r="CT159" i="12"/>
  <c r="CL159" i="12"/>
  <c r="CH159" i="12"/>
  <c r="CD159" i="12"/>
  <c r="AH159" i="12"/>
  <c r="DK158" i="12"/>
  <c r="DF158" i="12"/>
  <c r="DB158" i="12"/>
  <c r="DA158" i="12" s="1"/>
  <c r="CX158" i="12"/>
  <c r="CT158" i="12"/>
  <c r="CL158" i="12"/>
  <c r="CH158" i="12"/>
  <c r="CD158" i="12"/>
  <c r="DJ181" i="12"/>
  <c r="DF180" i="12"/>
  <c r="CQ179" i="12"/>
  <c r="AR179" i="12"/>
  <c r="AQ179" i="12" s="1"/>
  <c r="CY178" i="12"/>
  <c r="DD177" i="12"/>
  <c r="CV177" i="12"/>
  <c r="CF177" i="12"/>
  <c r="CB177" i="12"/>
  <c r="AH177" i="12"/>
  <c r="DI176" i="12"/>
  <c r="DC176" i="12"/>
  <c r="CW176" i="12"/>
  <c r="CR176" i="12"/>
  <c r="CB176" i="12"/>
  <c r="DI175" i="12"/>
  <c r="DC175" i="12"/>
  <c r="CW175" i="12"/>
  <c r="CR175" i="12"/>
  <c r="CB175" i="12"/>
  <c r="DE174" i="12"/>
  <c r="CU174" i="12"/>
  <c r="AR174" i="12"/>
  <c r="AQ174" i="12" s="1"/>
  <c r="AK174" i="12"/>
  <c r="DI173" i="12"/>
  <c r="DH173" i="12" s="1"/>
  <c r="DC173" i="12"/>
  <c r="CW173" i="12"/>
  <c r="CR173" i="12"/>
  <c r="CB173" i="12"/>
  <c r="DJ172" i="12"/>
  <c r="DD172" i="12"/>
  <c r="CY172" i="12"/>
  <c r="AK172" i="12"/>
  <c r="DJ171" i="12"/>
  <c r="DE171" i="12"/>
  <c r="CW171" i="12"/>
  <c r="AK171" i="12"/>
  <c r="DJ170" i="12"/>
  <c r="DE170" i="12"/>
  <c r="CW170" i="12"/>
  <c r="AK170" i="12"/>
  <c r="DJ169" i="12"/>
  <c r="DE169" i="12"/>
  <c r="CW169" i="12"/>
  <c r="AK169" i="12"/>
  <c r="DJ168" i="12"/>
  <c r="DE168" i="12"/>
  <c r="CW168" i="12"/>
  <c r="AK168" i="12"/>
  <c r="DJ167" i="12"/>
  <c r="DE167" i="12"/>
  <c r="CW167" i="12"/>
  <c r="AK167" i="12"/>
  <c r="DJ166" i="12"/>
  <c r="DE166" i="12"/>
  <c r="CW166" i="12"/>
  <c r="AK166" i="12"/>
  <c r="DJ165" i="12"/>
  <c r="DE165" i="12"/>
  <c r="CW165" i="12"/>
  <c r="AK165" i="12"/>
  <c r="DJ164" i="12"/>
  <c r="DE164" i="12"/>
  <c r="CW164" i="12"/>
  <c r="AK164" i="12"/>
  <c r="DJ163" i="12"/>
  <c r="DE163" i="12"/>
  <c r="CW163" i="12"/>
  <c r="AK163" i="12"/>
  <c r="DJ162" i="12"/>
  <c r="DE162" i="12"/>
  <c r="CW162" i="12"/>
  <c r="AK162" i="12"/>
  <c r="DJ161" i="12"/>
  <c r="DE161" i="12"/>
  <c r="CW161" i="12"/>
  <c r="AK161" i="12"/>
  <c r="DJ160" i="12"/>
  <c r="DE160" i="12"/>
  <c r="CW160" i="12"/>
  <c r="AK160" i="12"/>
  <c r="DJ159" i="12"/>
  <c r="DE159" i="12"/>
  <c r="CW159" i="12"/>
  <c r="AK159" i="12"/>
  <c r="DJ158" i="12"/>
  <c r="DE158" i="12"/>
  <c r="CW158" i="12"/>
  <c r="AK158" i="12"/>
  <c r="DJ157" i="12"/>
  <c r="DE157" i="12"/>
  <c r="CW157" i="12"/>
  <c r="AK157" i="12"/>
  <c r="DJ156" i="12"/>
  <c r="DE156" i="12"/>
  <c r="CW156" i="12"/>
  <c r="AK156" i="12"/>
  <c r="DJ155" i="12"/>
  <c r="DE155" i="12"/>
  <c r="CW155" i="12"/>
  <c r="CB160" i="12"/>
  <c r="CB159" i="12"/>
  <c r="CV158" i="12"/>
  <c r="CF158" i="12"/>
  <c r="DI157" i="12"/>
  <c r="CR157" i="12"/>
  <c r="CL157" i="12"/>
  <c r="CH157" i="12"/>
  <c r="CD157" i="12"/>
  <c r="AJ157" i="12"/>
  <c r="DK156" i="12"/>
  <c r="DB156" i="12"/>
  <c r="CT156" i="12"/>
  <c r="DF155" i="12"/>
  <c r="CX155" i="12"/>
  <c r="DI154" i="12"/>
  <c r="DB154" i="12"/>
  <c r="CW154" i="12"/>
  <c r="CR154" i="12"/>
  <c r="CF154" i="12"/>
  <c r="CB154" i="12"/>
  <c r="AJ154" i="12"/>
  <c r="DI153" i="12"/>
  <c r="DD153" i="12"/>
  <c r="CV153" i="12"/>
  <c r="CR153" i="12"/>
  <c r="CF153" i="12"/>
  <c r="CB153" i="12"/>
  <c r="AJ153" i="12"/>
  <c r="DI152" i="12"/>
  <c r="DD152" i="12"/>
  <c r="CV152" i="12"/>
  <c r="CR152" i="12"/>
  <c r="CF152" i="12"/>
  <c r="CB152" i="12"/>
  <c r="AJ152" i="12"/>
  <c r="DI151" i="12"/>
  <c r="DD151" i="12"/>
  <c r="CV151" i="12"/>
  <c r="CR151" i="12"/>
  <c r="CF151" i="12"/>
  <c r="CB151" i="12"/>
  <c r="AJ151" i="12"/>
  <c r="DI150" i="12"/>
  <c r="DD150" i="12"/>
  <c r="CV150" i="12"/>
  <c r="CR150" i="12"/>
  <c r="CF150" i="12"/>
  <c r="CB150" i="12"/>
  <c r="AJ150" i="12"/>
  <c r="DI149" i="12"/>
  <c r="DD149" i="12"/>
  <c r="CV149" i="12"/>
  <c r="CR149" i="12"/>
  <c r="CF149" i="12"/>
  <c r="CB149" i="12"/>
  <c r="AJ149" i="12"/>
  <c r="DI148" i="12"/>
  <c r="DD148" i="12"/>
  <c r="CV148" i="12"/>
  <c r="CR148" i="12"/>
  <c r="CF148" i="12"/>
  <c r="CB148" i="12"/>
  <c r="AJ148" i="12"/>
  <c r="DI147" i="12"/>
  <c r="DD147" i="12"/>
  <c r="CV147" i="12"/>
  <c r="CR147" i="12"/>
  <c r="CF147" i="12"/>
  <c r="CB147" i="12"/>
  <c r="AJ147" i="12"/>
  <c r="DI146" i="12"/>
  <c r="DD146" i="12"/>
  <c r="CV146" i="12"/>
  <c r="CR146" i="12"/>
  <c r="CF146" i="12"/>
  <c r="CB146" i="12"/>
  <c r="AJ161" i="12"/>
  <c r="CV160" i="12"/>
  <c r="CF160" i="12"/>
  <c r="AJ160" i="12"/>
  <c r="CV159" i="12"/>
  <c r="CF159" i="12"/>
  <c r="AJ159" i="12"/>
  <c r="DI158" i="12"/>
  <c r="CR158" i="12"/>
  <c r="AH158" i="12"/>
  <c r="DF157" i="12"/>
  <c r="CX157" i="12"/>
  <c r="DI156" i="12"/>
  <c r="CR156" i="12"/>
  <c r="CL156" i="12"/>
  <c r="CH156" i="12"/>
  <c r="CD156" i="12"/>
  <c r="AJ156" i="12"/>
  <c r="DD155" i="12"/>
  <c r="CV155" i="12"/>
  <c r="CF155" i="12"/>
  <c r="CB155" i="12"/>
  <c r="AH155" i="12"/>
  <c r="DF154" i="12"/>
  <c r="CV154" i="12"/>
  <c r="CQ154" i="12"/>
  <c r="CP154" i="12" s="1"/>
  <c r="CA154" i="12"/>
  <c r="AR154" i="12"/>
  <c r="AQ154" i="12" s="1"/>
  <c r="DC153" i="12"/>
  <c r="CY153" i="12"/>
  <c r="CU153" i="12"/>
  <c r="CQ153" i="12"/>
  <c r="CA153" i="12"/>
  <c r="AR153" i="12"/>
  <c r="AQ153" i="12" s="1"/>
  <c r="DC152" i="12"/>
  <c r="CY152" i="12"/>
  <c r="CU152" i="12"/>
  <c r="CQ152" i="12"/>
  <c r="CA152" i="12"/>
  <c r="AR152" i="12"/>
  <c r="AQ152" i="12" s="1"/>
  <c r="DC151" i="12"/>
  <c r="CY151" i="12"/>
  <c r="CU151" i="12"/>
  <c r="CQ151" i="12"/>
  <c r="CA151" i="12"/>
  <c r="AR151" i="12"/>
  <c r="AQ151" i="12" s="1"/>
  <c r="DC150" i="12"/>
  <c r="CY150" i="12"/>
  <c r="CU150" i="12"/>
  <c r="CQ150" i="12"/>
  <c r="CP150" i="12" s="1"/>
  <c r="CA150" i="12"/>
  <c r="AR150" i="12"/>
  <c r="AQ150" i="12" s="1"/>
  <c r="DC149" i="12"/>
  <c r="CY149" i="12"/>
  <c r="CU149" i="12"/>
  <c r="CQ149" i="12"/>
  <c r="CA149" i="12"/>
  <c r="AR149" i="12"/>
  <c r="AQ149" i="12" s="1"/>
  <c r="DC148" i="12"/>
  <c r="CY148" i="12"/>
  <c r="CU148" i="12"/>
  <c r="CQ148" i="12"/>
  <c r="CA148" i="12"/>
  <c r="AR148" i="12"/>
  <c r="AQ148" i="12" s="1"/>
  <c r="DC147" i="12"/>
  <c r="CY147" i="12"/>
  <c r="CU147" i="12"/>
  <c r="CQ147" i="12"/>
  <c r="CA147" i="12"/>
  <c r="AR147" i="12"/>
  <c r="AQ147" i="12" s="1"/>
  <c r="DC146" i="12"/>
  <c r="CY146" i="12"/>
  <c r="CU146" i="12"/>
  <c r="CQ146" i="12"/>
  <c r="CP146" i="12" s="1"/>
  <c r="CA146" i="12"/>
  <c r="AR146" i="12"/>
  <c r="AQ146" i="12" s="1"/>
  <c r="DC145" i="12"/>
  <c r="CY145" i="12"/>
  <c r="CU145" i="12"/>
  <c r="CQ145" i="12"/>
  <c r="CA145" i="12"/>
  <c r="AR145" i="12"/>
  <c r="AQ145" i="12" s="1"/>
  <c r="DC144" i="12"/>
  <c r="CY144" i="12"/>
  <c r="CU144" i="12"/>
  <c r="CQ144" i="12"/>
  <c r="CA144" i="12"/>
  <c r="AR144" i="12"/>
  <c r="AQ144" i="12" s="1"/>
  <c r="DC143" i="12"/>
  <c r="CY143" i="12"/>
  <c r="CU143" i="12"/>
  <c r="CQ143" i="12"/>
  <c r="CA143" i="12"/>
  <c r="AR143" i="12"/>
  <c r="AQ143" i="12" s="1"/>
  <c r="DC142" i="12"/>
  <c r="CY142" i="12"/>
  <c r="CU142" i="12"/>
  <c r="CQ142" i="12"/>
  <c r="CA142" i="12"/>
  <c r="DI160" i="12"/>
  <c r="CR160" i="12"/>
  <c r="DI159" i="12"/>
  <c r="CR159" i="12"/>
  <c r="DD158" i="12"/>
  <c r="DD157" i="12"/>
  <c r="CV157" i="12"/>
  <c r="CF157" i="12"/>
  <c r="CB157" i="12"/>
  <c r="AH157" i="12"/>
  <c r="DF156" i="12"/>
  <c r="CX156" i="12"/>
  <c r="DK155" i="12"/>
  <c r="DB155" i="12"/>
  <c r="DA155" i="12" s="1"/>
  <c r="CZ155" i="12" s="1"/>
  <c r="CT155" i="12"/>
  <c r="AK155" i="12"/>
  <c r="DK154" i="12"/>
  <c r="DE154" i="12"/>
  <c r="CT154" i="12"/>
  <c r="CL154" i="12"/>
  <c r="CH154" i="12"/>
  <c r="CD154" i="12"/>
  <c r="AH154" i="12"/>
  <c r="DK153" i="12"/>
  <c r="DF153" i="12"/>
  <c r="DB153" i="12"/>
  <c r="CX153" i="12"/>
  <c r="CT153" i="12"/>
  <c r="CL153" i="12"/>
  <c r="CH153" i="12"/>
  <c r="CD153" i="12"/>
  <c r="AH153" i="12"/>
  <c r="DK152" i="12"/>
  <c r="DF152" i="12"/>
  <c r="DB152" i="12"/>
  <c r="CX152" i="12"/>
  <c r="CT152" i="12"/>
  <c r="CL152" i="12"/>
  <c r="CH152" i="12"/>
  <c r="CD152" i="12"/>
  <c r="AH152" i="12"/>
  <c r="DK151" i="12"/>
  <c r="DF151" i="12"/>
  <c r="DB151" i="12"/>
  <c r="CX151" i="12"/>
  <c r="CT151" i="12"/>
  <c r="CL151" i="12"/>
  <c r="CH151" i="12"/>
  <c r="CD151" i="12"/>
  <c r="AH151" i="12"/>
  <c r="DK150" i="12"/>
  <c r="DF150" i="12"/>
  <c r="DB150" i="12"/>
  <c r="CX150" i="12"/>
  <c r="CT150" i="12"/>
  <c r="CL150" i="12"/>
  <c r="CH150" i="12"/>
  <c r="CD150" i="12"/>
  <c r="AH150" i="12"/>
  <c r="DK149" i="12"/>
  <c r="DF149" i="12"/>
  <c r="DB149" i="12"/>
  <c r="CX149" i="12"/>
  <c r="CT149" i="12"/>
  <c r="CL149" i="12"/>
  <c r="CH149" i="12"/>
  <c r="CD149" i="12"/>
  <c r="AH149" i="12"/>
  <c r="DK148" i="12"/>
  <c r="DF148" i="12"/>
  <c r="DB148" i="12"/>
  <c r="CX148" i="12"/>
  <c r="CT148" i="12"/>
  <c r="CL148" i="12"/>
  <c r="CH148" i="12"/>
  <c r="CD148" i="12"/>
  <c r="AH148" i="12"/>
  <c r="DK147" i="12"/>
  <c r="DF147" i="12"/>
  <c r="DB147" i="12"/>
  <c r="CX147" i="12"/>
  <c r="CT147" i="12"/>
  <c r="CL147" i="12"/>
  <c r="CH147" i="12"/>
  <c r="CD147" i="12"/>
  <c r="AH147" i="12"/>
  <c r="DK146" i="12"/>
  <c r="DF146" i="12"/>
  <c r="DB146" i="12"/>
  <c r="CX146" i="12"/>
  <c r="CT146" i="12"/>
  <c r="CL146" i="12"/>
  <c r="CH146" i="12"/>
  <c r="CD146" i="12"/>
  <c r="AH146" i="12"/>
  <c r="DK145" i="12"/>
  <c r="DF145" i="12"/>
  <c r="DB145" i="12"/>
  <c r="CX145" i="12"/>
  <c r="CT145" i="12"/>
  <c r="CL145" i="12"/>
  <c r="CH145" i="12"/>
  <c r="CD145" i="12"/>
  <c r="AH145" i="12"/>
  <c r="DK144" i="12"/>
  <c r="DF144" i="12"/>
  <c r="DB144" i="12"/>
  <c r="CX144" i="12"/>
  <c r="CT144" i="12"/>
  <c r="CL144" i="12"/>
  <c r="CH144" i="12"/>
  <c r="CD144" i="12"/>
  <c r="AH144" i="12"/>
  <c r="DK143" i="12"/>
  <c r="DF143" i="12"/>
  <c r="DB143" i="12"/>
  <c r="CX143" i="12"/>
  <c r="CT143" i="12"/>
  <c r="CL143" i="12"/>
  <c r="CH143" i="12"/>
  <c r="CD143" i="12"/>
  <c r="AH143" i="12"/>
  <c r="DK142" i="12"/>
  <c r="DF142" i="12"/>
  <c r="DB142" i="12"/>
  <c r="CX142" i="12"/>
  <c r="CT142" i="12"/>
  <c r="CL142" i="12"/>
  <c r="CH142" i="12"/>
  <c r="CD142" i="12"/>
  <c r="AH142" i="12"/>
  <c r="DK141" i="12"/>
  <c r="DF141" i="12"/>
  <c r="DB141" i="12"/>
  <c r="CX141" i="12"/>
  <c r="CT141" i="12"/>
  <c r="CL141" i="12"/>
  <c r="CH141" i="12"/>
  <c r="CD141" i="12"/>
  <c r="AH141" i="12"/>
  <c r="DK140" i="12"/>
  <c r="DF140" i="12"/>
  <c r="DB140" i="12"/>
  <c r="CX140" i="12"/>
  <c r="CT140" i="12"/>
  <c r="CL140" i="12"/>
  <c r="CH140" i="12"/>
  <c r="CD140" i="12"/>
  <c r="AH140" i="12"/>
  <c r="DK139" i="12"/>
  <c r="DF139" i="12"/>
  <c r="DB139" i="12"/>
  <c r="CX139" i="12"/>
  <c r="CT139" i="12"/>
  <c r="CL139" i="12"/>
  <c r="CH139" i="12"/>
  <c r="CD139" i="12"/>
  <c r="AH139" i="12"/>
  <c r="DD160" i="12"/>
  <c r="DD159" i="12"/>
  <c r="CB158" i="12"/>
  <c r="AJ158" i="12"/>
  <c r="DK157" i="12"/>
  <c r="DB157" i="12"/>
  <c r="CT157" i="12"/>
  <c r="DD156" i="12"/>
  <c r="CV156" i="12"/>
  <c r="CF156" i="12"/>
  <c r="CB156" i="12"/>
  <c r="AH156" i="12"/>
  <c r="DI155" i="12"/>
  <c r="CR155" i="12"/>
  <c r="CL155" i="12"/>
  <c r="CH155" i="12"/>
  <c r="CD155" i="12"/>
  <c r="AJ155" i="12"/>
  <c r="DJ154" i="12"/>
  <c r="DE153" i="12"/>
  <c r="DJ152" i="12"/>
  <c r="CW151" i="12"/>
  <c r="AK150" i="12"/>
  <c r="DE149" i="12"/>
  <c r="DE148" i="12"/>
  <c r="DJ147" i="12"/>
  <c r="DJ146" i="12"/>
  <c r="DD145" i="12"/>
  <c r="CV145" i="12"/>
  <c r="DJ144" i="12"/>
  <c r="CB144" i="12"/>
  <c r="AK144" i="12"/>
  <c r="DI143" i="12"/>
  <c r="CR143" i="12"/>
  <c r="CF143" i="12"/>
  <c r="AJ143" i="12"/>
  <c r="DI142" i="12"/>
  <c r="CR142" i="12"/>
  <c r="CF142" i="12"/>
  <c r="AR142" i="12"/>
  <c r="AQ142" i="12" s="1"/>
  <c r="AK142" i="12"/>
  <c r="CV141" i="12"/>
  <c r="CQ141" i="12"/>
  <c r="CF141" i="12"/>
  <c r="CA141" i="12"/>
  <c r="DI140" i="12"/>
  <c r="DC140" i="12"/>
  <c r="CW140" i="12"/>
  <c r="CR140" i="12"/>
  <c r="CB140" i="12"/>
  <c r="DI139" i="12"/>
  <c r="DC139" i="12"/>
  <c r="CW139" i="12"/>
  <c r="CR139" i="12"/>
  <c r="CB139" i="12"/>
  <c r="DK138" i="12"/>
  <c r="DF138" i="12"/>
  <c r="DB138" i="12"/>
  <c r="CX138" i="12"/>
  <c r="CT138" i="12"/>
  <c r="CL138" i="12"/>
  <c r="CH138" i="12"/>
  <c r="CD138" i="12"/>
  <c r="AH138" i="12"/>
  <c r="DK137" i="12"/>
  <c r="DF137" i="12"/>
  <c r="DB137" i="12"/>
  <c r="CX137" i="12"/>
  <c r="CT137" i="12"/>
  <c r="CL137" i="12"/>
  <c r="CH137" i="12"/>
  <c r="CD137" i="12"/>
  <c r="AH137" i="12"/>
  <c r="DK136" i="12"/>
  <c r="DF136" i="12"/>
  <c r="DB136" i="12"/>
  <c r="CX136" i="12"/>
  <c r="CT136" i="12"/>
  <c r="CL136" i="12"/>
  <c r="CH136" i="12"/>
  <c r="CD136" i="12"/>
  <c r="AH136" i="12"/>
  <c r="DK135" i="12"/>
  <c r="DF135" i="12"/>
  <c r="DB135" i="12"/>
  <c r="CX135" i="12"/>
  <c r="CT135" i="12"/>
  <c r="CL135" i="12"/>
  <c r="CH135" i="12"/>
  <c r="CD135" i="12"/>
  <c r="AH135" i="12"/>
  <c r="DK134" i="12"/>
  <c r="DF134" i="12"/>
  <c r="DB134" i="12"/>
  <c r="CX134" i="12"/>
  <c r="CT134" i="12"/>
  <c r="CL134" i="12"/>
  <c r="CH134" i="12"/>
  <c r="CD134" i="12"/>
  <c r="AH134" i="12"/>
  <c r="DK133" i="12"/>
  <c r="DF133" i="12"/>
  <c r="DB133" i="12"/>
  <c r="CX133" i="12"/>
  <c r="CT133" i="12"/>
  <c r="CL133" i="12"/>
  <c r="CH133" i="12"/>
  <c r="CD133" i="12"/>
  <c r="AH133" i="12"/>
  <c r="DC132" i="12"/>
  <c r="CY132" i="12"/>
  <c r="CU132" i="12"/>
  <c r="CQ132" i="12"/>
  <c r="CA132" i="12"/>
  <c r="AR132" i="12"/>
  <c r="AQ132" i="12" s="1"/>
  <c r="DC131" i="12"/>
  <c r="CY131" i="12"/>
  <c r="CU131" i="12"/>
  <c r="CQ131" i="12"/>
  <c r="CA131" i="12"/>
  <c r="AR131" i="12"/>
  <c r="AQ131" i="12" s="1"/>
  <c r="DC130" i="12"/>
  <c r="CY130" i="12"/>
  <c r="CU130" i="12"/>
  <c r="CQ130" i="12"/>
  <c r="CA130" i="12"/>
  <c r="AR130" i="12"/>
  <c r="AQ130" i="12" s="1"/>
  <c r="DC129" i="12"/>
  <c r="CY129" i="12"/>
  <c r="CU129" i="12"/>
  <c r="CQ129" i="12"/>
  <c r="CA129" i="12"/>
  <c r="AR129" i="12"/>
  <c r="AQ129" i="12" s="1"/>
  <c r="DC128" i="12"/>
  <c r="CY128" i="12"/>
  <c r="CU128" i="12"/>
  <c r="CQ128" i="12"/>
  <c r="CA128" i="12"/>
  <c r="AR128" i="12"/>
  <c r="AQ128" i="12" s="1"/>
  <c r="DC127" i="12"/>
  <c r="CY127" i="12"/>
  <c r="CU127" i="12"/>
  <c r="CQ127" i="12"/>
  <c r="CA127" i="12"/>
  <c r="AR127" i="12"/>
  <c r="AQ127" i="12" s="1"/>
  <c r="DC126" i="12"/>
  <c r="CY126" i="12"/>
  <c r="CU126" i="12"/>
  <c r="CQ126" i="12"/>
  <c r="CA126" i="12"/>
  <c r="AR126" i="12"/>
  <c r="AQ126" i="12" s="1"/>
  <c r="DC125" i="12"/>
  <c r="CY125" i="12"/>
  <c r="CU125" i="12"/>
  <c r="CQ125" i="12"/>
  <c r="CA125" i="12"/>
  <c r="AR125" i="12"/>
  <c r="AQ125" i="12" s="1"/>
  <c r="DD154" i="12"/>
  <c r="AK154" i="12"/>
  <c r="AK153" i="12"/>
  <c r="DE152" i="12"/>
  <c r="DJ151" i="12"/>
  <c r="CW150" i="12"/>
  <c r="AK149" i="12"/>
  <c r="AK148" i="12"/>
  <c r="DE147" i="12"/>
  <c r="DE146" i="12"/>
  <c r="DJ145" i="12"/>
  <c r="CB145" i="12"/>
  <c r="AK145" i="12"/>
  <c r="DI144" i="12"/>
  <c r="CR144" i="12"/>
  <c r="CF144" i="12"/>
  <c r="AJ144" i="12"/>
  <c r="DE143" i="12"/>
  <c r="CW143" i="12"/>
  <c r="DE142" i="12"/>
  <c r="CW142" i="12"/>
  <c r="AJ142" i="12"/>
  <c r="DE141" i="12"/>
  <c r="CU141" i="12"/>
  <c r="AR141" i="12"/>
  <c r="AQ141" i="12" s="1"/>
  <c r="AK141" i="12"/>
  <c r="CV140" i="12"/>
  <c r="CQ140" i="12"/>
  <c r="CF140" i="12"/>
  <c r="CA140" i="12"/>
  <c r="CV139" i="12"/>
  <c r="CQ139" i="12"/>
  <c r="CF139" i="12"/>
  <c r="CA139" i="12"/>
  <c r="DJ138" i="12"/>
  <c r="DE138" i="12"/>
  <c r="CW138" i="12"/>
  <c r="AK138" i="12"/>
  <c r="DJ137" i="12"/>
  <c r="DE137" i="12"/>
  <c r="CW137" i="12"/>
  <c r="AK137" i="12"/>
  <c r="DJ136" i="12"/>
  <c r="DE136" i="12"/>
  <c r="CW136" i="12"/>
  <c r="AK136" i="12"/>
  <c r="DJ135" i="12"/>
  <c r="DE135" i="12"/>
  <c r="CW135" i="12"/>
  <c r="AK135" i="12"/>
  <c r="DJ134" i="12"/>
  <c r="DE134" i="12"/>
  <c r="CW134" i="12"/>
  <c r="AK134" i="12"/>
  <c r="DJ133" i="12"/>
  <c r="DE133" i="12"/>
  <c r="CW133" i="12"/>
  <c r="AK133" i="12"/>
  <c r="DK132" i="12"/>
  <c r="DF132" i="12"/>
  <c r="DB132" i="12"/>
  <c r="DA132" i="12" s="1"/>
  <c r="CX132" i="12"/>
  <c r="CT132" i="12"/>
  <c r="CL132" i="12"/>
  <c r="CH132" i="12"/>
  <c r="CD132" i="12"/>
  <c r="AH132" i="12"/>
  <c r="DK131" i="12"/>
  <c r="DF131" i="12"/>
  <c r="DB131" i="12"/>
  <c r="CX131" i="12"/>
  <c r="CT131" i="12"/>
  <c r="CL131" i="12"/>
  <c r="CH131" i="12"/>
  <c r="CD131" i="12"/>
  <c r="AH131" i="12"/>
  <c r="DK130" i="12"/>
  <c r="DF130" i="12"/>
  <c r="DB130" i="12"/>
  <c r="DA130" i="12" s="1"/>
  <c r="CX130" i="12"/>
  <c r="CT130" i="12"/>
  <c r="CL130" i="12"/>
  <c r="CH130" i="12"/>
  <c r="CD130" i="12"/>
  <c r="AH130" i="12"/>
  <c r="DK129" i="12"/>
  <c r="DF129" i="12"/>
  <c r="DB129" i="12"/>
  <c r="CX129" i="12"/>
  <c r="CT129" i="12"/>
  <c r="CL129" i="12"/>
  <c r="CH129" i="12"/>
  <c r="CD129" i="12"/>
  <c r="AH129" i="12"/>
  <c r="DK128" i="12"/>
  <c r="DF128" i="12"/>
  <c r="DB128" i="12"/>
  <c r="DA128" i="12" s="1"/>
  <c r="CX128" i="12"/>
  <c r="CT128" i="12"/>
  <c r="CL128" i="12"/>
  <c r="CH128" i="12"/>
  <c r="CD128" i="12"/>
  <c r="AH128" i="12"/>
  <c r="DK127" i="12"/>
  <c r="DF127" i="12"/>
  <c r="DB127" i="12"/>
  <c r="CX127" i="12"/>
  <c r="CT127" i="12"/>
  <c r="CL127" i="12"/>
  <c r="CH127" i="12"/>
  <c r="CD127" i="12"/>
  <c r="AH127" i="12"/>
  <c r="DK126" i="12"/>
  <c r="DF126" i="12"/>
  <c r="DB126" i="12"/>
  <c r="DA126" i="12" s="1"/>
  <c r="CX126" i="12"/>
  <c r="CT126" i="12"/>
  <c r="CL126" i="12"/>
  <c r="CH126" i="12"/>
  <c r="CD126" i="12"/>
  <c r="AH126" i="12"/>
  <c r="DK125" i="12"/>
  <c r="DF125" i="12"/>
  <c r="DB125" i="12"/>
  <c r="CX125" i="12"/>
  <c r="CT125" i="12"/>
  <c r="CL125" i="12"/>
  <c r="CH125" i="12"/>
  <c r="CD125" i="12"/>
  <c r="AH125" i="12"/>
  <c r="DK124" i="12"/>
  <c r="DF124" i="12"/>
  <c r="DB124" i="12"/>
  <c r="CX124" i="12"/>
  <c r="CT124" i="12"/>
  <c r="CL124" i="12"/>
  <c r="CH124" i="12"/>
  <c r="CD124" i="12"/>
  <c r="AH124" i="12"/>
  <c r="DK123" i="12"/>
  <c r="DF123" i="12"/>
  <c r="DB123" i="12"/>
  <c r="CX123" i="12"/>
  <c r="CT123" i="12"/>
  <c r="CL123" i="12"/>
  <c r="CH123" i="12"/>
  <c r="CD123" i="12"/>
  <c r="AH123" i="12"/>
  <c r="DK122" i="12"/>
  <c r="DF122" i="12"/>
  <c r="DB122" i="12"/>
  <c r="CX122" i="12"/>
  <c r="CT122" i="12"/>
  <c r="CL122" i="12"/>
  <c r="CH122" i="12"/>
  <c r="CD122" i="12"/>
  <c r="AH122" i="12"/>
  <c r="DK121" i="12"/>
  <c r="DF121" i="12"/>
  <c r="DB121" i="12"/>
  <c r="CX121" i="12"/>
  <c r="CT121" i="12"/>
  <c r="CL121" i="12"/>
  <c r="CH121" i="12"/>
  <c r="CD121" i="12"/>
  <c r="CX154" i="12"/>
  <c r="CW153" i="12"/>
  <c r="AK152" i="12"/>
  <c r="DE151" i="12"/>
  <c r="DJ150" i="12"/>
  <c r="CW149" i="12"/>
  <c r="CW148" i="12"/>
  <c r="AK147" i="12"/>
  <c r="AK146" i="12"/>
  <c r="DI145" i="12"/>
  <c r="DH145" i="12" s="1"/>
  <c r="CR145" i="12"/>
  <c r="CF145" i="12"/>
  <c r="AJ145" i="12"/>
  <c r="DE144" i="12"/>
  <c r="CW144" i="12"/>
  <c r="DD143" i="12"/>
  <c r="CV143" i="12"/>
  <c r="DD142" i="12"/>
  <c r="CV142" i="12"/>
  <c r="DJ141" i="12"/>
  <c r="DD141" i="12"/>
  <c r="CY141" i="12"/>
  <c r="AJ141" i="12"/>
  <c r="DE140" i="12"/>
  <c r="CU140" i="12"/>
  <c r="AR140" i="12"/>
  <c r="AQ140" i="12" s="1"/>
  <c r="AK140" i="12"/>
  <c r="DE139" i="12"/>
  <c r="CU139" i="12"/>
  <c r="AR139" i="12"/>
  <c r="AQ139" i="12" s="1"/>
  <c r="AK139" i="12"/>
  <c r="DI138" i="12"/>
  <c r="DD138" i="12"/>
  <c r="CV138" i="12"/>
  <c r="CR138" i="12"/>
  <c r="CF138" i="12"/>
  <c r="CB138" i="12"/>
  <c r="AJ138" i="12"/>
  <c r="DI137" i="12"/>
  <c r="DD137" i="12"/>
  <c r="CV137" i="12"/>
  <c r="CR137" i="12"/>
  <c r="CF137" i="12"/>
  <c r="CB137" i="12"/>
  <c r="AJ137" i="12"/>
  <c r="DI136" i="12"/>
  <c r="DD136" i="12"/>
  <c r="CV136" i="12"/>
  <c r="CR136" i="12"/>
  <c r="CF136" i="12"/>
  <c r="CB136" i="12"/>
  <c r="AJ136" i="12"/>
  <c r="DI135" i="12"/>
  <c r="DD135" i="12"/>
  <c r="CV135" i="12"/>
  <c r="CR135" i="12"/>
  <c r="CF135" i="12"/>
  <c r="CB135" i="12"/>
  <c r="AJ135" i="12"/>
  <c r="DJ153" i="12"/>
  <c r="CW152" i="12"/>
  <c r="AK151" i="12"/>
  <c r="DE150" i="12"/>
  <c r="DJ149" i="12"/>
  <c r="DJ148" i="12"/>
  <c r="CW147" i="12"/>
  <c r="CW146" i="12"/>
  <c r="AJ146" i="12"/>
  <c r="DE145" i="12"/>
  <c r="CW145" i="12"/>
  <c r="DD144" i="12"/>
  <c r="CV144" i="12"/>
  <c r="DJ143" i="12"/>
  <c r="CB143" i="12"/>
  <c r="AK143" i="12"/>
  <c r="DJ142" i="12"/>
  <c r="CB142" i="12"/>
  <c r="DI141" i="12"/>
  <c r="DC141" i="12"/>
  <c r="CW141" i="12"/>
  <c r="CR141" i="12"/>
  <c r="CB141" i="12"/>
  <c r="DJ140" i="12"/>
  <c r="DD140" i="12"/>
  <c r="CY140" i="12"/>
  <c r="AJ140" i="12"/>
  <c r="DJ139" i="12"/>
  <c r="DD139" i="12"/>
  <c r="CY139" i="12"/>
  <c r="AJ139" i="12"/>
  <c r="DC138" i="12"/>
  <c r="CY138" i="12"/>
  <c r="CU138" i="12"/>
  <c r="CQ138" i="12"/>
  <c r="CA138" i="12"/>
  <c r="AR138" i="12"/>
  <c r="AQ138" i="12" s="1"/>
  <c r="DC137" i="12"/>
  <c r="CY137" i="12"/>
  <c r="CU137" i="12"/>
  <c r="CQ137" i="12"/>
  <c r="CA137" i="12"/>
  <c r="AR137" i="12"/>
  <c r="AQ137" i="12" s="1"/>
  <c r="DC136" i="12"/>
  <c r="CY136" i="12"/>
  <c r="CU136" i="12"/>
  <c r="CQ136" i="12"/>
  <c r="CA136" i="12"/>
  <c r="AR136" i="12"/>
  <c r="AQ136" i="12" s="1"/>
  <c r="DC135" i="12"/>
  <c r="CY135" i="12"/>
  <c r="CU135" i="12"/>
  <c r="CQ135" i="12"/>
  <c r="CP135" i="12" s="1"/>
  <c r="CA135" i="12"/>
  <c r="AR135" i="12"/>
  <c r="AQ135" i="12" s="1"/>
  <c r="DC134" i="12"/>
  <c r="CY134" i="12"/>
  <c r="CU134" i="12"/>
  <c r="CQ134" i="12"/>
  <c r="CA134" i="12"/>
  <c r="AR134" i="12"/>
  <c r="AQ134" i="12" s="1"/>
  <c r="DC133" i="12"/>
  <c r="CY133" i="12"/>
  <c r="CU133" i="12"/>
  <c r="CQ133" i="12"/>
  <c r="CA133" i="12"/>
  <c r="AR133" i="12"/>
  <c r="AQ133" i="12" s="1"/>
  <c r="DI132" i="12"/>
  <c r="DD132" i="12"/>
  <c r="CV132" i="12"/>
  <c r="CR132" i="12"/>
  <c r="CF132" i="12"/>
  <c r="CB132" i="12"/>
  <c r="AJ132" i="12"/>
  <c r="DI131" i="12"/>
  <c r="DD131" i="12"/>
  <c r="CV131" i="12"/>
  <c r="CR131" i="12"/>
  <c r="CF131" i="12"/>
  <c r="CB131" i="12"/>
  <c r="AJ131" i="12"/>
  <c r="DI130" i="12"/>
  <c r="DD130" i="12"/>
  <c r="CV130" i="12"/>
  <c r="CR130" i="12"/>
  <c r="CF130" i="12"/>
  <c r="CB130" i="12"/>
  <c r="AJ130" i="12"/>
  <c r="CB134" i="12"/>
  <c r="CV133" i="12"/>
  <c r="CF133" i="12"/>
  <c r="AJ133" i="12"/>
  <c r="DJ132" i="12"/>
  <c r="CW131" i="12"/>
  <c r="AK130" i="12"/>
  <c r="DI129" i="12"/>
  <c r="CR129" i="12"/>
  <c r="CF129" i="12"/>
  <c r="AJ129" i="12"/>
  <c r="DI128" i="12"/>
  <c r="CR128" i="12"/>
  <c r="CF128" i="12"/>
  <c r="AJ128" i="12"/>
  <c r="DI127" i="12"/>
  <c r="CR127" i="12"/>
  <c r="CF127" i="12"/>
  <c r="AJ127" i="12"/>
  <c r="DE126" i="12"/>
  <c r="CW126" i="12"/>
  <c r="DE125" i="12"/>
  <c r="CW125" i="12"/>
  <c r="DE124" i="12"/>
  <c r="CU124" i="12"/>
  <c r="AR124" i="12"/>
  <c r="AQ124" i="12" s="1"/>
  <c r="AK124" i="12"/>
  <c r="DI123" i="12"/>
  <c r="DC123" i="12"/>
  <c r="CW123" i="12"/>
  <c r="CR123" i="12"/>
  <c r="CB123" i="12"/>
  <c r="DE122" i="12"/>
  <c r="CU122" i="12"/>
  <c r="AR122" i="12"/>
  <c r="AQ122" i="12" s="1"/>
  <c r="AK122" i="12"/>
  <c r="DI121" i="12"/>
  <c r="DC121" i="12"/>
  <c r="CW121" i="12"/>
  <c r="CR121" i="12"/>
  <c r="CB121" i="12"/>
  <c r="AH121" i="12"/>
  <c r="DK120" i="12"/>
  <c r="DF120" i="12"/>
  <c r="DB120" i="12"/>
  <c r="CX120" i="12"/>
  <c r="CT120" i="12"/>
  <c r="CL120" i="12"/>
  <c r="CH120" i="12"/>
  <c r="CD120" i="12"/>
  <c r="AH120" i="12"/>
  <c r="DK119" i="12"/>
  <c r="DF119" i="12"/>
  <c r="DB119" i="12"/>
  <c r="CX119" i="12"/>
  <c r="CT119" i="12"/>
  <c r="CL119" i="12"/>
  <c r="CH119" i="12"/>
  <c r="CD119" i="12"/>
  <c r="AH119" i="12"/>
  <c r="DK118" i="12"/>
  <c r="DF118" i="12"/>
  <c r="DB118" i="12"/>
  <c r="CX118" i="12"/>
  <c r="CT118" i="12"/>
  <c r="CL118" i="12"/>
  <c r="CH118" i="12"/>
  <c r="CD118" i="12"/>
  <c r="AH118" i="12"/>
  <c r="DC117" i="12"/>
  <c r="CY117" i="12"/>
  <c r="CU117" i="12"/>
  <c r="CQ117" i="12"/>
  <c r="CA117" i="12"/>
  <c r="AR117" i="12"/>
  <c r="AQ117" i="12" s="1"/>
  <c r="DC116" i="12"/>
  <c r="CY116" i="12"/>
  <c r="CU116" i="12"/>
  <c r="CQ116" i="12"/>
  <c r="CA116" i="12"/>
  <c r="AR116" i="12"/>
  <c r="AQ116" i="12" s="1"/>
  <c r="DK115" i="12"/>
  <c r="DF115" i="12"/>
  <c r="DB115" i="12"/>
  <c r="CX115" i="12"/>
  <c r="CT115" i="12"/>
  <c r="CL115" i="12"/>
  <c r="CH115" i="12"/>
  <c r="CD115" i="12"/>
  <c r="AH115" i="12"/>
  <c r="DJ114" i="12"/>
  <c r="DE114" i="12"/>
  <c r="CW114" i="12"/>
  <c r="AK114" i="12"/>
  <c r="DI113" i="12"/>
  <c r="DD113" i="12"/>
  <c r="CV113" i="12"/>
  <c r="CR113" i="12"/>
  <c r="CF113" i="12"/>
  <c r="CB113" i="12"/>
  <c r="AJ113" i="12"/>
  <c r="DI112" i="12"/>
  <c r="DD112" i="12"/>
  <c r="CV112" i="12"/>
  <c r="CR112" i="12"/>
  <c r="CF112" i="12"/>
  <c r="CB112" i="12"/>
  <c r="AJ112" i="12"/>
  <c r="DI111" i="12"/>
  <c r="DD111" i="12"/>
  <c r="CV111" i="12"/>
  <c r="CR111" i="12"/>
  <c r="CF111" i="12"/>
  <c r="CB111" i="12"/>
  <c r="AJ111" i="12"/>
  <c r="DI110" i="12"/>
  <c r="DD110" i="12"/>
  <c r="CV110" i="12"/>
  <c r="CR110" i="12"/>
  <c r="CF110" i="12"/>
  <c r="CB110" i="12"/>
  <c r="AJ110" i="12"/>
  <c r="DI109" i="12"/>
  <c r="DD109" i="12"/>
  <c r="CV109" i="12"/>
  <c r="CR109" i="12"/>
  <c r="CF109" i="12"/>
  <c r="CB109" i="12"/>
  <c r="AJ109" i="12"/>
  <c r="DI108" i="12"/>
  <c r="DD108" i="12"/>
  <c r="CV108" i="12"/>
  <c r="CR108" i="12"/>
  <c r="CF108" i="12"/>
  <c r="CB108" i="12"/>
  <c r="AJ108" i="12"/>
  <c r="DI107" i="12"/>
  <c r="DD107" i="12"/>
  <c r="CV107" i="12"/>
  <c r="CR107" i="12"/>
  <c r="CF107" i="12"/>
  <c r="CB107" i="12"/>
  <c r="AJ107" i="12"/>
  <c r="DI106" i="12"/>
  <c r="DD106" i="12"/>
  <c r="CV106" i="12"/>
  <c r="CR106" i="12"/>
  <c r="CF106" i="12"/>
  <c r="CB106" i="12"/>
  <c r="AJ106" i="12"/>
  <c r="DI105" i="12"/>
  <c r="DD105" i="12"/>
  <c r="CV105" i="12"/>
  <c r="CR105" i="12"/>
  <c r="CF105" i="12"/>
  <c r="CB105" i="12"/>
  <c r="AJ105" i="12"/>
  <c r="DI104" i="12"/>
  <c r="DD104" i="12"/>
  <c r="CV104" i="12"/>
  <c r="CR104" i="12"/>
  <c r="CF104" i="12"/>
  <c r="CB104" i="12"/>
  <c r="AJ104" i="12"/>
  <c r="DC103" i="12"/>
  <c r="CY103" i="12"/>
  <c r="CU103" i="12"/>
  <c r="CQ103" i="12"/>
  <c r="CA103" i="12"/>
  <c r="AR103" i="12"/>
  <c r="AQ103" i="12" s="1"/>
  <c r="DK102" i="12"/>
  <c r="DF102" i="12"/>
  <c r="DB102" i="12"/>
  <c r="CX102" i="12"/>
  <c r="CT102" i="12"/>
  <c r="CL102" i="12"/>
  <c r="CH102" i="12"/>
  <c r="CD102" i="12"/>
  <c r="AH102" i="12"/>
  <c r="DK101" i="12"/>
  <c r="DF101" i="12"/>
  <c r="DB101" i="12"/>
  <c r="CX101" i="12"/>
  <c r="CT101" i="12"/>
  <c r="CL101" i="12"/>
  <c r="CH101" i="12"/>
  <c r="CD101" i="12"/>
  <c r="AH101" i="12"/>
  <c r="DC100" i="12"/>
  <c r="CY100" i="12"/>
  <c r="CU100" i="12"/>
  <c r="CQ100" i="12"/>
  <c r="CA100" i="12"/>
  <c r="AR100" i="12"/>
  <c r="AQ100" i="12" s="1"/>
  <c r="DC99" i="12"/>
  <c r="CY99" i="12"/>
  <c r="CU99" i="12"/>
  <c r="CQ99" i="12"/>
  <c r="CA99" i="12"/>
  <c r="AR99" i="12"/>
  <c r="AQ99" i="12" s="1"/>
  <c r="DC98" i="12"/>
  <c r="CY98" i="12"/>
  <c r="CU98" i="12"/>
  <c r="CQ98" i="12"/>
  <c r="CA98" i="12"/>
  <c r="AR98" i="12"/>
  <c r="AQ98" i="12" s="1"/>
  <c r="DI97" i="12"/>
  <c r="DD97" i="12"/>
  <c r="CV97" i="12"/>
  <c r="CR97" i="12"/>
  <c r="CF97" i="12"/>
  <c r="CB97" i="12"/>
  <c r="AJ97" i="12"/>
  <c r="DI96" i="12"/>
  <c r="DD96" i="12"/>
  <c r="CV96" i="12"/>
  <c r="CR96" i="12"/>
  <c r="CF96" i="12"/>
  <c r="CB96" i="12"/>
  <c r="AJ96" i="12"/>
  <c r="DJ95" i="12"/>
  <c r="DE95" i="12"/>
  <c r="CW95" i="12"/>
  <c r="AK95" i="12"/>
  <c r="DJ94" i="12"/>
  <c r="DE94" i="12"/>
  <c r="CW94" i="12"/>
  <c r="AK94" i="12"/>
  <c r="DJ93" i="12"/>
  <c r="DE93" i="12"/>
  <c r="CW93" i="12"/>
  <c r="AK93" i="12"/>
  <c r="DJ92" i="12"/>
  <c r="DE92" i="12"/>
  <c r="CW92" i="12"/>
  <c r="AK92" i="12"/>
  <c r="DJ91" i="12"/>
  <c r="DE91" i="12"/>
  <c r="CW91" i="12"/>
  <c r="CV134" i="12"/>
  <c r="CF134" i="12"/>
  <c r="AJ134" i="12"/>
  <c r="DI133" i="12"/>
  <c r="CR133" i="12"/>
  <c r="DE132" i="12"/>
  <c r="DJ131" i="12"/>
  <c r="CW130" i="12"/>
  <c r="DE129" i="12"/>
  <c r="CW129" i="12"/>
  <c r="DE128" i="12"/>
  <c r="CW128" i="12"/>
  <c r="DE127" i="12"/>
  <c r="CW127" i="12"/>
  <c r="DD126" i="12"/>
  <c r="CV126" i="12"/>
  <c r="DD125" i="12"/>
  <c r="CV125" i="12"/>
  <c r="DD124" i="12"/>
  <c r="CY124" i="12"/>
  <c r="AJ124" i="12"/>
  <c r="CV123" i="12"/>
  <c r="CQ123" i="12"/>
  <c r="CF123" i="12"/>
  <c r="CA123" i="12"/>
  <c r="DJ122" i="12"/>
  <c r="DD122" i="12"/>
  <c r="CY122" i="12"/>
  <c r="AJ122" i="12"/>
  <c r="CV121" i="12"/>
  <c r="CQ121" i="12"/>
  <c r="CP121" i="12" s="1"/>
  <c r="CF121" i="12"/>
  <c r="CA121" i="12"/>
  <c r="AK121" i="12"/>
  <c r="DJ120" i="12"/>
  <c r="DE120" i="12"/>
  <c r="CW120" i="12"/>
  <c r="AK120" i="12"/>
  <c r="DJ119" i="12"/>
  <c r="DE119" i="12"/>
  <c r="CW119" i="12"/>
  <c r="AK119" i="12"/>
  <c r="DJ118" i="12"/>
  <c r="DE118" i="12"/>
  <c r="CW118" i="12"/>
  <c r="AK118" i="12"/>
  <c r="DK117" i="12"/>
  <c r="DF117" i="12"/>
  <c r="DB117" i="12"/>
  <c r="CX117" i="12"/>
  <c r="CT117" i="12"/>
  <c r="CL117" i="12"/>
  <c r="CH117" i="12"/>
  <c r="CD117" i="12"/>
  <c r="AH117" i="12"/>
  <c r="DK116" i="12"/>
  <c r="DF116" i="12"/>
  <c r="DB116" i="12"/>
  <c r="CX116" i="12"/>
  <c r="CT116" i="12"/>
  <c r="CL116" i="12"/>
  <c r="CH116" i="12"/>
  <c r="CD116" i="12"/>
  <c r="AH116" i="12"/>
  <c r="DJ115" i="12"/>
  <c r="DE115" i="12"/>
  <c r="CW115" i="12"/>
  <c r="AK115" i="12"/>
  <c r="DI114" i="12"/>
  <c r="DD114" i="12"/>
  <c r="CV114" i="12"/>
  <c r="CR114" i="12"/>
  <c r="CF114" i="12"/>
  <c r="CB114" i="12"/>
  <c r="AJ114" i="12"/>
  <c r="DC113" i="12"/>
  <c r="CY113" i="12"/>
  <c r="CU113" i="12"/>
  <c r="CQ113" i="12"/>
  <c r="CP113" i="12" s="1"/>
  <c r="CA113" i="12"/>
  <c r="AR113" i="12"/>
  <c r="AQ113" i="12" s="1"/>
  <c r="DC112" i="12"/>
  <c r="CY112" i="12"/>
  <c r="CU112" i="12"/>
  <c r="CQ112" i="12"/>
  <c r="CA112" i="12"/>
  <c r="AR112" i="12"/>
  <c r="AQ112" i="12" s="1"/>
  <c r="DC111" i="12"/>
  <c r="CY111" i="12"/>
  <c r="CU111" i="12"/>
  <c r="CQ111" i="12"/>
  <c r="CA111" i="12"/>
  <c r="AR111" i="12"/>
  <c r="AQ111" i="12" s="1"/>
  <c r="DC110" i="12"/>
  <c r="CY110" i="12"/>
  <c r="CU110" i="12"/>
  <c r="CQ110" i="12"/>
  <c r="CA110" i="12"/>
  <c r="AR110" i="12"/>
  <c r="AQ110" i="12" s="1"/>
  <c r="DC109" i="12"/>
  <c r="CY109" i="12"/>
  <c r="CU109" i="12"/>
  <c r="CQ109" i="12"/>
  <c r="CP109" i="12" s="1"/>
  <c r="CA109" i="12"/>
  <c r="AR109" i="12"/>
  <c r="AQ109" i="12" s="1"/>
  <c r="DC108" i="12"/>
  <c r="CY108" i="12"/>
  <c r="CU108" i="12"/>
  <c r="CQ108" i="12"/>
  <c r="CA108" i="12"/>
  <c r="AR108" i="12"/>
  <c r="AQ108" i="12" s="1"/>
  <c r="DC107" i="12"/>
  <c r="CY107" i="12"/>
  <c r="CU107" i="12"/>
  <c r="CQ107" i="12"/>
  <c r="CA107" i="12"/>
  <c r="AR107" i="12"/>
  <c r="AQ107" i="12" s="1"/>
  <c r="DC106" i="12"/>
  <c r="CY106" i="12"/>
  <c r="CU106" i="12"/>
  <c r="CQ106" i="12"/>
  <c r="CA106" i="12"/>
  <c r="AR106" i="12"/>
  <c r="AQ106" i="12" s="1"/>
  <c r="DC105" i="12"/>
  <c r="CY105" i="12"/>
  <c r="CU105" i="12"/>
  <c r="CQ105" i="12"/>
  <c r="CP105" i="12" s="1"/>
  <c r="CA105" i="12"/>
  <c r="AR105" i="12"/>
  <c r="AQ105" i="12" s="1"/>
  <c r="DC104" i="12"/>
  <c r="CY104" i="12"/>
  <c r="CU104" i="12"/>
  <c r="CQ104" i="12"/>
  <c r="CA104" i="12"/>
  <c r="AR104" i="12"/>
  <c r="AQ104" i="12" s="1"/>
  <c r="DK103" i="12"/>
  <c r="DF103" i="12"/>
  <c r="DB103" i="12"/>
  <c r="DA103" i="12" s="1"/>
  <c r="CX103" i="12"/>
  <c r="CT103" i="12"/>
  <c r="CL103" i="12"/>
  <c r="CH103" i="12"/>
  <c r="CD103" i="12"/>
  <c r="AH103" i="12"/>
  <c r="DJ102" i="12"/>
  <c r="DE102" i="12"/>
  <c r="CW102" i="12"/>
  <c r="AK102" i="12"/>
  <c r="DJ101" i="12"/>
  <c r="DE101" i="12"/>
  <c r="CW101" i="12"/>
  <c r="AK101" i="12"/>
  <c r="DK100" i="12"/>
  <c r="DF100" i="12"/>
  <c r="DB100" i="12"/>
  <c r="DA100" i="12" s="1"/>
  <c r="CX100" i="12"/>
  <c r="CT100" i="12"/>
  <c r="CL100" i="12"/>
  <c r="CH100" i="12"/>
  <c r="CD100" i="12"/>
  <c r="AH100" i="12"/>
  <c r="DK99" i="12"/>
  <c r="DF99" i="12"/>
  <c r="DB99" i="12"/>
  <c r="DA99" i="12" s="1"/>
  <c r="CX99" i="12"/>
  <c r="CT99" i="12"/>
  <c r="CL99" i="12"/>
  <c r="CH99" i="12"/>
  <c r="CD99" i="12"/>
  <c r="AH99" i="12"/>
  <c r="DK98" i="12"/>
  <c r="DF98" i="12"/>
  <c r="DB98" i="12"/>
  <c r="DA98" i="12" s="1"/>
  <c r="CX98" i="12"/>
  <c r="CT98" i="12"/>
  <c r="CL98" i="12"/>
  <c r="CH98" i="12"/>
  <c r="CD98" i="12"/>
  <c r="AH98" i="12"/>
  <c r="DC97" i="12"/>
  <c r="CY97" i="12"/>
  <c r="CU97" i="12"/>
  <c r="CQ97" i="12"/>
  <c r="CA97" i="12"/>
  <c r="AR97" i="12"/>
  <c r="AQ97" i="12" s="1"/>
  <c r="DC96" i="12"/>
  <c r="CY96" i="12"/>
  <c r="CU96" i="12"/>
  <c r="CQ96" i="12"/>
  <c r="CA96" i="12"/>
  <c r="AR96" i="12"/>
  <c r="AQ96" i="12" s="1"/>
  <c r="DI95" i="12"/>
  <c r="DD95" i="12"/>
  <c r="CV95" i="12"/>
  <c r="CR95" i="12"/>
  <c r="CF95" i="12"/>
  <c r="CB95" i="12"/>
  <c r="AJ95" i="12"/>
  <c r="DI94" i="12"/>
  <c r="DD94" i="12"/>
  <c r="CV94" i="12"/>
  <c r="CR94" i="12"/>
  <c r="CF94" i="12"/>
  <c r="CB94" i="12"/>
  <c r="AJ94" i="12"/>
  <c r="DI93" i="12"/>
  <c r="DD93" i="12"/>
  <c r="CV93" i="12"/>
  <c r="CR93" i="12"/>
  <c r="CF93" i="12"/>
  <c r="CB93" i="12"/>
  <c r="AJ93" i="12"/>
  <c r="DI92" i="12"/>
  <c r="DD92" i="12"/>
  <c r="CV92" i="12"/>
  <c r="CR92" i="12"/>
  <c r="CF92" i="12"/>
  <c r="CB92" i="12"/>
  <c r="AJ92" i="12"/>
  <c r="DI91" i="12"/>
  <c r="DD91" i="12"/>
  <c r="CV91" i="12"/>
  <c r="CR91" i="12"/>
  <c r="CF91" i="12"/>
  <c r="CB91" i="12"/>
  <c r="AJ91" i="12"/>
  <c r="DJ90" i="12"/>
  <c r="DE90" i="12"/>
  <c r="CW90" i="12"/>
  <c r="AK90" i="12"/>
  <c r="DK89" i="12"/>
  <c r="DF89" i="12"/>
  <c r="DB89" i="12"/>
  <c r="CX89" i="12"/>
  <c r="CT89" i="12"/>
  <c r="CL89" i="12"/>
  <c r="CH89" i="12"/>
  <c r="CD89" i="12"/>
  <c r="AH89" i="12"/>
  <c r="DK88" i="12"/>
  <c r="DF88" i="12"/>
  <c r="DB88" i="12"/>
  <c r="CX88" i="12"/>
  <c r="CT88" i="12"/>
  <c r="CL88" i="12"/>
  <c r="CH88" i="12"/>
  <c r="CD88" i="12"/>
  <c r="AH88" i="12"/>
  <c r="DJ87" i="12"/>
  <c r="DE87" i="12"/>
  <c r="CW87" i="12"/>
  <c r="AK87" i="12"/>
  <c r="DJ86" i="12"/>
  <c r="DE86" i="12"/>
  <c r="DI134" i="12"/>
  <c r="CR134" i="12"/>
  <c r="DD133" i="12"/>
  <c r="AK132" i="12"/>
  <c r="DE131" i="12"/>
  <c r="DJ130" i="12"/>
  <c r="DD129" i="12"/>
  <c r="CV129" i="12"/>
  <c r="DD128" i="12"/>
  <c r="CV128" i="12"/>
  <c r="DD127" i="12"/>
  <c r="CV127" i="12"/>
  <c r="DJ126" i="12"/>
  <c r="CB126" i="12"/>
  <c r="AK126" i="12"/>
  <c r="DJ125" i="12"/>
  <c r="CB125" i="12"/>
  <c r="AK125" i="12"/>
  <c r="DJ124" i="12"/>
  <c r="DC124" i="12"/>
  <c r="CW124" i="12"/>
  <c r="CR124" i="12"/>
  <c r="CB124" i="12"/>
  <c r="DE123" i="12"/>
  <c r="CU123" i="12"/>
  <c r="AR123" i="12"/>
  <c r="AQ123" i="12" s="1"/>
  <c r="AK123" i="12"/>
  <c r="DI122" i="12"/>
  <c r="DH122" i="12" s="1"/>
  <c r="DC122" i="12"/>
  <c r="CW122" i="12"/>
  <c r="CR122" i="12"/>
  <c r="CB122" i="12"/>
  <c r="DE121" i="12"/>
  <c r="CU121" i="12"/>
  <c r="AJ121" i="12"/>
  <c r="DI120" i="12"/>
  <c r="DD120" i="12"/>
  <c r="CV120" i="12"/>
  <c r="CR120" i="12"/>
  <c r="CF120" i="12"/>
  <c r="CB120" i="12"/>
  <c r="AJ120" i="12"/>
  <c r="DI119" i="12"/>
  <c r="DD119" i="12"/>
  <c r="CV119" i="12"/>
  <c r="CR119" i="12"/>
  <c r="CF119" i="12"/>
  <c r="CB119" i="12"/>
  <c r="AJ119" i="12"/>
  <c r="DI118" i="12"/>
  <c r="DD118" i="12"/>
  <c r="CV118" i="12"/>
  <c r="CR118" i="12"/>
  <c r="CF118" i="12"/>
  <c r="CB118" i="12"/>
  <c r="AJ118" i="12"/>
  <c r="DJ117" i="12"/>
  <c r="DE117" i="12"/>
  <c r="CW117" i="12"/>
  <c r="AK117" i="12"/>
  <c r="DJ116" i="12"/>
  <c r="DE116" i="12"/>
  <c r="CW116" i="12"/>
  <c r="AK116" i="12"/>
  <c r="DI115" i="12"/>
  <c r="DD115" i="12"/>
  <c r="CV115" i="12"/>
  <c r="CR115" i="12"/>
  <c r="CF115" i="12"/>
  <c r="CB115" i="12"/>
  <c r="AJ115" i="12"/>
  <c r="DC114" i="12"/>
  <c r="CY114" i="12"/>
  <c r="CU114" i="12"/>
  <c r="CQ114" i="12"/>
  <c r="CA114" i="12"/>
  <c r="AR114" i="12"/>
  <c r="AQ114" i="12" s="1"/>
  <c r="DK113" i="12"/>
  <c r="DF113" i="12"/>
  <c r="DB113" i="12"/>
  <c r="CX113" i="12"/>
  <c r="CT113" i="12"/>
  <c r="CL113" i="12"/>
  <c r="CH113" i="12"/>
  <c r="CD113" i="12"/>
  <c r="AH113" i="12"/>
  <c r="DK112" i="12"/>
  <c r="DF112" i="12"/>
  <c r="DB112" i="12"/>
  <c r="DA112" i="12" s="1"/>
  <c r="CX112" i="12"/>
  <c r="CT112" i="12"/>
  <c r="CL112" i="12"/>
  <c r="CH112" i="12"/>
  <c r="CD112" i="12"/>
  <c r="AH112" i="12"/>
  <c r="DK111" i="12"/>
  <c r="DF111" i="12"/>
  <c r="DB111" i="12"/>
  <c r="DA111" i="12" s="1"/>
  <c r="CX111" i="12"/>
  <c r="CT111" i="12"/>
  <c r="CL111" i="12"/>
  <c r="CH111" i="12"/>
  <c r="CD111" i="12"/>
  <c r="AH111" i="12"/>
  <c r="DK110" i="12"/>
  <c r="DF110" i="12"/>
  <c r="DB110" i="12"/>
  <c r="DA110" i="12" s="1"/>
  <c r="CX110" i="12"/>
  <c r="CT110" i="12"/>
  <c r="CL110" i="12"/>
  <c r="CH110" i="12"/>
  <c r="CD110" i="12"/>
  <c r="AH110" i="12"/>
  <c r="DK109" i="12"/>
  <c r="DF109" i="12"/>
  <c r="DB109" i="12"/>
  <c r="CX109" i="12"/>
  <c r="CT109" i="12"/>
  <c r="CL109" i="12"/>
  <c r="CH109" i="12"/>
  <c r="CD109" i="12"/>
  <c r="AH109" i="12"/>
  <c r="DK108" i="12"/>
  <c r="DF108" i="12"/>
  <c r="DB108" i="12"/>
  <c r="DA108" i="12" s="1"/>
  <c r="CX108" i="12"/>
  <c r="CT108" i="12"/>
  <c r="CL108" i="12"/>
  <c r="CH108" i="12"/>
  <c r="CD108" i="12"/>
  <c r="AH108" i="12"/>
  <c r="DK107" i="12"/>
  <c r="DF107" i="12"/>
  <c r="DB107" i="12"/>
  <c r="DA107" i="12" s="1"/>
  <c r="CX107" i="12"/>
  <c r="CT107" i="12"/>
  <c r="CL107" i="12"/>
  <c r="CH107" i="12"/>
  <c r="CD107" i="12"/>
  <c r="AH107" i="12"/>
  <c r="DK106" i="12"/>
  <c r="DF106" i="12"/>
  <c r="DB106" i="12"/>
  <c r="DA106" i="12" s="1"/>
  <c r="CX106" i="12"/>
  <c r="CT106" i="12"/>
  <c r="CL106" i="12"/>
  <c r="CH106" i="12"/>
  <c r="CD106" i="12"/>
  <c r="AH106" i="12"/>
  <c r="DK105" i="12"/>
  <c r="DF105" i="12"/>
  <c r="DB105" i="12"/>
  <c r="CX105" i="12"/>
  <c r="CT105" i="12"/>
  <c r="CL105" i="12"/>
  <c r="CH105" i="12"/>
  <c r="CD105" i="12"/>
  <c r="AH105" i="12"/>
  <c r="DK104" i="12"/>
  <c r="DF104" i="12"/>
  <c r="DB104" i="12"/>
  <c r="DA104" i="12" s="1"/>
  <c r="CX104" i="12"/>
  <c r="CT104" i="12"/>
  <c r="CL104" i="12"/>
  <c r="CH104" i="12"/>
  <c r="CD104" i="12"/>
  <c r="AH104" i="12"/>
  <c r="DJ103" i="12"/>
  <c r="DE103" i="12"/>
  <c r="CW103" i="12"/>
  <c r="AK103" i="12"/>
  <c r="DI102" i="12"/>
  <c r="DD102" i="12"/>
  <c r="CV102" i="12"/>
  <c r="CR102" i="12"/>
  <c r="CF102" i="12"/>
  <c r="CB102" i="12"/>
  <c r="AJ102" i="12"/>
  <c r="DI101" i="12"/>
  <c r="DD101" i="12"/>
  <c r="CV101" i="12"/>
  <c r="CR101" i="12"/>
  <c r="CF101" i="12"/>
  <c r="CB101" i="12"/>
  <c r="AJ101" i="12"/>
  <c r="DJ100" i="12"/>
  <c r="DE100" i="12"/>
  <c r="CW100" i="12"/>
  <c r="AK100" i="12"/>
  <c r="DJ99" i="12"/>
  <c r="DE99" i="12"/>
  <c r="CW99" i="12"/>
  <c r="AK99" i="12"/>
  <c r="DJ98" i="12"/>
  <c r="DE98" i="12"/>
  <c r="CW98" i="12"/>
  <c r="AK98" i="12"/>
  <c r="DK97" i="12"/>
  <c r="DF97" i="12"/>
  <c r="DB97" i="12"/>
  <c r="CX97" i="12"/>
  <c r="CT97" i="12"/>
  <c r="CL97" i="12"/>
  <c r="CH97" i="12"/>
  <c r="CD97" i="12"/>
  <c r="AH97" i="12"/>
  <c r="DK96" i="12"/>
  <c r="DF96" i="12"/>
  <c r="DB96" i="12"/>
  <c r="CX96" i="12"/>
  <c r="CT96" i="12"/>
  <c r="CL96" i="12"/>
  <c r="CH96" i="12"/>
  <c r="CD96" i="12"/>
  <c r="AH96" i="12"/>
  <c r="DC95" i="12"/>
  <c r="CY95" i="12"/>
  <c r="CU95" i="12"/>
  <c r="CQ95" i="12"/>
  <c r="CP95" i="12" s="1"/>
  <c r="CA95" i="12"/>
  <c r="AR95" i="12"/>
  <c r="AQ95" i="12" s="1"/>
  <c r="DC94" i="12"/>
  <c r="CY94" i="12"/>
  <c r="CU94" i="12"/>
  <c r="CQ94" i="12"/>
  <c r="CA94" i="12"/>
  <c r="AR94" i="12"/>
  <c r="AQ94" i="12" s="1"/>
  <c r="DC93" i="12"/>
  <c r="CY93" i="12"/>
  <c r="CU93" i="12"/>
  <c r="CQ93" i="12"/>
  <c r="CA93" i="12"/>
  <c r="AR93" i="12"/>
  <c r="AQ93" i="12" s="1"/>
  <c r="DC92" i="12"/>
  <c r="CY92" i="12"/>
  <c r="CU92" i="12"/>
  <c r="CQ92" i="12"/>
  <c r="CA92" i="12"/>
  <c r="AR92" i="12"/>
  <c r="AQ92" i="12" s="1"/>
  <c r="DC91" i="12"/>
  <c r="CY91" i="12"/>
  <c r="CU91" i="12"/>
  <c r="CQ91" i="12"/>
  <c r="CP91" i="12" s="1"/>
  <c r="CA91" i="12"/>
  <c r="AR91" i="12"/>
  <c r="AQ91" i="12" s="1"/>
  <c r="DI90" i="12"/>
  <c r="DD90" i="12"/>
  <c r="CV90" i="12"/>
  <c r="CR90" i="12"/>
  <c r="CF90" i="12"/>
  <c r="CB90" i="12"/>
  <c r="AJ90" i="12"/>
  <c r="DJ89" i="12"/>
  <c r="DE89" i="12"/>
  <c r="CW89" i="12"/>
  <c r="AK89" i="12"/>
  <c r="DJ88" i="12"/>
  <c r="DE88" i="12"/>
  <c r="CW88" i="12"/>
  <c r="DD134" i="12"/>
  <c r="CB133" i="12"/>
  <c r="CW132" i="12"/>
  <c r="AK131" i="12"/>
  <c r="DE130" i="12"/>
  <c r="DJ129" i="12"/>
  <c r="CB129" i="12"/>
  <c r="AK129" i="12"/>
  <c r="DJ128" i="12"/>
  <c r="CB128" i="12"/>
  <c r="AK128" i="12"/>
  <c r="DJ127" i="12"/>
  <c r="CB127" i="12"/>
  <c r="AK127" i="12"/>
  <c r="DI126" i="12"/>
  <c r="CR126" i="12"/>
  <c r="CF126" i="12"/>
  <c r="AJ126" i="12"/>
  <c r="DI125" i="12"/>
  <c r="CR125" i="12"/>
  <c r="CF125" i="12"/>
  <c r="AJ125" i="12"/>
  <c r="DI124" i="12"/>
  <c r="CV124" i="12"/>
  <c r="CQ124" i="12"/>
  <c r="CF124" i="12"/>
  <c r="CA124" i="12"/>
  <c r="DJ123" i="12"/>
  <c r="DD123" i="12"/>
  <c r="CY123" i="12"/>
  <c r="AJ123" i="12"/>
  <c r="CV122" i="12"/>
  <c r="CQ122" i="12"/>
  <c r="CF122" i="12"/>
  <c r="CA122" i="12"/>
  <c r="DJ121" i="12"/>
  <c r="DD121" i="12"/>
  <c r="CY121" i="12"/>
  <c r="AR121" i="12"/>
  <c r="AQ121" i="12" s="1"/>
  <c r="DC120" i="12"/>
  <c r="CY120" i="12"/>
  <c r="CU120" i="12"/>
  <c r="CQ120" i="12"/>
  <c r="CA120" i="12"/>
  <c r="AR120" i="12"/>
  <c r="AQ120" i="12" s="1"/>
  <c r="DC119" i="12"/>
  <c r="CY119" i="12"/>
  <c r="CU119" i="12"/>
  <c r="CQ119" i="12"/>
  <c r="CA119" i="12"/>
  <c r="AR119" i="12"/>
  <c r="AQ119" i="12" s="1"/>
  <c r="DC118" i="12"/>
  <c r="CY118" i="12"/>
  <c r="CU118" i="12"/>
  <c r="CQ118" i="12"/>
  <c r="CA118" i="12"/>
  <c r="AR118" i="12"/>
  <c r="AQ118" i="12" s="1"/>
  <c r="DI117" i="12"/>
  <c r="DH117" i="12" s="1"/>
  <c r="DD117" i="12"/>
  <c r="CV117" i="12"/>
  <c r="CR117" i="12"/>
  <c r="CF117" i="12"/>
  <c r="CB117" i="12"/>
  <c r="AJ117" i="12"/>
  <c r="DI116" i="12"/>
  <c r="DD116" i="12"/>
  <c r="CV116" i="12"/>
  <c r="CR116" i="12"/>
  <c r="CF116" i="12"/>
  <c r="CB116" i="12"/>
  <c r="AJ116" i="12"/>
  <c r="DC115" i="12"/>
  <c r="CY115" i="12"/>
  <c r="CU115" i="12"/>
  <c r="CQ115" i="12"/>
  <c r="CA115" i="12"/>
  <c r="AR115" i="12"/>
  <c r="AQ115" i="12" s="1"/>
  <c r="DK114" i="12"/>
  <c r="DF114" i="12"/>
  <c r="DB114" i="12"/>
  <c r="CX114" i="12"/>
  <c r="CT114" i="12"/>
  <c r="CL114" i="12"/>
  <c r="CH114" i="12"/>
  <c r="CD114" i="12"/>
  <c r="AH114" i="12"/>
  <c r="DJ113" i="12"/>
  <c r="DE113" i="12"/>
  <c r="CW113" i="12"/>
  <c r="AK113" i="12"/>
  <c r="DJ112" i="12"/>
  <c r="DE112" i="12"/>
  <c r="CW112" i="12"/>
  <c r="AK112" i="12"/>
  <c r="DJ111" i="12"/>
  <c r="DE111" i="12"/>
  <c r="CW111" i="12"/>
  <c r="AK111" i="12"/>
  <c r="DJ110" i="12"/>
  <c r="DE110" i="12"/>
  <c r="CW110" i="12"/>
  <c r="AK110" i="12"/>
  <c r="DJ109" i="12"/>
  <c r="DE109" i="12"/>
  <c r="CW109" i="12"/>
  <c r="AK109" i="12"/>
  <c r="DJ108" i="12"/>
  <c r="DE108" i="12"/>
  <c r="CW108" i="12"/>
  <c r="AK108" i="12"/>
  <c r="DJ107" i="12"/>
  <c r="DE107" i="12"/>
  <c r="CW107" i="12"/>
  <c r="AK107" i="12"/>
  <c r="DJ106" i="12"/>
  <c r="DE106" i="12"/>
  <c r="CW106" i="12"/>
  <c r="AK106" i="12"/>
  <c r="DJ105" i="12"/>
  <c r="DE105" i="12"/>
  <c r="CW105" i="12"/>
  <c r="AK105" i="12"/>
  <c r="DJ104" i="12"/>
  <c r="DE104" i="12"/>
  <c r="CW104" i="12"/>
  <c r="AK104" i="12"/>
  <c r="DI103" i="12"/>
  <c r="DD103" i="12"/>
  <c r="CV103" i="12"/>
  <c r="CR103" i="12"/>
  <c r="CF103" i="12"/>
  <c r="CB103" i="12"/>
  <c r="AJ103" i="12"/>
  <c r="DC102" i="12"/>
  <c r="CY102" i="12"/>
  <c r="CU102" i="12"/>
  <c r="CQ102" i="12"/>
  <c r="CP102" i="12" s="1"/>
  <c r="CA102" i="12"/>
  <c r="AR102" i="12"/>
  <c r="AQ102" i="12" s="1"/>
  <c r="DC101" i="12"/>
  <c r="CY101" i="12"/>
  <c r="CU101" i="12"/>
  <c r="CQ101" i="12"/>
  <c r="CA101" i="12"/>
  <c r="AR101" i="12"/>
  <c r="AQ101" i="12" s="1"/>
  <c r="DI100" i="12"/>
  <c r="DD100" i="12"/>
  <c r="CV100" i="12"/>
  <c r="CR100" i="12"/>
  <c r="CF100" i="12"/>
  <c r="CB100" i="12"/>
  <c r="AJ100" i="12"/>
  <c r="DI99" i="12"/>
  <c r="DD99" i="12"/>
  <c r="CV99" i="12"/>
  <c r="CR99" i="12"/>
  <c r="CF99" i="12"/>
  <c r="CB99" i="12"/>
  <c r="AJ99" i="12"/>
  <c r="DI98" i="12"/>
  <c r="DD98" i="12"/>
  <c r="CV98" i="12"/>
  <c r="CR98" i="12"/>
  <c r="CF98" i="12"/>
  <c r="CB98" i="12"/>
  <c r="AJ98" i="12"/>
  <c r="DJ97" i="12"/>
  <c r="DE97" i="12"/>
  <c r="CW97" i="12"/>
  <c r="AK97" i="12"/>
  <c r="DJ96" i="12"/>
  <c r="DE96" i="12"/>
  <c r="CW96" i="12"/>
  <c r="AK96" i="12"/>
  <c r="DK95" i="12"/>
  <c r="DF95" i="12"/>
  <c r="DB95" i="12"/>
  <c r="CX95" i="12"/>
  <c r="CT95" i="12"/>
  <c r="CL95" i="12"/>
  <c r="CH95" i="12"/>
  <c r="CD95" i="12"/>
  <c r="AH95" i="12"/>
  <c r="DK94" i="12"/>
  <c r="DF94" i="12"/>
  <c r="DB94" i="12"/>
  <c r="CX94" i="12"/>
  <c r="CT94" i="12"/>
  <c r="CL94" i="12"/>
  <c r="CH94" i="12"/>
  <c r="CD94" i="12"/>
  <c r="AH94" i="12"/>
  <c r="DK93" i="12"/>
  <c r="DF93" i="12"/>
  <c r="DB93" i="12"/>
  <c r="CX93" i="12"/>
  <c r="CT93" i="12"/>
  <c r="CL93" i="12"/>
  <c r="CH93" i="12"/>
  <c r="CD93" i="12"/>
  <c r="AH93" i="12"/>
  <c r="DK92" i="12"/>
  <c r="DF92" i="12"/>
  <c r="DB92" i="12"/>
  <c r="CX92" i="12"/>
  <c r="CT92" i="12"/>
  <c r="CL92" i="12"/>
  <c r="CH92" i="12"/>
  <c r="CD92" i="12"/>
  <c r="AH92" i="12"/>
  <c r="DK91" i="12"/>
  <c r="DF91" i="12"/>
  <c r="DB91" i="12"/>
  <c r="CX91" i="12"/>
  <c r="CT91" i="12"/>
  <c r="CL91" i="12"/>
  <c r="CH91" i="12"/>
  <c r="CD91" i="12"/>
  <c r="AH91" i="12"/>
  <c r="DC90" i="12"/>
  <c r="CY90" i="12"/>
  <c r="CU90" i="12"/>
  <c r="CQ90" i="12"/>
  <c r="CA90" i="12"/>
  <c r="AR90" i="12"/>
  <c r="AQ90" i="12" s="1"/>
  <c r="AK91" i="12"/>
  <c r="DB90" i="12"/>
  <c r="DD89" i="12"/>
  <c r="CV89" i="12"/>
  <c r="AR89" i="12"/>
  <c r="AQ89" i="12" s="1"/>
  <c r="AJ89" i="12"/>
  <c r="DD88" i="12"/>
  <c r="CV88" i="12"/>
  <c r="DF87" i="12"/>
  <c r="CU87" i="12"/>
  <c r="DF86" i="12"/>
  <c r="CV86" i="12"/>
  <c r="CR86" i="12"/>
  <c r="CF86" i="12"/>
  <c r="CB86" i="12"/>
  <c r="AJ86" i="12"/>
  <c r="DI85" i="12"/>
  <c r="DD85" i="12"/>
  <c r="CV85" i="12"/>
  <c r="CR85" i="12"/>
  <c r="CF85" i="12"/>
  <c r="CB85" i="12"/>
  <c r="AJ85" i="12"/>
  <c r="DI84" i="12"/>
  <c r="DD84" i="12"/>
  <c r="CV84" i="12"/>
  <c r="CR84" i="12"/>
  <c r="CF84" i="12"/>
  <c r="CB84" i="12"/>
  <c r="AJ84" i="12"/>
  <c r="DI83" i="12"/>
  <c r="DD83" i="12"/>
  <c r="CV83" i="12"/>
  <c r="CR83" i="12"/>
  <c r="CF83" i="12"/>
  <c r="CB83" i="12"/>
  <c r="AJ83" i="12"/>
  <c r="DI82" i="12"/>
  <c r="DD82" i="12"/>
  <c r="CV82" i="12"/>
  <c r="CR82" i="12"/>
  <c r="CF82" i="12"/>
  <c r="CB82" i="12"/>
  <c r="AJ82" i="12"/>
  <c r="DI81" i="12"/>
  <c r="DD81" i="12"/>
  <c r="CV81" i="12"/>
  <c r="CR81" i="12"/>
  <c r="CF81" i="12"/>
  <c r="CB81" i="12"/>
  <c r="AJ81" i="12"/>
  <c r="DI80" i="12"/>
  <c r="DD80" i="12"/>
  <c r="CV80" i="12"/>
  <c r="CR80" i="12"/>
  <c r="CF80" i="12"/>
  <c r="CB80" i="12"/>
  <c r="AJ80" i="12"/>
  <c r="DI79" i="12"/>
  <c r="DD79" i="12"/>
  <c r="CV79" i="12"/>
  <c r="CR79" i="12"/>
  <c r="CF79" i="12"/>
  <c r="CB79" i="12"/>
  <c r="AJ79" i="12"/>
  <c r="DJ78" i="12"/>
  <c r="DE78" i="12"/>
  <c r="CW78" i="12"/>
  <c r="AK78" i="12"/>
  <c r="DJ77" i="12"/>
  <c r="DE77" i="12"/>
  <c r="CW77" i="12"/>
  <c r="AK77" i="12"/>
  <c r="DJ76" i="12"/>
  <c r="DE76" i="12"/>
  <c r="CW76" i="12"/>
  <c r="AK76" i="12"/>
  <c r="DJ75" i="12"/>
  <c r="DE75" i="12"/>
  <c r="CW75" i="12"/>
  <c r="AK75" i="12"/>
  <c r="DI74" i="12"/>
  <c r="DD74" i="12"/>
  <c r="CV74" i="12"/>
  <c r="CR74" i="12"/>
  <c r="CF74" i="12"/>
  <c r="CB74" i="12"/>
  <c r="AJ74" i="12"/>
  <c r="DC73" i="12"/>
  <c r="CY73" i="12"/>
  <c r="CU73" i="12"/>
  <c r="CQ73" i="12"/>
  <c r="CA73" i="12"/>
  <c r="AR73" i="12"/>
  <c r="AQ73" i="12" s="1"/>
  <c r="DK72" i="12"/>
  <c r="DF72" i="12"/>
  <c r="DB72" i="12"/>
  <c r="CX72" i="12"/>
  <c r="CT72" i="12"/>
  <c r="CL72" i="12"/>
  <c r="CH72" i="12"/>
  <c r="CD72" i="12"/>
  <c r="AH72" i="12"/>
  <c r="DJ71" i="12"/>
  <c r="DE71" i="12"/>
  <c r="CW71" i="12"/>
  <c r="AK71" i="12"/>
  <c r="DK70" i="12"/>
  <c r="DF70" i="12"/>
  <c r="DB70" i="12"/>
  <c r="CX70" i="12"/>
  <c r="CT70" i="12"/>
  <c r="CL70" i="12"/>
  <c r="CH70" i="12"/>
  <c r="CD70" i="12"/>
  <c r="AH70" i="12"/>
  <c r="DC69" i="12"/>
  <c r="CY69" i="12"/>
  <c r="CU69" i="12"/>
  <c r="CQ69" i="12"/>
  <c r="CA69" i="12"/>
  <c r="AR69" i="12"/>
  <c r="AQ69" i="12" s="1"/>
  <c r="DI68" i="12"/>
  <c r="DD68" i="12"/>
  <c r="CV68" i="12"/>
  <c r="CR68" i="12"/>
  <c r="CF68" i="12"/>
  <c r="CB68" i="12"/>
  <c r="AJ68" i="12"/>
  <c r="DI67" i="12"/>
  <c r="DD67" i="12"/>
  <c r="CV67" i="12"/>
  <c r="CR67" i="12"/>
  <c r="CF67" i="12"/>
  <c r="CB67" i="12"/>
  <c r="AJ67" i="12"/>
  <c r="DI66" i="12"/>
  <c r="DD66" i="12"/>
  <c r="CV66" i="12"/>
  <c r="CR66" i="12"/>
  <c r="CF66" i="12"/>
  <c r="CB66" i="12"/>
  <c r="AJ66" i="12"/>
  <c r="DJ65" i="12"/>
  <c r="DE65" i="12"/>
  <c r="CW65" i="12"/>
  <c r="AK65" i="12"/>
  <c r="DJ64" i="12"/>
  <c r="DE64" i="12"/>
  <c r="CW64" i="12"/>
  <c r="AK64" i="12"/>
  <c r="DJ63" i="12"/>
  <c r="DE63" i="12"/>
  <c r="CW63" i="12"/>
  <c r="AK63" i="12"/>
  <c r="DJ62" i="12"/>
  <c r="DE62" i="12"/>
  <c r="CW62" i="12"/>
  <c r="CX90" i="12"/>
  <c r="CD90" i="12"/>
  <c r="DC89" i="12"/>
  <c r="CU89" i="12"/>
  <c r="CB89" i="12"/>
  <c r="DC88" i="12"/>
  <c r="CU88" i="12"/>
  <c r="CB88" i="12"/>
  <c r="DK87" i="12"/>
  <c r="DD87" i="12"/>
  <c r="CY87" i="12"/>
  <c r="CT87" i="12"/>
  <c r="CF87" i="12"/>
  <c r="CB87" i="12"/>
  <c r="AJ87" i="12"/>
  <c r="DK86" i="12"/>
  <c r="DD86" i="12"/>
  <c r="CY86" i="12"/>
  <c r="CU86" i="12"/>
  <c r="CQ86" i="12"/>
  <c r="CA86" i="12"/>
  <c r="AR86" i="12"/>
  <c r="AQ86" i="12" s="1"/>
  <c r="DC85" i="12"/>
  <c r="CY85" i="12"/>
  <c r="CU85" i="12"/>
  <c r="CQ85" i="12"/>
  <c r="CA85" i="12"/>
  <c r="AR85" i="12"/>
  <c r="AQ85" i="12" s="1"/>
  <c r="DC84" i="12"/>
  <c r="CY84" i="12"/>
  <c r="CU84" i="12"/>
  <c r="CQ84" i="12"/>
  <c r="CA84" i="12"/>
  <c r="AR84" i="12"/>
  <c r="AQ84" i="12" s="1"/>
  <c r="DC83" i="12"/>
  <c r="CY83" i="12"/>
  <c r="CU83" i="12"/>
  <c r="CQ83" i="12"/>
  <c r="CA83" i="12"/>
  <c r="AR83" i="12"/>
  <c r="AQ83" i="12" s="1"/>
  <c r="DC82" i="12"/>
  <c r="CY82" i="12"/>
  <c r="CU82" i="12"/>
  <c r="CQ82" i="12"/>
  <c r="CA82" i="12"/>
  <c r="AR82" i="12"/>
  <c r="AQ82" i="12" s="1"/>
  <c r="DC81" i="12"/>
  <c r="CY81" i="12"/>
  <c r="CU81" i="12"/>
  <c r="CQ81" i="12"/>
  <c r="CA81" i="12"/>
  <c r="AR81" i="12"/>
  <c r="AQ81" i="12" s="1"/>
  <c r="DC80" i="12"/>
  <c r="CY80" i="12"/>
  <c r="CU80" i="12"/>
  <c r="CQ80" i="12"/>
  <c r="CA80" i="12"/>
  <c r="AR80" i="12"/>
  <c r="AQ80" i="12" s="1"/>
  <c r="DC79" i="12"/>
  <c r="CY79" i="12"/>
  <c r="CU79" i="12"/>
  <c r="CQ79" i="12"/>
  <c r="CA79" i="12"/>
  <c r="AR79" i="12"/>
  <c r="AQ79" i="12" s="1"/>
  <c r="DI78" i="12"/>
  <c r="DD78" i="12"/>
  <c r="CV78" i="12"/>
  <c r="CR78" i="12"/>
  <c r="CF78" i="12"/>
  <c r="CB78" i="12"/>
  <c r="AJ78" i="12"/>
  <c r="DI77" i="12"/>
  <c r="DD77" i="12"/>
  <c r="CV77" i="12"/>
  <c r="CR77" i="12"/>
  <c r="CF77" i="12"/>
  <c r="CB77" i="12"/>
  <c r="AJ77" i="12"/>
  <c r="DI76" i="12"/>
  <c r="DD76" i="12"/>
  <c r="CV76" i="12"/>
  <c r="CR76" i="12"/>
  <c r="CF76" i="12"/>
  <c r="CB76" i="12"/>
  <c r="AJ76" i="12"/>
  <c r="DI75" i="12"/>
  <c r="DD75" i="12"/>
  <c r="CV75" i="12"/>
  <c r="CR75" i="12"/>
  <c r="CF75" i="12"/>
  <c r="CB75" i="12"/>
  <c r="AJ75" i="12"/>
  <c r="DC74" i="12"/>
  <c r="CY74" i="12"/>
  <c r="CU74" i="12"/>
  <c r="CQ74" i="12"/>
  <c r="CA74" i="12"/>
  <c r="AR74" i="12"/>
  <c r="AQ74" i="12" s="1"/>
  <c r="DK73" i="12"/>
  <c r="DF73" i="12"/>
  <c r="DB73" i="12"/>
  <c r="DA73" i="12" s="1"/>
  <c r="CX73" i="12"/>
  <c r="CT73" i="12"/>
  <c r="CL73" i="12"/>
  <c r="CH73" i="12"/>
  <c r="CD73" i="12"/>
  <c r="AH73" i="12"/>
  <c r="DJ72" i="12"/>
  <c r="DE72" i="12"/>
  <c r="CW72" i="12"/>
  <c r="AK72" i="12"/>
  <c r="DI71" i="12"/>
  <c r="DD71" i="12"/>
  <c r="CV71" i="12"/>
  <c r="CR71" i="12"/>
  <c r="CF71" i="12"/>
  <c r="CB71" i="12"/>
  <c r="AJ71" i="12"/>
  <c r="DJ70" i="12"/>
  <c r="DE70" i="12"/>
  <c r="CW70" i="12"/>
  <c r="AK70" i="12"/>
  <c r="DK69" i="12"/>
  <c r="DF69" i="12"/>
  <c r="DB69" i="12"/>
  <c r="CX69" i="12"/>
  <c r="CT69" i="12"/>
  <c r="CL69" i="12"/>
  <c r="CH69" i="12"/>
  <c r="CD69" i="12"/>
  <c r="AH69" i="12"/>
  <c r="DC68" i="12"/>
  <c r="CY68" i="12"/>
  <c r="CU68" i="12"/>
  <c r="CQ68" i="12"/>
  <c r="CA68" i="12"/>
  <c r="AR68" i="12"/>
  <c r="AQ68" i="12" s="1"/>
  <c r="DC67" i="12"/>
  <c r="CY67" i="12"/>
  <c r="CU67" i="12"/>
  <c r="CQ67" i="12"/>
  <c r="CP67" i="12" s="1"/>
  <c r="CA67" i="12"/>
  <c r="AR67" i="12"/>
  <c r="AQ67" i="12" s="1"/>
  <c r="DC66" i="12"/>
  <c r="CY66" i="12"/>
  <c r="CU66" i="12"/>
  <c r="CQ66" i="12"/>
  <c r="CA66" i="12"/>
  <c r="AR66" i="12"/>
  <c r="AQ66" i="12" s="1"/>
  <c r="DI65" i="12"/>
  <c r="DD65" i="12"/>
  <c r="CV65" i="12"/>
  <c r="CR65" i="12"/>
  <c r="CF65" i="12"/>
  <c r="CB65" i="12"/>
  <c r="AJ65" i="12"/>
  <c r="DK90" i="12"/>
  <c r="CT90" i="12"/>
  <c r="CL90" i="12"/>
  <c r="CH90" i="12"/>
  <c r="AH90" i="12"/>
  <c r="DI89" i="12"/>
  <c r="CR89" i="12"/>
  <c r="CF89" i="12"/>
  <c r="CA89" i="12"/>
  <c r="DI88" i="12"/>
  <c r="CR88" i="12"/>
  <c r="CF88" i="12"/>
  <c r="CA88" i="12"/>
  <c r="AR88" i="12"/>
  <c r="AQ88" i="12" s="1"/>
  <c r="AK88" i="12"/>
  <c r="DI87" i="12"/>
  <c r="DC87" i="12"/>
  <c r="CX87" i="12"/>
  <c r="CR87" i="12"/>
  <c r="CA87" i="12"/>
  <c r="DI86" i="12"/>
  <c r="DC86" i="12"/>
  <c r="CX86" i="12"/>
  <c r="CT86" i="12"/>
  <c r="CL86" i="12"/>
  <c r="CH86" i="12"/>
  <c r="CD86" i="12"/>
  <c r="AH86" i="12"/>
  <c r="DK85" i="12"/>
  <c r="DF85" i="12"/>
  <c r="DB85" i="12"/>
  <c r="CX85" i="12"/>
  <c r="CT85" i="12"/>
  <c r="CL85" i="12"/>
  <c r="CH85" i="12"/>
  <c r="CD85" i="12"/>
  <c r="AH85" i="12"/>
  <c r="DK84" i="12"/>
  <c r="DF84" i="12"/>
  <c r="DB84" i="12"/>
  <c r="CX84" i="12"/>
  <c r="CT84" i="12"/>
  <c r="CL84" i="12"/>
  <c r="CH84" i="12"/>
  <c r="CD84" i="12"/>
  <c r="AH84" i="12"/>
  <c r="DK83" i="12"/>
  <c r="DF83" i="12"/>
  <c r="DB83" i="12"/>
  <c r="CX83" i="12"/>
  <c r="CT83" i="12"/>
  <c r="CL83" i="12"/>
  <c r="CH83" i="12"/>
  <c r="CD83" i="12"/>
  <c r="AH83" i="12"/>
  <c r="DK82" i="12"/>
  <c r="DF82" i="12"/>
  <c r="DB82" i="12"/>
  <c r="CX82" i="12"/>
  <c r="CT82" i="12"/>
  <c r="CL82" i="12"/>
  <c r="CH82" i="12"/>
  <c r="CD82" i="12"/>
  <c r="AH82" i="12"/>
  <c r="DK81" i="12"/>
  <c r="DF81" i="12"/>
  <c r="DB81" i="12"/>
  <c r="CX81" i="12"/>
  <c r="CT81" i="12"/>
  <c r="CL81" i="12"/>
  <c r="CH81" i="12"/>
  <c r="CD81" i="12"/>
  <c r="AH81" i="12"/>
  <c r="DK80" i="12"/>
  <c r="DF80" i="12"/>
  <c r="DB80" i="12"/>
  <c r="CX80" i="12"/>
  <c r="CT80" i="12"/>
  <c r="CL80" i="12"/>
  <c r="CH80" i="12"/>
  <c r="CD80" i="12"/>
  <c r="AH80" i="12"/>
  <c r="DK79" i="12"/>
  <c r="DF79" i="12"/>
  <c r="DB79" i="12"/>
  <c r="CX79" i="12"/>
  <c r="CT79" i="12"/>
  <c r="CL79" i="12"/>
  <c r="CH79" i="12"/>
  <c r="CD79" i="12"/>
  <c r="AH79" i="12"/>
  <c r="DC78" i="12"/>
  <c r="CY78" i="12"/>
  <c r="CU78" i="12"/>
  <c r="CQ78" i="12"/>
  <c r="CA78" i="12"/>
  <c r="AR78" i="12"/>
  <c r="AQ78" i="12" s="1"/>
  <c r="DC77" i="12"/>
  <c r="CY77" i="12"/>
  <c r="CU77" i="12"/>
  <c r="CQ77" i="12"/>
  <c r="CP77" i="12" s="1"/>
  <c r="CA77" i="12"/>
  <c r="AR77" i="12"/>
  <c r="AQ77" i="12" s="1"/>
  <c r="DC76" i="12"/>
  <c r="CY76" i="12"/>
  <c r="CU76" i="12"/>
  <c r="CQ76" i="12"/>
  <c r="CA76" i="12"/>
  <c r="AR76" i="12"/>
  <c r="AQ76" i="12" s="1"/>
  <c r="DC75" i="12"/>
  <c r="CY75" i="12"/>
  <c r="CU75" i="12"/>
  <c r="CQ75" i="12"/>
  <c r="CA75" i="12"/>
  <c r="AR75" i="12"/>
  <c r="AQ75" i="12" s="1"/>
  <c r="DK74" i="12"/>
  <c r="DF74" i="12"/>
  <c r="DB74" i="12"/>
  <c r="CX74" i="12"/>
  <c r="CT74" i="12"/>
  <c r="CL74" i="12"/>
  <c r="CH74" i="12"/>
  <c r="CD74" i="12"/>
  <c r="AH74" i="12"/>
  <c r="DJ73" i="12"/>
  <c r="DE73" i="12"/>
  <c r="CW73" i="12"/>
  <c r="AK73" i="12"/>
  <c r="DI72" i="12"/>
  <c r="DD72" i="12"/>
  <c r="CV72" i="12"/>
  <c r="CR72" i="12"/>
  <c r="CF72" i="12"/>
  <c r="CB72" i="12"/>
  <c r="AJ72" i="12"/>
  <c r="DC71" i="12"/>
  <c r="CY71" i="12"/>
  <c r="CU71" i="12"/>
  <c r="CQ71" i="12"/>
  <c r="CA71" i="12"/>
  <c r="AR71" i="12"/>
  <c r="AQ71" i="12" s="1"/>
  <c r="DI70" i="12"/>
  <c r="DD70" i="12"/>
  <c r="CV70" i="12"/>
  <c r="CR70" i="12"/>
  <c r="CF70" i="12"/>
  <c r="CB70" i="12"/>
  <c r="AJ70" i="12"/>
  <c r="DJ69" i="12"/>
  <c r="DE69" i="12"/>
  <c r="CW69" i="12"/>
  <c r="AK69" i="12"/>
  <c r="DK68" i="12"/>
  <c r="DF68" i="12"/>
  <c r="DB68" i="12"/>
  <c r="CX68" i="12"/>
  <c r="CT68" i="12"/>
  <c r="CL68" i="12"/>
  <c r="CH68" i="12"/>
  <c r="CD68" i="12"/>
  <c r="AH68" i="12"/>
  <c r="DK67" i="12"/>
  <c r="DF67" i="12"/>
  <c r="DB67" i="12"/>
  <c r="DA67" i="12" s="1"/>
  <c r="CX67" i="12"/>
  <c r="CT67" i="12"/>
  <c r="CL67" i="12"/>
  <c r="CH67" i="12"/>
  <c r="CD67" i="12"/>
  <c r="AH67" i="12"/>
  <c r="DK66" i="12"/>
  <c r="DF66" i="12"/>
  <c r="DB66" i="12"/>
  <c r="CX66" i="12"/>
  <c r="CT66" i="12"/>
  <c r="CL66" i="12"/>
  <c r="CH66" i="12"/>
  <c r="CD66" i="12"/>
  <c r="AH66" i="12"/>
  <c r="DC65" i="12"/>
  <c r="CY65" i="12"/>
  <c r="CU65" i="12"/>
  <c r="CQ65" i="12"/>
  <c r="CA65" i="12"/>
  <c r="AR65" i="12"/>
  <c r="AQ65" i="12" s="1"/>
  <c r="DC64" i="12"/>
  <c r="CY64" i="12"/>
  <c r="CU64" i="12"/>
  <c r="CQ64" i="12"/>
  <c r="CA64" i="12"/>
  <c r="AR64" i="12"/>
  <c r="AQ64" i="12" s="1"/>
  <c r="DC63" i="12"/>
  <c r="CY63" i="12"/>
  <c r="CU63" i="12"/>
  <c r="CQ63" i="12"/>
  <c r="CA63" i="12"/>
  <c r="AR63" i="12"/>
  <c r="AQ63" i="12" s="1"/>
  <c r="DC62" i="12"/>
  <c r="CY62" i="12"/>
  <c r="CU62" i="12"/>
  <c r="CQ62" i="12"/>
  <c r="CA62" i="12"/>
  <c r="AR62" i="12"/>
  <c r="AQ62" i="12" s="1"/>
  <c r="DC61" i="12"/>
  <c r="CY61" i="12"/>
  <c r="CU61" i="12"/>
  <c r="CQ61" i="12"/>
  <c r="CA61" i="12"/>
  <c r="AR61" i="12"/>
  <c r="AQ61" i="12" s="1"/>
  <c r="DC60" i="12"/>
  <c r="CY60" i="12"/>
  <c r="CU60" i="12"/>
  <c r="CQ60" i="12"/>
  <c r="CA60" i="12"/>
  <c r="AR60" i="12"/>
  <c r="AQ60" i="12" s="1"/>
  <c r="DC59" i="12"/>
  <c r="CY59" i="12"/>
  <c r="CU59" i="12"/>
  <c r="CQ59" i="12"/>
  <c r="CA59" i="12"/>
  <c r="AR59" i="12"/>
  <c r="AQ59" i="12" s="1"/>
  <c r="DC58" i="12"/>
  <c r="CY58" i="12"/>
  <c r="CU58" i="12"/>
  <c r="CQ58" i="12"/>
  <c r="CA58" i="12"/>
  <c r="AR58" i="12"/>
  <c r="AQ58" i="12" s="1"/>
  <c r="DI57" i="12"/>
  <c r="DD57" i="12"/>
  <c r="CV57" i="12"/>
  <c r="CR57" i="12"/>
  <c r="CF57" i="12"/>
  <c r="C33" i="11" s="1"/>
  <c r="CB57" i="12"/>
  <c r="AJ57" i="12"/>
  <c r="DF90" i="12"/>
  <c r="CY89" i="12"/>
  <c r="CQ89" i="12"/>
  <c r="CY88" i="12"/>
  <c r="CQ88" i="12"/>
  <c r="AJ88" i="12"/>
  <c r="DB87" i="12"/>
  <c r="CV87" i="12"/>
  <c r="CQ87" i="12"/>
  <c r="CL87" i="12"/>
  <c r="CH87" i="12"/>
  <c r="CD87" i="12"/>
  <c r="AR87" i="12"/>
  <c r="AQ87" i="12" s="1"/>
  <c r="AH87" i="12"/>
  <c r="DB86" i="12"/>
  <c r="CW86" i="12"/>
  <c r="AK86" i="12"/>
  <c r="DJ85" i="12"/>
  <c r="DE85" i="12"/>
  <c r="CW85" i="12"/>
  <c r="AK85" i="12"/>
  <c r="DJ84" i="12"/>
  <c r="DE84" i="12"/>
  <c r="CW84" i="12"/>
  <c r="AK84" i="12"/>
  <c r="DJ83" i="12"/>
  <c r="DE83" i="12"/>
  <c r="CW83" i="12"/>
  <c r="AK83" i="12"/>
  <c r="DJ82" i="12"/>
  <c r="DE82" i="12"/>
  <c r="CW82" i="12"/>
  <c r="AK82" i="12"/>
  <c r="DJ81" i="12"/>
  <c r="DE81" i="12"/>
  <c r="CW81" i="12"/>
  <c r="AK81" i="12"/>
  <c r="DJ80" i="12"/>
  <c r="DE80" i="12"/>
  <c r="CW80" i="12"/>
  <c r="AK80" i="12"/>
  <c r="DJ79" i="12"/>
  <c r="DE79" i="12"/>
  <c r="CW79" i="12"/>
  <c r="AK79" i="12"/>
  <c r="DK78" i="12"/>
  <c r="DF78" i="12"/>
  <c r="DB78" i="12"/>
  <c r="CX78" i="12"/>
  <c r="CT78" i="12"/>
  <c r="CL78" i="12"/>
  <c r="CH78" i="12"/>
  <c r="CD78" i="12"/>
  <c r="AH78" i="12"/>
  <c r="DK77" i="12"/>
  <c r="DF77" i="12"/>
  <c r="DB77" i="12"/>
  <c r="DA77" i="12" s="1"/>
  <c r="CX77" i="12"/>
  <c r="CT77" i="12"/>
  <c r="CL77" i="12"/>
  <c r="CH77" i="12"/>
  <c r="CD77" i="12"/>
  <c r="AH77" i="12"/>
  <c r="DK76" i="12"/>
  <c r="DF76" i="12"/>
  <c r="DB76" i="12"/>
  <c r="DA76" i="12" s="1"/>
  <c r="CZ76" i="12" s="1"/>
  <c r="CX76" i="12"/>
  <c r="CT76" i="12"/>
  <c r="CL76" i="12"/>
  <c r="CH76" i="12"/>
  <c r="CD76" i="12"/>
  <c r="AH76" i="12"/>
  <c r="DK75" i="12"/>
  <c r="DF75" i="12"/>
  <c r="DB75" i="12"/>
  <c r="DA75" i="12" s="1"/>
  <c r="CX75" i="12"/>
  <c r="CT75" i="12"/>
  <c r="CL75" i="12"/>
  <c r="CH75" i="12"/>
  <c r="CD75" i="12"/>
  <c r="AH75" i="12"/>
  <c r="DJ74" i="12"/>
  <c r="DE74" i="12"/>
  <c r="CW74" i="12"/>
  <c r="AK74" i="12"/>
  <c r="DI73" i="12"/>
  <c r="DD73" i="12"/>
  <c r="CV73" i="12"/>
  <c r="CR73" i="12"/>
  <c r="CF73" i="12"/>
  <c r="CB73" i="12"/>
  <c r="AJ73" i="12"/>
  <c r="DC72" i="12"/>
  <c r="CY72" i="12"/>
  <c r="CU72" i="12"/>
  <c r="CQ72" i="12"/>
  <c r="CA72" i="12"/>
  <c r="AR72" i="12"/>
  <c r="AQ72" i="12" s="1"/>
  <c r="DK71" i="12"/>
  <c r="DF71" i="12"/>
  <c r="DB71" i="12"/>
  <c r="CX71" i="12"/>
  <c r="CT71" i="12"/>
  <c r="CL71" i="12"/>
  <c r="CH71" i="12"/>
  <c r="CD71" i="12"/>
  <c r="AH71" i="12"/>
  <c r="DC70" i="12"/>
  <c r="CY70" i="12"/>
  <c r="CU70" i="12"/>
  <c r="CQ70" i="12"/>
  <c r="CA70" i="12"/>
  <c r="AR70" i="12"/>
  <c r="AQ70" i="12" s="1"/>
  <c r="DI69" i="12"/>
  <c r="DD69" i="12"/>
  <c r="CV69" i="12"/>
  <c r="CR69" i="12"/>
  <c r="CF69" i="12"/>
  <c r="CB69" i="12"/>
  <c r="AJ69" i="12"/>
  <c r="DJ68" i="12"/>
  <c r="DE68" i="12"/>
  <c r="CW68" i="12"/>
  <c r="AK68" i="12"/>
  <c r="DJ67" i="12"/>
  <c r="DE67" i="12"/>
  <c r="CW67" i="12"/>
  <c r="AK67" i="12"/>
  <c r="DJ66" i="12"/>
  <c r="DE66" i="12"/>
  <c r="CW66" i="12"/>
  <c r="AK66" i="12"/>
  <c r="DK65" i="12"/>
  <c r="DF65" i="12"/>
  <c r="DB65" i="12"/>
  <c r="CX65" i="12"/>
  <c r="CT65" i="12"/>
  <c r="CL65" i="12"/>
  <c r="CH65" i="12"/>
  <c r="CD65" i="12"/>
  <c r="AH65" i="12"/>
  <c r="DK64" i="12"/>
  <c r="DF64" i="12"/>
  <c r="DB64" i="12"/>
  <c r="DA64" i="12" s="1"/>
  <c r="CX64" i="12"/>
  <c r="CT64" i="12"/>
  <c r="CL64" i="12"/>
  <c r="CH64" i="12"/>
  <c r="CD64" i="12"/>
  <c r="AH64" i="12"/>
  <c r="DK63" i="12"/>
  <c r="DF63" i="12"/>
  <c r="DB63" i="12"/>
  <c r="CX63" i="12"/>
  <c r="CT63" i="12"/>
  <c r="CL63" i="12"/>
  <c r="CH63" i="12"/>
  <c r="CD63" i="12"/>
  <c r="AH63" i="12"/>
  <c r="DK62" i="12"/>
  <c r="DF62" i="12"/>
  <c r="DB62" i="12"/>
  <c r="DA62" i="12" s="1"/>
  <c r="CX62" i="12"/>
  <c r="CT62" i="12"/>
  <c r="CL62" i="12"/>
  <c r="CH62" i="12"/>
  <c r="CD62" i="12"/>
  <c r="AH62" i="12"/>
  <c r="DK61" i="12"/>
  <c r="DF61" i="12"/>
  <c r="DB61" i="12"/>
  <c r="CX61" i="12"/>
  <c r="CT61" i="12"/>
  <c r="CL61" i="12"/>
  <c r="CH61" i="12"/>
  <c r="CD61" i="12"/>
  <c r="AH61" i="12"/>
  <c r="DK60" i="12"/>
  <c r="DF60" i="12"/>
  <c r="DB60" i="12"/>
  <c r="DA60" i="12" s="1"/>
  <c r="CX60" i="12"/>
  <c r="CT60" i="12"/>
  <c r="CL60" i="12"/>
  <c r="CH60" i="12"/>
  <c r="CD60" i="12"/>
  <c r="AH60" i="12"/>
  <c r="DK59" i="12"/>
  <c r="DF59" i="12"/>
  <c r="DB59" i="12"/>
  <c r="CX59" i="12"/>
  <c r="CT59" i="12"/>
  <c r="CL59" i="12"/>
  <c r="CH59" i="12"/>
  <c r="CD59" i="12"/>
  <c r="AH59" i="12"/>
  <c r="DK58" i="12"/>
  <c r="DF58" i="12"/>
  <c r="DB58" i="12"/>
  <c r="DA58" i="12" s="1"/>
  <c r="CX58" i="12"/>
  <c r="CT58" i="12"/>
  <c r="CL58" i="12"/>
  <c r="CH58" i="12"/>
  <c r="CD58" i="12"/>
  <c r="AH58" i="12"/>
  <c r="DC57" i="12"/>
  <c r="CY57" i="12"/>
  <c r="CU57" i="12"/>
  <c r="CQ57" i="12"/>
  <c r="CA57" i="12"/>
  <c r="AR57" i="12"/>
  <c r="AQ57" i="12" s="1"/>
  <c r="C16" i="11" s="1"/>
  <c r="DC56" i="12"/>
  <c r="CY56" i="12"/>
  <c r="CU56" i="12"/>
  <c r="CQ56" i="12"/>
  <c r="CA56" i="12"/>
  <c r="AR56" i="12"/>
  <c r="AQ56" i="12" s="1"/>
  <c r="DC55" i="12"/>
  <c r="CY55" i="12"/>
  <c r="CU55" i="12"/>
  <c r="CQ55" i="12"/>
  <c r="CA55" i="12"/>
  <c r="AR55" i="12"/>
  <c r="AQ55" i="12" s="1"/>
  <c r="DK54" i="12"/>
  <c r="DF54" i="12"/>
  <c r="DB54" i="12"/>
  <c r="CX54" i="12"/>
  <c r="CT54" i="12"/>
  <c r="CL54" i="12"/>
  <c r="CH54" i="12"/>
  <c r="CD54" i="12"/>
  <c r="AH54" i="12"/>
  <c r="DJ53" i="12"/>
  <c r="DE53" i="12"/>
  <c r="CW53" i="12"/>
  <c r="AK53" i="12"/>
  <c r="DJ52" i="12"/>
  <c r="DE52" i="12"/>
  <c r="CW52" i="12"/>
  <c r="AK52" i="12"/>
  <c r="DJ51" i="12"/>
  <c r="DE51" i="12"/>
  <c r="CW51" i="12"/>
  <c r="AK51" i="12"/>
  <c r="DJ50" i="12"/>
  <c r="DE50" i="12"/>
  <c r="CW50" i="12"/>
  <c r="CV64" i="12"/>
  <c r="CF64" i="12"/>
  <c r="CB63" i="12"/>
  <c r="DD62" i="12"/>
  <c r="AJ62" i="12"/>
  <c r="DE61" i="12"/>
  <c r="CW61" i="12"/>
  <c r="DD60" i="12"/>
  <c r="CV60" i="12"/>
  <c r="DJ59" i="12"/>
  <c r="CB59" i="12"/>
  <c r="AK59" i="12"/>
  <c r="DI58" i="12"/>
  <c r="CR58" i="12"/>
  <c r="CF58" i="12"/>
  <c r="AJ58" i="12"/>
  <c r="DJ57" i="12"/>
  <c r="CD57" i="12"/>
  <c r="C37" i="11" s="1"/>
  <c r="DI56" i="12"/>
  <c r="DB56" i="12"/>
  <c r="DA56" i="12" s="1"/>
  <c r="CW56" i="12"/>
  <c r="CR56" i="12"/>
  <c r="AK56" i="12"/>
  <c r="DK55" i="12"/>
  <c r="DE55" i="12"/>
  <c r="CT55" i="12"/>
  <c r="DI54" i="12"/>
  <c r="DC54" i="12"/>
  <c r="CW54" i="12"/>
  <c r="CR54" i="12"/>
  <c r="CB54" i="12"/>
  <c r="DF53" i="12"/>
  <c r="CU53" i="12"/>
  <c r="DF52" i="12"/>
  <c r="CU52" i="12"/>
  <c r="DF51" i="12"/>
  <c r="CU51" i="12"/>
  <c r="DF50" i="12"/>
  <c r="CU50" i="12"/>
  <c r="CQ50" i="12"/>
  <c r="CA50" i="12"/>
  <c r="AR50" i="12"/>
  <c r="AQ50" i="12" s="1"/>
  <c r="DC49" i="12"/>
  <c r="CY49" i="12"/>
  <c r="CU49" i="12"/>
  <c r="CQ49" i="12"/>
  <c r="CA49" i="12"/>
  <c r="AR49" i="12"/>
  <c r="AQ49" i="12" s="1"/>
  <c r="DC48" i="12"/>
  <c r="CY48" i="12"/>
  <c r="CU48" i="12"/>
  <c r="CQ48" i="12"/>
  <c r="CA48" i="12"/>
  <c r="AR48" i="12"/>
  <c r="AQ48" i="12" s="1"/>
  <c r="DC47" i="12"/>
  <c r="CY47" i="12"/>
  <c r="CU47" i="12"/>
  <c r="CQ47" i="12"/>
  <c r="CA47" i="12"/>
  <c r="AR47" i="12"/>
  <c r="AQ47" i="12" s="1"/>
  <c r="DC46" i="12"/>
  <c r="CY46" i="12"/>
  <c r="CU46" i="12"/>
  <c r="CQ46" i="12"/>
  <c r="CA46" i="12"/>
  <c r="AR46" i="12"/>
  <c r="AQ46" i="12" s="1"/>
  <c r="DC45" i="12"/>
  <c r="CY45" i="12"/>
  <c r="CU45" i="12"/>
  <c r="CQ45" i="12"/>
  <c r="CA45" i="12"/>
  <c r="AR45" i="12"/>
  <c r="AQ45" i="12" s="1"/>
  <c r="DC44" i="12"/>
  <c r="CY44" i="12"/>
  <c r="CU44" i="12"/>
  <c r="CQ44" i="12"/>
  <c r="CA44" i="12"/>
  <c r="AR44" i="12"/>
  <c r="AQ44" i="12" s="1"/>
  <c r="DC43" i="12"/>
  <c r="CY43" i="12"/>
  <c r="CU43" i="12"/>
  <c r="CQ43" i="12"/>
  <c r="CA43" i="12"/>
  <c r="AR43" i="12"/>
  <c r="AQ43" i="12" s="1"/>
  <c r="DC42" i="12"/>
  <c r="CY42" i="12"/>
  <c r="CU42" i="12"/>
  <c r="CQ42" i="12"/>
  <c r="CA42" i="12"/>
  <c r="AR42" i="12"/>
  <c r="AQ42" i="12" s="1"/>
  <c r="DC41" i="12"/>
  <c r="CY41" i="12"/>
  <c r="CU41" i="12"/>
  <c r="CQ41" i="12"/>
  <c r="CA41" i="12"/>
  <c r="AR41" i="12"/>
  <c r="AQ41" i="12" s="1"/>
  <c r="DC40" i="12"/>
  <c r="CY40" i="12"/>
  <c r="CU40" i="12"/>
  <c r="CQ40" i="12"/>
  <c r="CA40" i="12"/>
  <c r="AR40" i="12"/>
  <c r="AQ40" i="12" s="1"/>
  <c r="DI39" i="12"/>
  <c r="DD39" i="12"/>
  <c r="CV39" i="12"/>
  <c r="CR39" i="12"/>
  <c r="CF39" i="12"/>
  <c r="CB39" i="12"/>
  <c r="AJ39" i="12"/>
  <c r="DI38" i="12"/>
  <c r="DD38" i="12"/>
  <c r="CV38" i="12"/>
  <c r="CR38" i="12"/>
  <c r="CF38" i="12"/>
  <c r="CB38" i="12"/>
  <c r="AJ38" i="12"/>
  <c r="DI37" i="12"/>
  <c r="DD37" i="12"/>
  <c r="CV37" i="12"/>
  <c r="CR37" i="12"/>
  <c r="CF37" i="12"/>
  <c r="CB37" i="12"/>
  <c r="AJ37" i="12"/>
  <c r="DI36" i="12"/>
  <c r="DD36" i="12"/>
  <c r="CV36" i="12"/>
  <c r="CR36" i="12"/>
  <c r="CF36" i="12"/>
  <c r="CB36" i="12"/>
  <c r="AJ36" i="12"/>
  <c r="DI35" i="12"/>
  <c r="DD35" i="12"/>
  <c r="CV35" i="12"/>
  <c r="CR35" i="12"/>
  <c r="CF35" i="12"/>
  <c r="CB35" i="12"/>
  <c r="AJ35" i="12"/>
  <c r="DI34" i="12"/>
  <c r="DD34" i="12"/>
  <c r="CV34" i="12"/>
  <c r="CR34" i="12"/>
  <c r="CF34" i="12"/>
  <c r="CB34" i="12"/>
  <c r="AJ34" i="12"/>
  <c r="DI33" i="12"/>
  <c r="DD33" i="12"/>
  <c r="CV33" i="12"/>
  <c r="CR33" i="12"/>
  <c r="CF33" i="12"/>
  <c r="CB33" i="12"/>
  <c r="AJ33" i="12"/>
  <c r="DI32" i="12"/>
  <c r="DD32" i="12"/>
  <c r="CV32" i="12"/>
  <c r="CR32" i="12"/>
  <c r="CF32" i="12"/>
  <c r="CB32" i="12"/>
  <c r="AJ32" i="12"/>
  <c r="DI31" i="12"/>
  <c r="DD31" i="12"/>
  <c r="CV31" i="12"/>
  <c r="CR31" i="12"/>
  <c r="CF31" i="12"/>
  <c r="CB31" i="12"/>
  <c r="AJ31" i="12"/>
  <c r="DI30" i="12"/>
  <c r="DD30" i="12"/>
  <c r="CV30" i="12"/>
  <c r="CR30" i="12"/>
  <c r="CF30" i="12"/>
  <c r="CB30" i="12"/>
  <c r="AJ30" i="12"/>
  <c r="DI64" i="12"/>
  <c r="CR64" i="12"/>
  <c r="AJ64" i="12"/>
  <c r="CV63" i="12"/>
  <c r="CF63" i="12"/>
  <c r="CB62" i="12"/>
  <c r="DD61" i="12"/>
  <c r="CV61" i="12"/>
  <c r="DJ60" i="12"/>
  <c r="CB60" i="12"/>
  <c r="AK60" i="12"/>
  <c r="DI59" i="12"/>
  <c r="CR59" i="12"/>
  <c r="CF59" i="12"/>
  <c r="AJ59" i="12"/>
  <c r="DE58" i="12"/>
  <c r="CW58" i="12"/>
  <c r="DF57" i="12"/>
  <c r="CX57" i="12"/>
  <c r="CL57" i="12"/>
  <c r="C39" i="11" s="1"/>
  <c r="CH57" i="12"/>
  <c r="C35" i="11" s="1"/>
  <c r="AH57" i="12"/>
  <c r="DF56" i="12"/>
  <c r="CV56" i="12"/>
  <c r="CL56" i="12"/>
  <c r="CH56" i="12"/>
  <c r="CD56" i="12"/>
  <c r="AJ56" i="12"/>
  <c r="DJ55" i="12"/>
  <c r="DD55" i="12"/>
  <c r="CX55" i="12"/>
  <c r="CF55" i="12"/>
  <c r="CB55" i="12"/>
  <c r="AH55" i="12"/>
  <c r="CV54" i="12"/>
  <c r="CQ54" i="12"/>
  <c r="CF54" i="12"/>
  <c r="CA54" i="12"/>
  <c r="DK53" i="12"/>
  <c r="DD53" i="12"/>
  <c r="CY53" i="12"/>
  <c r="CT53" i="12"/>
  <c r="CF53" i="12"/>
  <c r="CB53" i="12"/>
  <c r="AJ53" i="12"/>
  <c r="DK52" i="12"/>
  <c r="DD52" i="12"/>
  <c r="CY52" i="12"/>
  <c r="CT52" i="12"/>
  <c r="CF52" i="12"/>
  <c r="CB52" i="12"/>
  <c r="AJ52" i="12"/>
  <c r="DK51" i="12"/>
  <c r="DD51" i="12"/>
  <c r="CY51" i="12"/>
  <c r="CT51" i="12"/>
  <c r="CF51" i="12"/>
  <c r="CB51" i="12"/>
  <c r="AJ51" i="12"/>
  <c r="DK50" i="12"/>
  <c r="DD50" i="12"/>
  <c r="CY50" i="12"/>
  <c r="CT50" i="12"/>
  <c r="CL50" i="12"/>
  <c r="CH50" i="12"/>
  <c r="CD50" i="12"/>
  <c r="AH50" i="12"/>
  <c r="DK49" i="12"/>
  <c r="DF49" i="12"/>
  <c r="DB49" i="12"/>
  <c r="DA49" i="12" s="1"/>
  <c r="CX49" i="12"/>
  <c r="CT49" i="12"/>
  <c r="CL49" i="12"/>
  <c r="CH49" i="12"/>
  <c r="CD49" i="12"/>
  <c r="AH49" i="12"/>
  <c r="DK48" i="12"/>
  <c r="DF48" i="12"/>
  <c r="DB48" i="12"/>
  <c r="CX48" i="12"/>
  <c r="CT48" i="12"/>
  <c r="CL48" i="12"/>
  <c r="CH48" i="12"/>
  <c r="CD48" i="12"/>
  <c r="AH48" i="12"/>
  <c r="DK47" i="12"/>
  <c r="DF47" i="12"/>
  <c r="DB47" i="12"/>
  <c r="DA47" i="12" s="1"/>
  <c r="CX47" i="12"/>
  <c r="CT47" i="12"/>
  <c r="CL47" i="12"/>
  <c r="CH47" i="12"/>
  <c r="CD47" i="12"/>
  <c r="AH47" i="12"/>
  <c r="DK46" i="12"/>
  <c r="DF46" i="12"/>
  <c r="DB46" i="12"/>
  <c r="DA46" i="12" s="1"/>
  <c r="CX46" i="12"/>
  <c r="CT46" i="12"/>
  <c r="CL46" i="12"/>
  <c r="CH46" i="12"/>
  <c r="CD46" i="12"/>
  <c r="AH46" i="12"/>
  <c r="DK45" i="12"/>
  <c r="DF45" i="12"/>
  <c r="DB45" i="12"/>
  <c r="DA45" i="12" s="1"/>
  <c r="CX45" i="12"/>
  <c r="CT45" i="12"/>
  <c r="CL45" i="12"/>
  <c r="CH45" i="12"/>
  <c r="CD45" i="12"/>
  <c r="AH45" i="12"/>
  <c r="DK44" i="12"/>
  <c r="DF44" i="12"/>
  <c r="DB44" i="12"/>
  <c r="CX44" i="12"/>
  <c r="CT44" i="12"/>
  <c r="CL44" i="12"/>
  <c r="CH44" i="12"/>
  <c r="CD44" i="12"/>
  <c r="AH44" i="12"/>
  <c r="DK43" i="12"/>
  <c r="DF43" i="12"/>
  <c r="DB43" i="12"/>
  <c r="DA43" i="12" s="1"/>
  <c r="CX43" i="12"/>
  <c r="CT43" i="12"/>
  <c r="CL43" i="12"/>
  <c r="CH43" i="12"/>
  <c r="CD43" i="12"/>
  <c r="AH43" i="12"/>
  <c r="DK42" i="12"/>
  <c r="DF42" i="12"/>
  <c r="DB42" i="12"/>
  <c r="DA42" i="12" s="1"/>
  <c r="CX42" i="12"/>
  <c r="CT42" i="12"/>
  <c r="CL42" i="12"/>
  <c r="CH42" i="12"/>
  <c r="CD42" i="12"/>
  <c r="AH42" i="12"/>
  <c r="DK41" i="12"/>
  <c r="DF41" i="12"/>
  <c r="DB41" i="12"/>
  <c r="DA41" i="12" s="1"/>
  <c r="CX41" i="12"/>
  <c r="CT41" i="12"/>
  <c r="CL41" i="12"/>
  <c r="CH41" i="12"/>
  <c r="CD41" i="12"/>
  <c r="AH41" i="12"/>
  <c r="DK40" i="12"/>
  <c r="DF40" i="12"/>
  <c r="DB40" i="12"/>
  <c r="CX40" i="12"/>
  <c r="CT40" i="12"/>
  <c r="CL40" i="12"/>
  <c r="CH40" i="12"/>
  <c r="CD40" i="12"/>
  <c r="AH40" i="12"/>
  <c r="DC39" i="12"/>
  <c r="CY39" i="12"/>
  <c r="CU39" i="12"/>
  <c r="CQ39" i="12"/>
  <c r="CA39" i="12"/>
  <c r="AR39" i="12"/>
  <c r="AQ39" i="12" s="1"/>
  <c r="DC38" i="12"/>
  <c r="CY38" i="12"/>
  <c r="CU38" i="12"/>
  <c r="CQ38" i="12"/>
  <c r="CA38" i="12"/>
  <c r="AR38" i="12"/>
  <c r="AQ38" i="12" s="1"/>
  <c r="DC37" i="12"/>
  <c r="CY37" i="12"/>
  <c r="CU37" i="12"/>
  <c r="CQ37" i="12"/>
  <c r="CA37" i="12"/>
  <c r="AR37" i="12"/>
  <c r="AQ37" i="12" s="1"/>
  <c r="DC36" i="12"/>
  <c r="CY36" i="12"/>
  <c r="CU36" i="12"/>
  <c r="CQ36" i="12"/>
  <c r="CA36" i="12"/>
  <c r="AR36" i="12"/>
  <c r="AQ36" i="12" s="1"/>
  <c r="DC35" i="12"/>
  <c r="CY35" i="12"/>
  <c r="CU35" i="12"/>
  <c r="CQ35" i="12"/>
  <c r="CA35" i="12"/>
  <c r="AR35" i="12"/>
  <c r="AQ35" i="12" s="1"/>
  <c r="DC34" i="12"/>
  <c r="CY34" i="12"/>
  <c r="CU34" i="12"/>
  <c r="CQ34" i="12"/>
  <c r="CA34" i="12"/>
  <c r="AR34" i="12"/>
  <c r="AQ34" i="12" s="1"/>
  <c r="DC33" i="12"/>
  <c r="CY33" i="12"/>
  <c r="CU33" i="12"/>
  <c r="CQ33" i="12"/>
  <c r="CA33" i="12"/>
  <c r="AR33" i="12"/>
  <c r="AQ33" i="12" s="1"/>
  <c r="DC32" i="12"/>
  <c r="CY32" i="12"/>
  <c r="CU32" i="12"/>
  <c r="CQ32" i="12"/>
  <c r="CA32" i="12"/>
  <c r="AR32" i="12"/>
  <c r="AQ32" i="12" s="1"/>
  <c r="DC31" i="12"/>
  <c r="CY31" i="12"/>
  <c r="CU31" i="12"/>
  <c r="CQ31" i="12"/>
  <c r="CA31" i="12"/>
  <c r="AR31" i="12"/>
  <c r="AQ31" i="12" s="1"/>
  <c r="DC30" i="12"/>
  <c r="CY30" i="12"/>
  <c r="CU30" i="12"/>
  <c r="CQ30" i="12"/>
  <c r="CA30" i="12"/>
  <c r="AR30" i="12"/>
  <c r="AQ30" i="12" s="1"/>
  <c r="DK29" i="12"/>
  <c r="DF29" i="12"/>
  <c r="DB29" i="12"/>
  <c r="CX29" i="12"/>
  <c r="CT29" i="12"/>
  <c r="CL29" i="12"/>
  <c r="CH29" i="12"/>
  <c r="CD29" i="12"/>
  <c r="AH29" i="12"/>
  <c r="DK28" i="12"/>
  <c r="DF28" i="12"/>
  <c r="DB28" i="12"/>
  <c r="CX28" i="12"/>
  <c r="CT28" i="12"/>
  <c r="CL28" i="12"/>
  <c r="CH28" i="12"/>
  <c r="CD28" i="12"/>
  <c r="AH28" i="12"/>
  <c r="DK27" i="12"/>
  <c r="DF27" i="12"/>
  <c r="DB27" i="12"/>
  <c r="CX27" i="12"/>
  <c r="CT27" i="12"/>
  <c r="CL27" i="12"/>
  <c r="CH27" i="12"/>
  <c r="CD27" i="12"/>
  <c r="AH27" i="12"/>
  <c r="DC26" i="12"/>
  <c r="CY26" i="12"/>
  <c r="CU26" i="12"/>
  <c r="CQ26" i="12"/>
  <c r="CA26" i="12"/>
  <c r="AR26" i="12"/>
  <c r="AQ26" i="12" s="1"/>
  <c r="DC25" i="12"/>
  <c r="CY25" i="12"/>
  <c r="CU25" i="12"/>
  <c r="CQ25" i="12"/>
  <c r="CA25" i="12"/>
  <c r="AR25" i="12"/>
  <c r="AQ25" i="12" s="1"/>
  <c r="DC24" i="12"/>
  <c r="CY24" i="12"/>
  <c r="CU24" i="12"/>
  <c r="CQ24" i="12"/>
  <c r="CA24" i="12"/>
  <c r="AR24" i="12"/>
  <c r="AQ24" i="12" s="1"/>
  <c r="DC23" i="12"/>
  <c r="CY23" i="12"/>
  <c r="CU23" i="12"/>
  <c r="CQ23" i="12"/>
  <c r="CA23" i="12"/>
  <c r="AR23" i="12"/>
  <c r="AQ23" i="12" s="1"/>
  <c r="DC22" i="12"/>
  <c r="CY22" i="12"/>
  <c r="CU22" i="12"/>
  <c r="CQ22" i="12"/>
  <c r="CA22" i="12"/>
  <c r="AR22" i="12"/>
  <c r="AQ22" i="12" s="1"/>
  <c r="DC21" i="12"/>
  <c r="CY21" i="12"/>
  <c r="CU21" i="12"/>
  <c r="CQ21" i="12"/>
  <c r="CA21" i="12"/>
  <c r="AR21" i="12"/>
  <c r="AQ21" i="12" s="1"/>
  <c r="DC20" i="12"/>
  <c r="CY20" i="12"/>
  <c r="CU20" i="12"/>
  <c r="CQ20" i="12"/>
  <c r="CA20" i="12"/>
  <c r="AR20" i="12"/>
  <c r="AQ20" i="12" s="1"/>
  <c r="DC19" i="12"/>
  <c r="CY19" i="12"/>
  <c r="CU19" i="12"/>
  <c r="CQ19" i="12"/>
  <c r="CA19" i="12"/>
  <c r="DD64" i="12"/>
  <c r="DI63" i="12"/>
  <c r="CR63" i="12"/>
  <c r="AJ63" i="12"/>
  <c r="CV62" i="12"/>
  <c r="CF62" i="12"/>
  <c r="DJ61" i="12"/>
  <c r="CB61" i="12"/>
  <c r="AK61" i="12"/>
  <c r="DI60" i="12"/>
  <c r="CR60" i="12"/>
  <c r="CF60" i="12"/>
  <c r="AJ60" i="12"/>
  <c r="DE59" i="12"/>
  <c r="CW59" i="12"/>
  <c r="DD58" i="12"/>
  <c r="CV58" i="12"/>
  <c r="DE57" i="12"/>
  <c r="CW57" i="12"/>
  <c r="DK56" i="12"/>
  <c r="DE56" i="12"/>
  <c r="CT56" i="12"/>
  <c r="DI55" i="12"/>
  <c r="DB55" i="12"/>
  <c r="CW55" i="12"/>
  <c r="CR55" i="12"/>
  <c r="AK55" i="12"/>
  <c r="DE54" i="12"/>
  <c r="CU54" i="12"/>
  <c r="AR54" i="12"/>
  <c r="AQ54" i="12" s="1"/>
  <c r="AK54" i="12"/>
  <c r="DI53" i="12"/>
  <c r="DC53" i="12"/>
  <c r="CX53" i="12"/>
  <c r="CR53" i="12"/>
  <c r="CA53" i="12"/>
  <c r="DI52" i="12"/>
  <c r="DC52" i="12"/>
  <c r="CX52" i="12"/>
  <c r="CR52" i="12"/>
  <c r="CA52" i="12"/>
  <c r="DI51" i="12"/>
  <c r="DH51" i="12" s="1"/>
  <c r="DC51" i="12"/>
  <c r="CX51" i="12"/>
  <c r="CR51" i="12"/>
  <c r="CA51" i="12"/>
  <c r="DI50" i="12"/>
  <c r="DC50" i="12"/>
  <c r="CX50" i="12"/>
  <c r="AK50" i="12"/>
  <c r="DJ49" i="12"/>
  <c r="DE49" i="12"/>
  <c r="CW49" i="12"/>
  <c r="AK49" i="12"/>
  <c r="DJ48" i="12"/>
  <c r="DE48" i="12"/>
  <c r="CW48" i="12"/>
  <c r="AK48" i="12"/>
  <c r="DJ47" i="12"/>
  <c r="DE47" i="12"/>
  <c r="CW47" i="12"/>
  <c r="AK47" i="12"/>
  <c r="DJ46" i="12"/>
  <c r="DE46" i="12"/>
  <c r="CW46" i="12"/>
  <c r="AK46" i="12"/>
  <c r="DJ45" i="12"/>
  <c r="DE45" i="12"/>
  <c r="CW45" i="12"/>
  <c r="AK45" i="12"/>
  <c r="DJ44" i="12"/>
  <c r="DE44" i="12"/>
  <c r="CW44" i="12"/>
  <c r="AK44" i="12"/>
  <c r="DJ43" i="12"/>
  <c r="DE43" i="12"/>
  <c r="CW43" i="12"/>
  <c r="AK43" i="12"/>
  <c r="DJ42" i="12"/>
  <c r="DE42" i="12"/>
  <c r="CW42" i="12"/>
  <c r="AK42" i="12"/>
  <c r="DJ41" i="12"/>
  <c r="DE41" i="12"/>
  <c r="CW41" i="12"/>
  <c r="AK41" i="12"/>
  <c r="DJ40" i="12"/>
  <c r="DE40" i="12"/>
  <c r="CW40" i="12"/>
  <c r="AK40" i="12"/>
  <c r="DK39" i="12"/>
  <c r="DF39" i="12"/>
  <c r="DB39" i="12"/>
  <c r="CX39" i="12"/>
  <c r="CT39" i="12"/>
  <c r="CL39" i="12"/>
  <c r="CH39" i="12"/>
  <c r="CD39" i="12"/>
  <c r="AH39" i="12"/>
  <c r="DK38" i="12"/>
  <c r="DF38" i="12"/>
  <c r="DB38" i="12"/>
  <c r="CX38" i="12"/>
  <c r="CT38" i="12"/>
  <c r="CL38" i="12"/>
  <c r="CH38" i="12"/>
  <c r="CD38" i="12"/>
  <c r="AH38" i="12"/>
  <c r="DK37" i="12"/>
  <c r="DF37" i="12"/>
  <c r="DB37" i="12"/>
  <c r="CX37" i="12"/>
  <c r="CT37" i="12"/>
  <c r="CL37" i="12"/>
  <c r="CH37" i="12"/>
  <c r="CD37" i="12"/>
  <c r="AH37" i="12"/>
  <c r="DK36" i="12"/>
  <c r="DF36" i="12"/>
  <c r="DB36" i="12"/>
  <c r="CX36" i="12"/>
  <c r="CT36" i="12"/>
  <c r="CL36" i="12"/>
  <c r="CH36" i="12"/>
  <c r="CD36" i="12"/>
  <c r="AH36" i="12"/>
  <c r="DK35" i="12"/>
  <c r="DF35" i="12"/>
  <c r="DB35" i="12"/>
  <c r="CX35" i="12"/>
  <c r="CT35" i="12"/>
  <c r="CL35" i="12"/>
  <c r="CH35" i="12"/>
  <c r="CD35" i="12"/>
  <c r="AH35" i="12"/>
  <c r="DK34" i="12"/>
  <c r="DF34" i="12"/>
  <c r="DB34" i="12"/>
  <c r="CX34" i="12"/>
  <c r="CT34" i="12"/>
  <c r="CL34" i="12"/>
  <c r="CH34" i="12"/>
  <c r="CD34" i="12"/>
  <c r="AH34" i="12"/>
  <c r="DK33" i="12"/>
  <c r="DF33" i="12"/>
  <c r="DB33" i="12"/>
  <c r="CX33" i="12"/>
  <c r="CT33" i="12"/>
  <c r="CL33" i="12"/>
  <c r="CH33" i="12"/>
  <c r="CD33" i="12"/>
  <c r="AH33" i="12"/>
  <c r="DK32" i="12"/>
  <c r="DF32" i="12"/>
  <c r="DB32" i="12"/>
  <c r="CX32" i="12"/>
  <c r="CT32" i="12"/>
  <c r="CL32" i="12"/>
  <c r="CH32" i="12"/>
  <c r="CD32" i="12"/>
  <c r="AH32" i="12"/>
  <c r="DK31" i="12"/>
  <c r="DF31" i="12"/>
  <c r="DB31" i="12"/>
  <c r="CX31" i="12"/>
  <c r="CT31" i="12"/>
  <c r="CL31" i="12"/>
  <c r="CH31" i="12"/>
  <c r="CD31" i="12"/>
  <c r="AH31" i="12"/>
  <c r="DK30" i="12"/>
  <c r="DF30" i="12"/>
  <c r="DB30" i="12"/>
  <c r="CX30" i="12"/>
  <c r="CT30" i="12"/>
  <c r="CL30" i="12"/>
  <c r="CH30" i="12"/>
  <c r="CD30" i="12"/>
  <c r="AH30" i="12"/>
  <c r="DJ29" i="12"/>
  <c r="DE29" i="12"/>
  <c r="CW29" i="12"/>
  <c r="AK29" i="12"/>
  <c r="DJ28" i="12"/>
  <c r="DE28" i="12"/>
  <c r="CW28" i="12"/>
  <c r="AK28" i="12"/>
  <c r="DJ27" i="12"/>
  <c r="DE27" i="12"/>
  <c r="CW27" i="12"/>
  <c r="AK27" i="12"/>
  <c r="DK26" i="12"/>
  <c r="DF26" i="12"/>
  <c r="DB26" i="12"/>
  <c r="CX26" i="12"/>
  <c r="CT26" i="12"/>
  <c r="CL26" i="12"/>
  <c r="CH26" i="12"/>
  <c r="CD26" i="12"/>
  <c r="AH26" i="12"/>
  <c r="DK25" i="12"/>
  <c r="DF25" i="12"/>
  <c r="DB25" i="12"/>
  <c r="CX25" i="12"/>
  <c r="CT25" i="12"/>
  <c r="CL25" i="12"/>
  <c r="CH25" i="12"/>
  <c r="CD25" i="12"/>
  <c r="AH25" i="12"/>
  <c r="DK24" i="12"/>
  <c r="DF24" i="12"/>
  <c r="DB24" i="12"/>
  <c r="CX24" i="12"/>
  <c r="CT24" i="12"/>
  <c r="CL24" i="12"/>
  <c r="CH24" i="12"/>
  <c r="CD24" i="12"/>
  <c r="AH24" i="12"/>
  <c r="DK23" i="12"/>
  <c r="DF23" i="12"/>
  <c r="DB23" i="12"/>
  <c r="CX23" i="12"/>
  <c r="CT23" i="12"/>
  <c r="CL23" i="12"/>
  <c r="CH23" i="12"/>
  <c r="CD23" i="12"/>
  <c r="AH23" i="12"/>
  <c r="DK22" i="12"/>
  <c r="DF22" i="12"/>
  <c r="DB22" i="12"/>
  <c r="CX22" i="12"/>
  <c r="CT22" i="12"/>
  <c r="CL22" i="12"/>
  <c r="CH22" i="12"/>
  <c r="CD22" i="12"/>
  <c r="AH22" i="12"/>
  <c r="DK21" i="12"/>
  <c r="DF21" i="12"/>
  <c r="DB21" i="12"/>
  <c r="CX21" i="12"/>
  <c r="CT21" i="12"/>
  <c r="CL21" i="12"/>
  <c r="CH21" i="12"/>
  <c r="CD21" i="12"/>
  <c r="AH21" i="12"/>
  <c r="DK20" i="12"/>
  <c r="DF20" i="12"/>
  <c r="DB20" i="12"/>
  <c r="CX20" i="12"/>
  <c r="CT20" i="12"/>
  <c r="CL20" i="12"/>
  <c r="CH20" i="12"/>
  <c r="CD20" i="12"/>
  <c r="AH20" i="12"/>
  <c r="DK19" i="12"/>
  <c r="DF19" i="12"/>
  <c r="DB19" i="12"/>
  <c r="CX19" i="12"/>
  <c r="CB64" i="12"/>
  <c r="DD63" i="12"/>
  <c r="DI62" i="12"/>
  <c r="CR62" i="12"/>
  <c r="AK62" i="12"/>
  <c r="DI61" i="12"/>
  <c r="CR61" i="12"/>
  <c r="CF61" i="12"/>
  <c r="AJ61" i="12"/>
  <c r="DE60" i="12"/>
  <c r="CW60" i="12"/>
  <c r="DD59" i="12"/>
  <c r="CV59" i="12"/>
  <c r="DJ58" i="12"/>
  <c r="CB58" i="12"/>
  <c r="AK58" i="12"/>
  <c r="DK57" i="12"/>
  <c r="DB57" i="12"/>
  <c r="DA57" i="12" s="1"/>
  <c r="CZ57" i="12" s="1"/>
  <c r="CT57" i="12"/>
  <c r="AK57" i="12"/>
  <c r="DJ56" i="12"/>
  <c r="DD56" i="12"/>
  <c r="CX56" i="12"/>
  <c r="CF56" i="12"/>
  <c r="CB56" i="12"/>
  <c r="AH56" i="12"/>
  <c r="DF55" i="12"/>
  <c r="CV55" i="12"/>
  <c r="CL55" i="12"/>
  <c r="CH55" i="12"/>
  <c r="CD55" i="12"/>
  <c r="AJ55" i="12"/>
  <c r="DJ54" i="12"/>
  <c r="DD54" i="12"/>
  <c r="CY54" i="12"/>
  <c r="AJ54" i="12"/>
  <c r="DB53" i="12"/>
  <c r="CV53" i="12"/>
  <c r="CQ53" i="12"/>
  <c r="CP53" i="12" s="1"/>
  <c r="CL53" i="12"/>
  <c r="CH53" i="12"/>
  <c r="CD53" i="12"/>
  <c r="AR53" i="12"/>
  <c r="AQ53" i="12" s="1"/>
  <c r="AH53" i="12"/>
  <c r="DB52" i="12"/>
  <c r="CV52" i="12"/>
  <c r="CQ52" i="12"/>
  <c r="CP52" i="12" s="1"/>
  <c r="CL52" i="12"/>
  <c r="CH52" i="12"/>
  <c r="CD52" i="12"/>
  <c r="AR52" i="12"/>
  <c r="AQ52" i="12" s="1"/>
  <c r="AH52" i="12"/>
  <c r="DB51" i="12"/>
  <c r="CV51" i="12"/>
  <c r="CQ51" i="12"/>
  <c r="CL51" i="12"/>
  <c r="CH51" i="12"/>
  <c r="CD51" i="12"/>
  <c r="AR51" i="12"/>
  <c r="AQ51" i="12" s="1"/>
  <c r="AH51" i="12"/>
  <c r="DB50" i="12"/>
  <c r="DA50" i="12" s="1"/>
  <c r="CV50" i="12"/>
  <c r="CR50" i="12"/>
  <c r="CF50" i="12"/>
  <c r="CB50" i="12"/>
  <c r="AJ50" i="12"/>
  <c r="DI49" i="12"/>
  <c r="DD49" i="12"/>
  <c r="CV49" i="12"/>
  <c r="CR49" i="12"/>
  <c r="CF49" i="12"/>
  <c r="CB49" i="12"/>
  <c r="AJ49" i="12"/>
  <c r="DI48" i="12"/>
  <c r="DD48" i="12"/>
  <c r="CV48" i="12"/>
  <c r="CR48" i="12"/>
  <c r="CF48" i="12"/>
  <c r="CB48" i="12"/>
  <c r="AJ48" i="12"/>
  <c r="DI47" i="12"/>
  <c r="DD47" i="12"/>
  <c r="CV47" i="12"/>
  <c r="CR47" i="12"/>
  <c r="CF47" i="12"/>
  <c r="CB47" i="12"/>
  <c r="AJ47" i="12"/>
  <c r="DI46" i="12"/>
  <c r="DD46" i="12"/>
  <c r="CV46" i="12"/>
  <c r="CR46" i="12"/>
  <c r="CF46" i="12"/>
  <c r="CB46" i="12"/>
  <c r="AJ46" i="12"/>
  <c r="DI45" i="12"/>
  <c r="DD45" i="12"/>
  <c r="CV45" i="12"/>
  <c r="CR45" i="12"/>
  <c r="CF45" i="12"/>
  <c r="CB45" i="12"/>
  <c r="AJ45" i="12"/>
  <c r="DI44" i="12"/>
  <c r="DD44" i="12"/>
  <c r="CV44" i="12"/>
  <c r="CR44" i="12"/>
  <c r="CF44" i="12"/>
  <c r="CB44" i="12"/>
  <c r="AJ44" i="12"/>
  <c r="DI43" i="12"/>
  <c r="DD43" i="12"/>
  <c r="CV43" i="12"/>
  <c r="CR43" i="12"/>
  <c r="CF43" i="12"/>
  <c r="CB43" i="12"/>
  <c r="AJ43" i="12"/>
  <c r="DI42" i="12"/>
  <c r="DD42" i="12"/>
  <c r="CV42" i="12"/>
  <c r="CR42" i="12"/>
  <c r="CF42" i="12"/>
  <c r="CB42" i="12"/>
  <c r="AJ42" i="12"/>
  <c r="DI41" i="12"/>
  <c r="DD41" i="12"/>
  <c r="CV41" i="12"/>
  <c r="CR41" i="12"/>
  <c r="CF41" i="12"/>
  <c r="CB41" i="12"/>
  <c r="AJ41" i="12"/>
  <c r="DI40" i="12"/>
  <c r="DD40" i="12"/>
  <c r="CV40" i="12"/>
  <c r="CR40" i="12"/>
  <c r="CF40" i="12"/>
  <c r="CB40" i="12"/>
  <c r="AJ40" i="12"/>
  <c r="DJ39" i="12"/>
  <c r="DE39" i="12"/>
  <c r="CW39" i="12"/>
  <c r="AK39" i="12"/>
  <c r="DJ38" i="12"/>
  <c r="DE38" i="12"/>
  <c r="CW38" i="12"/>
  <c r="AK38" i="12"/>
  <c r="DJ37" i="12"/>
  <c r="DE37" i="12"/>
  <c r="CW37" i="12"/>
  <c r="AK37" i="12"/>
  <c r="DJ36" i="12"/>
  <c r="DE36" i="12"/>
  <c r="CW36" i="12"/>
  <c r="AK36" i="12"/>
  <c r="DJ35" i="12"/>
  <c r="DE35" i="12"/>
  <c r="CW35" i="12"/>
  <c r="AK35" i="12"/>
  <c r="DJ34" i="12"/>
  <c r="DE34" i="12"/>
  <c r="CW34" i="12"/>
  <c r="AK34" i="12"/>
  <c r="DJ33" i="12"/>
  <c r="DE33" i="12"/>
  <c r="CW33" i="12"/>
  <c r="AK33" i="12"/>
  <c r="DJ32" i="12"/>
  <c r="DE32" i="12"/>
  <c r="CW32" i="12"/>
  <c r="AK32" i="12"/>
  <c r="DJ31" i="12"/>
  <c r="DE31" i="12"/>
  <c r="CW31" i="12"/>
  <c r="AK31" i="12"/>
  <c r="DJ30" i="12"/>
  <c r="DE30" i="12"/>
  <c r="CW30" i="12"/>
  <c r="AK30" i="12"/>
  <c r="DI29" i="12"/>
  <c r="DD29" i="12"/>
  <c r="CV29" i="12"/>
  <c r="CR29" i="12"/>
  <c r="CF29" i="12"/>
  <c r="CB29" i="12"/>
  <c r="AJ29" i="12"/>
  <c r="DI28" i="12"/>
  <c r="DD28" i="12"/>
  <c r="CV28" i="12"/>
  <c r="CR28" i="12"/>
  <c r="CF28" i="12"/>
  <c r="CB28" i="12"/>
  <c r="AJ28" i="12"/>
  <c r="DI27" i="12"/>
  <c r="DD27" i="12"/>
  <c r="CV27" i="12"/>
  <c r="CR27" i="12"/>
  <c r="CF27" i="12"/>
  <c r="CB27" i="12"/>
  <c r="AJ27" i="12"/>
  <c r="DJ26" i="12"/>
  <c r="DE26" i="12"/>
  <c r="CW26" i="12"/>
  <c r="AK26" i="12"/>
  <c r="DJ25" i="12"/>
  <c r="DE25" i="12"/>
  <c r="CW25" i="12"/>
  <c r="AK25" i="12"/>
  <c r="DJ24" i="12"/>
  <c r="DE24" i="12"/>
  <c r="CW24" i="12"/>
  <c r="DC29" i="12"/>
  <c r="CA29" i="12"/>
  <c r="AR29" i="12"/>
  <c r="AQ29" i="12" s="1"/>
  <c r="DC28" i="12"/>
  <c r="CA28" i="12"/>
  <c r="AR28" i="12"/>
  <c r="AQ28" i="12" s="1"/>
  <c r="CQ27" i="12"/>
  <c r="DD26" i="12"/>
  <c r="CV25" i="12"/>
  <c r="CF25" i="12"/>
  <c r="CV24" i="12"/>
  <c r="CF24" i="12"/>
  <c r="AJ24" i="12"/>
  <c r="DJ23" i="12"/>
  <c r="CB23" i="12"/>
  <c r="AK23" i="12"/>
  <c r="DJ22" i="12"/>
  <c r="CB22" i="12"/>
  <c r="AK22" i="12"/>
  <c r="DJ21" i="12"/>
  <c r="CB21" i="12"/>
  <c r="AK21" i="12"/>
  <c r="DJ20" i="12"/>
  <c r="CB20" i="12"/>
  <c r="AK20" i="12"/>
  <c r="DJ19" i="12"/>
  <c r="CT19" i="12"/>
  <c r="AJ19" i="12"/>
  <c r="DI18" i="12"/>
  <c r="DD18" i="12"/>
  <c r="CV18" i="12"/>
  <c r="CR18" i="12"/>
  <c r="CF18" i="12"/>
  <c r="CB18" i="12"/>
  <c r="AJ18" i="12"/>
  <c r="DI17" i="12"/>
  <c r="DD17" i="12"/>
  <c r="CV17" i="12"/>
  <c r="CR17" i="12"/>
  <c r="CF17" i="12"/>
  <c r="CB17" i="12"/>
  <c r="AJ17" i="12"/>
  <c r="DI16" i="12"/>
  <c r="DD16" i="12"/>
  <c r="CV16" i="12"/>
  <c r="CR16" i="12"/>
  <c r="CF16" i="12"/>
  <c r="CB16" i="12"/>
  <c r="AJ16" i="12"/>
  <c r="DI15" i="12"/>
  <c r="DD15" i="12"/>
  <c r="CV15" i="12"/>
  <c r="CR15" i="12"/>
  <c r="CF15" i="12"/>
  <c r="CB15" i="12"/>
  <c r="AJ15" i="12"/>
  <c r="DJ14" i="12"/>
  <c r="DE14" i="12"/>
  <c r="CW14" i="12"/>
  <c r="AK14" i="12"/>
  <c r="DJ13" i="12"/>
  <c r="DE13" i="12"/>
  <c r="CW13" i="12"/>
  <c r="AK13" i="12"/>
  <c r="DJ12" i="12"/>
  <c r="DE12" i="12"/>
  <c r="CW12" i="12"/>
  <c r="AK11" i="12"/>
  <c r="DJ10" i="12"/>
  <c r="DE10" i="12"/>
  <c r="CW10" i="12"/>
  <c r="AK10" i="12"/>
  <c r="DJ9" i="12"/>
  <c r="DE9" i="12"/>
  <c r="CW9" i="12"/>
  <c r="AK8" i="12"/>
  <c r="DJ7" i="12"/>
  <c r="DJ5" i="12"/>
  <c r="DI9" i="12"/>
  <c r="DD9" i="12"/>
  <c r="CV9" i="12"/>
  <c r="CR9" i="12"/>
  <c r="CF9" i="12"/>
  <c r="CB9" i="12"/>
  <c r="DI5" i="12"/>
  <c r="DD5" i="12"/>
  <c r="CV5" i="12"/>
  <c r="CR5" i="12"/>
  <c r="CF5" i="12"/>
  <c r="CB5" i="12"/>
  <c r="CY29" i="12"/>
  <c r="CY28" i="12"/>
  <c r="DC27" i="12"/>
  <c r="CA27" i="12"/>
  <c r="AR27" i="12"/>
  <c r="AQ27" i="12" s="1"/>
  <c r="CB26" i="12"/>
  <c r="DI25" i="12"/>
  <c r="CR25" i="12"/>
  <c r="AJ25" i="12"/>
  <c r="DI24" i="12"/>
  <c r="CR24" i="12"/>
  <c r="DI23" i="12"/>
  <c r="DH23" i="12" s="1"/>
  <c r="CR23" i="12"/>
  <c r="CF23" i="12"/>
  <c r="AJ23" i="12"/>
  <c r="DI22" i="12"/>
  <c r="CR22" i="12"/>
  <c r="CF22" i="12"/>
  <c r="AJ22" i="12"/>
  <c r="DI21" i="12"/>
  <c r="CR21" i="12"/>
  <c r="CF21" i="12"/>
  <c r="AJ21" i="12"/>
  <c r="DI20" i="12"/>
  <c r="CR20" i="12"/>
  <c r="CF20" i="12"/>
  <c r="AJ20" i="12"/>
  <c r="DI19" i="12"/>
  <c r="DH19" i="12" s="1"/>
  <c r="CF19" i="12"/>
  <c r="CB19" i="12"/>
  <c r="AR19" i="12"/>
  <c r="AQ19" i="12" s="1"/>
  <c r="DC18" i="12"/>
  <c r="CY18" i="12"/>
  <c r="CU18" i="12"/>
  <c r="CQ18" i="12"/>
  <c r="CA18" i="12"/>
  <c r="AR18" i="12"/>
  <c r="AQ18" i="12" s="1"/>
  <c r="DC17" i="12"/>
  <c r="CY17" i="12"/>
  <c r="CU17" i="12"/>
  <c r="CQ17" i="12"/>
  <c r="CP17" i="12" s="1"/>
  <c r="CA17" i="12"/>
  <c r="AR17" i="12"/>
  <c r="AQ17" i="12" s="1"/>
  <c r="DC16" i="12"/>
  <c r="CY16" i="12"/>
  <c r="CU16" i="12"/>
  <c r="CQ16" i="12"/>
  <c r="CA16" i="12"/>
  <c r="AR16" i="12"/>
  <c r="AQ16" i="12" s="1"/>
  <c r="DC15" i="12"/>
  <c r="CY15" i="12"/>
  <c r="CU15" i="12"/>
  <c r="CQ15" i="12"/>
  <c r="CA15" i="12"/>
  <c r="AR15" i="12"/>
  <c r="AQ15" i="12" s="1"/>
  <c r="DI14" i="12"/>
  <c r="DD14" i="12"/>
  <c r="CV14" i="12"/>
  <c r="CR14" i="12"/>
  <c r="CF14" i="12"/>
  <c r="CB14" i="12"/>
  <c r="AJ14" i="12"/>
  <c r="DI13" i="12"/>
  <c r="DD13" i="12"/>
  <c r="CV13" i="12"/>
  <c r="CR13" i="12"/>
  <c r="CF13" i="12"/>
  <c r="CB13" i="12"/>
  <c r="AJ13" i="12"/>
  <c r="DI12" i="12"/>
  <c r="DD12" i="12"/>
  <c r="CV12" i="12"/>
  <c r="CR12" i="12"/>
  <c r="CF12" i="12"/>
  <c r="CB12" i="12"/>
  <c r="AJ12" i="12"/>
  <c r="DI11" i="12"/>
  <c r="DD11" i="12"/>
  <c r="CV11" i="12"/>
  <c r="CR11" i="12"/>
  <c r="CF11" i="12"/>
  <c r="CB11" i="12"/>
  <c r="AJ11" i="12"/>
  <c r="DI10" i="12"/>
  <c r="DD10" i="12"/>
  <c r="CV10" i="12"/>
  <c r="CR10" i="12"/>
  <c r="CF10" i="12"/>
  <c r="CB10" i="12"/>
  <c r="AJ10" i="12"/>
  <c r="DI8" i="12"/>
  <c r="DD8" i="12"/>
  <c r="CV8" i="12"/>
  <c r="CR8" i="12"/>
  <c r="CF8" i="12"/>
  <c r="CB8" i="12"/>
  <c r="AJ8" i="12"/>
  <c r="DI6" i="12"/>
  <c r="DD6" i="12"/>
  <c r="CV6" i="12"/>
  <c r="CR6" i="12"/>
  <c r="CF6" i="12"/>
  <c r="CB6" i="12"/>
  <c r="CU29" i="12"/>
  <c r="CU28" i="12"/>
  <c r="CY27" i="12"/>
  <c r="CV26" i="12"/>
  <c r="CF26" i="12"/>
  <c r="DD25" i="12"/>
  <c r="DD24" i="12"/>
  <c r="DE23" i="12"/>
  <c r="CW23" i="12"/>
  <c r="DE22" i="12"/>
  <c r="CW22" i="12"/>
  <c r="DE21" i="12"/>
  <c r="CW21" i="12"/>
  <c r="DE20" i="12"/>
  <c r="CW20" i="12"/>
  <c r="DE19" i="12"/>
  <c r="CW19" i="12"/>
  <c r="CR19" i="12"/>
  <c r="AH19" i="12"/>
  <c r="DK18" i="12"/>
  <c r="DF18" i="12"/>
  <c r="DB18" i="12"/>
  <c r="CX18" i="12"/>
  <c r="CT18" i="12"/>
  <c r="CL18" i="12"/>
  <c r="CH18" i="12"/>
  <c r="CD18" i="12"/>
  <c r="AH18" i="12"/>
  <c r="DK17" i="12"/>
  <c r="DF17" i="12"/>
  <c r="DB17" i="12"/>
  <c r="CX17" i="12"/>
  <c r="CT17" i="12"/>
  <c r="CL17" i="12"/>
  <c r="CH17" i="12"/>
  <c r="CD17" i="12"/>
  <c r="AH17" i="12"/>
  <c r="DK16" i="12"/>
  <c r="DF16" i="12"/>
  <c r="DB16" i="12"/>
  <c r="CX16" i="12"/>
  <c r="CT16" i="12"/>
  <c r="CL16" i="12"/>
  <c r="CH16" i="12"/>
  <c r="CD16" i="12"/>
  <c r="AH16" i="12"/>
  <c r="DK15" i="12"/>
  <c r="DF15" i="12"/>
  <c r="DB15" i="12"/>
  <c r="CX15" i="12"/>
  <c r="CT15" i="12"/>
  <c r="CL15" i="12"/>
  <c r="CH15" i="12"/>
  <c r="CD15" i="12"/>
  <c r="AH15" i="12"/>
  <c r="DC14" i="12"/>
  <c r="CY14" i="12"/>
  <c r="CU14" i="12"/>
  <c r="CQ14" i="12"/>
  <c r="CP14" i="12" s="1"/>
  <c r="CA14" i="12"/>
  <c r="AR14" i="12"/>
  <c r="AQ14" i="12" s="1"/>
  <c r="DC13" i="12"/>
  <c r="CY13" i="12"/>
  <c r="CU13" i="12"/>
  <c r="CQ13" i="12"/>
  <c r="CA13" i="12"/>
  <c r="AR13" i="12"/>
  <c r="AQ13" i="12" s="1"/>
  <c r="DC12" i="12"/>
  <c r="CY12" i="12"/>
  <c r="CU12" i="12"/>
  <c r="CQ12" i="12"/>
  <c r="CA12" i="12"/>
  <c r="AR12" i="12"/>
  <c r="AQ12" i="12" s="1"/>
  <c r="DC11" i="12"/>
  <c r="CY11" i="12"/>
  <c r="CU11" i="12"/>
  <c r="CQ11" i="12"/>
  <c r="CA11" i="12"/>
  <c r="AR11" i="12"/>
  <c r="AQ11" i="12" s="1"/>
  <c r="DC10" i="12"/>
  <c r="CY10" i="12"/>
  <c r="CU10" i="12"/>
  <c r="CQ10" i="12"/>
  <c r="CP10" i="12" s="1"/>
  <c r="CA10" i="12"/>
  <c r="AR10" i="12"/>
  <c r="AQ10" i="12" s="1"/>
  <c r="DC9" i="12"/>
  <c r="CY9" i="12"/>
  <c r="CU9" i="12"/>
  <c r="CQ9" i="12"/>
  <c r="CA9" i="12"/>
  <c r="AR9" i="12"/>
  <c r="AQ9" i="12" s="1"/>
  <c r="DC8" i="12"/>
  <c r="CY8" i="12"/>
  <c r="CU8" i="12"/>
  <c r="CQ8" i="12"/>
  <c r="CA8" i="12"/>
  <c r="AR8" i="12"/>
  <c r="AQ8" i="12" s="1"/>
  <c r="DC7" i="12"/>
  <c r="CY7" i="12"/>
  <c r="CU7" i="12"/>
  <c r="CQ7" i="12"/>
  <c r="CA7" i="12"/>
  <c r="AR7" i="12"/>
  <c r="AQ7" i="12" s="1"/>
  <c r="DC6" i="12"/>
  <c r="CY6" i="12"/>
  <c r="CU6" i="12"/>
  <c r="CQ6" i="12"/>
  <c r="CA6" i="12"/>
  <c r="AR6" i="12"/>
  <c r="AQ6" i="12" s="1"/>
  <c r="DC5" i="12"/>
  <c r="CU5" i="12"/>
  <c r="CQ5" i="12"/>
  <c r="CA5" i="12"/>
  <c r="AR5" i="12"/>
  <c r="AQ5" i="12" s="1"/>
  <c r="AK9" i="12"/>
  <c r="DJ8" i="12"/>
  <c r="DE8" i="12"/>
  <c r="CW8" i="12"/>
  <c r="DE7" i="12"/>
  <c r="CW7" i="12"/>
  <c r="AK6" i="12"/>
  <c r="DE5" i="12"/>
  <c r="CW5" i="12"/>
  <c r="AJ9" i="12"/>
  <c r="AJ7" i="12"/>
  <c r="AJ6" i="12"/>
  <c r="CQ29" i="12"/>
  <c r="CQ28" i="12"/>
  <c r="CU27" i="12"/>
  <c r="DI26" i="12"/>
  <c r="CR26" i="12"/>
  <c r="AJ26" i="12"/>
  <c r="CB25" i="12"/>
  <c r="CB24" i="12"/>
  <c r="AK24" i="12"/>
  <c r="DD23" i="12"/>
  <c r="CV23" i="12"/>
  <c r="DD22" i="12"/>
  <c r="CV22" i="12"/>
  <c r="DD21" i="12"/>
  <c r="CV21" i="12"/>
  <c r="DD20" i="12"/>
  <c r="CV20" i="12"/>
  <c r="DD19" i="12"/>
  <c r="CV19" i="12"/>
  <c r="CL19" i="12"/>
  <c r="CH19" i="12"/>
  <c r="CD19" i="12"/>
  <c r="AK19" i="12"/>
  <c r="DJ18" i="12"/>
  <c r="DE18" i="12"/>
  <c r="CW18" i="12"/>
  <c r="AK18" i="12"/>
  <c r="DJ17" i="12"/>
  <c r="DE17" i="12"/>
  <c r="CW17" i="12"/>
  <c r="AK17" i="12"/>
  <c r="DJ16" i="12"/>
  <c r="DE16" i="12"/>
  <c r="CW16" i="12"/>
  <c r="AK16" i="12"/>
  <c r="DJ15" i="12"/>
  <c r="DE15" i="12"/>
  <c r="CW15" i="12"/>
  <c r="AK15" i="12"/>
  <c r="DK14" i="12"/>
  <c r="DF14" i="12"/>
  <c r="DB14" i="12"/>
  <c r="CX14" i="12"/>
  <c r="CT14" i="12"/>
  <c r="CL14" i="12"/>
  <c r="CH14" i="12"/>
  <c r="CD14" i="12"/>
  <c r="AH14" i="12"/>
  <c r="DK13" i="12"/>
  <c r="DF13" i="12"/>
  <c r="DB13" i="12"/>
  <c r="CX13" i="12"/>
  <c r="CT13" i="12"/>
  <c r="CL13" i="12"/>
  <c r="CH13" i="12"/>
  <c r="CD13" i="12"/>
  <c r="AH13" i="12"/>
  <c r="DK12" i="12"/>
  <c r="DF12" i="12"/>
  <c r="DB12" i="12"/>
  <c r="CX12" i="12"/>
  <c r="CT12" i="12"/>
  <c r="CL12" i="12"/>
  <c r="CH12" i="12"/>
  <c r="CD12" i="12"/>
  <c r="AH12" i="12"/>
  <c r="DK11" i="12"/>
  <c r="DF11" i="12"/>
  <c r="DB11" i="12"/>
  <c r="CX11" i="12"/>
  <c r="CT11" i="12"/>
  <c r="CL11" i="12"/>
  <c r="CH11" i="12"/>
  <c r="CD11" i="12"/>
  <c r="AH11" i="12"/>
  <c r="DK10" i="12"/>
  <c r="DF10" i="12"/>
  <c r="DB10" i="12"/>
  <c r="CX10" i="12"/>
  <c r="CT10" i="12"/>
  <c r="CL10" i="12"/>
  <c r="CH10" i="12"/>
  <c r="CD10" i="12"/>
  <c r="AH10" i="12"/>
  <c r="DK9" i="12"/>
  <c r="DF9" i="12"/>
  <c r="DB9" i="12"/>
  <c r="CX9" i="12"/>
  <c r="CT9" i="12"/>
  <c r="CL9" i="12"/>
  <c r="CH9" i="12"/>
  <c r="CD9" i="12"/>
  <c r="AH9" i="12"/>
  <c r="DK8" i="12"/>
  <c r="DF8" i="12"/>
  <c r="DB8" i="12"/>
  <c r="CX8" i="12"/>
  <c r="CT8" i="12"/>
  <c r="CL8" i="12"/>
  <c r="CH8" i="12"/>
  <c r="CD8" i="12"/>
  <c r="AH8" i="12"/>
  <c r="DK7" i="12"/>
  <c r="DF7" i="12"/>
  <c r="DB7" i="12"/>
  <c r="CX7" i="12"/>
  <c r="CT7" i="12"/>
  <c r="CL7" i="12"/>
  <c r="CH7" i="12"/>
  <c r="CD7" i="12"/>
  <c r="AH7" i="12"/>
  <c r="DK6" i="12"/>
  <c r="DF6" i="12"/>
  <c r="DB6" i="12"/>
  <c r="CX6" i="12"/>
  <c r="CT6" i="12"/>
  <c r="CL6" i="12"/>
  <c r="CH6" i="12"/>
  <c r="CD6" i="12"/>
  <c r="AH6" i="12"/>
  <c r="DK5" i="12"/>
  <c r="DF5" i="12"/>
  <c r="DB5" i="12"/>
  <c r="CX5" i="12"/>
  <c r="CT5" i="12"/>
  <c r="CL5" i="12"/>
  <c r="CH5" i="12"/>
  <c r="CD5" i="12"/>
  <c r="AH5" i="12"/>
  <c r="AK12" i="12"/>
  <c r="DJ11" i="12"/>
  <c r="DE11" i="12"/>
  <c r="CW11" i="12"/>
  <c r="AK7" i="12"/>
  <c r="DJ6" i="12"/>
  <c r="DE6" i="12"/>
  <c r="CW6" i="12"/>
  <c r="AK5" i="12"/>
  <c r="DI7" i="12"/>
  <c r="DD7" i="12"/>
  <c r="CV7" i="12"/>
  <c r="CR7" i="12"/>
  <c r="CF7" i="12"/>
  <c r="CB7" i="12"/>
  <c r="AJ5" i="12"/>
  <c r="AV244" i="12"/>
  <c r="AV247" i="12" s="1"/>
  <c r="EB244" i="12"/>
  <c r="R89" i="12"/>
  <c r="R244" i="12" s="1"/>
  <c r="N75" i="12"/>
  <c r="N89" i="12"/>
  <c r="BZ205" i="12"/>
  <c r="AG205" i="12"/>
  <c r="BZ204" i="12"/>
  <c r="AG204" i="12"/>
  <c r="BZ203" i="12"/>
  <c r="AG203" i="12"/>
  <c r="BZ202" i="12"/>
  <c r="AG202" i="12"/>
  <c r="BZ201" i="12"/>
  <c r="AG201" i="12"/>
  <c r="BZ200" i="12"/>
  <c r="AG200" i="12"/>
  <c r="BZ199" i="12"/>
  <c r="AG199" i="12"/>
  <c r="BZ198" i="12"/>
  <c r="BZ208" i="12"/>
  <c r="AG208" i="12"/>
  <c r="AE208" i="12" s="1"/>
  <c r="BZ206" i="12"/>
  <c r="AG206" i="12"/>
  <c r="BZ207" i="12"/>
  <c r="AG207" i="12"/>
  <c r="AE207" i="12" s="1"/>
  <c r="BZ195" i="12"/>
  <c r="AG195" i="12"/>
  <c r="AG198" i="12"/>
  <c r="AE198" i="12" s="1"/>
  <c r="BZ194" i="12"/>
  <c r="AG194" i="12"/>
  <c r="BZ197" i="12"/>
  <c r="AG197" i="12"/>
  <c r="AE197" i="12" s="1"/>
  <c r="BZ193" i="12"/>
  <c r="BZ196" i="12"/>
  <c r="AG196" i="12"/>
  <c r="AE196" i="12" s="1"/>
  <c r="BZ192" i="12"/>
  <c r="AG192" i="12"/>
  <c r="AE192" i="12" s="1"/>
  <c r="AG191" i="12"/>
  <c r="BZ186" i="12"/>
  <c r="AG186" i="12"/>
  <c r="BZ190" i="12"/>
  <c r="BZ185" i="12"/>
  <c r="AG185" i="12"/>
  <c r="BZ184" i="12"/>
  <c r="AG184" i="12"/>
  <c r="AE184" i="12" s="1"/>
  <c r="BZ183" i="12"/>
  <c r="AG183" i="12"/>
  <c r="BZ182" i="12"/>
  <c r="AG182" i="12"/>
  <c r="AE182" i="12" s="1"/>
  <c r="AG193" i="12"/>
  <c r="AE193" i="12" s="1"/>
  <c r="BZ191" i="12"/>
  <c r="AG190" i="12"/>
  <c r="BZ189" i="12"/>
  <c r="AG189" i="12"/>
  <c r="AE189" i="12" s="1"/>
  <c r="BZ188" i="12"/>
  <c r="AG188" i="12"/>
  <c r="AE188" i="12" s="1"/>
  <c r="BZ187" i="12"/>
  <c r="AG187" i="12"/>
  <c r="AG176" i="12"/>
  <c r="AE176" i="12" s="1"/>
  <c r="AG175" i="12"/>
  <c r="AG173" i="12"/>
  <c r="AE173" i="12" s="1"/>
  <c r="BZ176" i="12"/>
  <c r="BZ175" i="12"/>
  <c r="BZ173" i="12"/>
  <c r="AG174" i="12"/>
  <c r="AE174" i="12" s="1"/>
  <c r="BZ174" i="12"/>
  <c r="BZ136" i="12"/>
  <c r="AG136" i="12"/>
  <c r="AE136" i="12" s="1"/>
  <c r="BZ129" i="12"/>
  <c r="BZ128" i="12"/>
  <c r="BZ127" i="12"/>
  <c r="BZ124" i="12"/>
  <c r="BZ122" i="12"/>
  <c r="BZ114" i="12"/>
  <c r="AG114" i="12"/>
  <c r="AE114" i="12" s="1"/>
  <c r="BZ95" i="12"/>
  <c r="AG95" i="12"/>
  <c r="AE95" i="12" s="1"/>
  <c r="BZ94" i="12"/>
  <c r="AG94" i="12"/>
  <c r="BZ93" i="12"/>
  <c r="AG93" i="12"/>
  <c r="AE93" i="12" s="1"/>
  <c r="BZ92" i="12"/>
  <c r="AG92" i="12"/>
  <c r="AE92" i="12" s="1"/>
  <c r="AG126" i="12"/>
  <c r="AE126" i="12" s="1"/>
  <c r="AG125" i="12"/>
  <c r="AE125" i="12" s="1"/>
  <c r="AG123" i="12"/>
  <c r="AG121" i="12"/>
  <c r="AE121" i="12" s="1"/>
  <c r="BZ120" i="12"/>
  <c r="AG120" i="12"/>
  <c r="AE120" i="12" s="1"/>
  <c r="BZ119" i="12"/>
  <c r="AG119" i="12"/>
  <c r="AE119" i="12" s="1"/>
  <c r="BZ118" i="12"/>
  <c r="AG118" i="12"/>
  <c r="AE118" i="12" s="1"/>
  <c r="BZ115" i="12"/>
  <c r="AG115" i="12"/>
  <c r="BZ102" i="12"/>
  <c r="AG102" i="12"/>
  <c r="AE102" i="12" s="1"/>
  <c r="BZ101" i="12"/>
  <c r="AG101" i="12"/>
  <c r="BZ90" i="12"/>
  <c r="AG90" i="12"/>
  <c r="AE90" i="12" s="1"/>
  <c r="BZ87" i="12"/>
  <c r="AG87" i="12"/>
  <c r="AG129" i="12"/>
  <c r="AG128" i="12"/>
  <c r="AE128" i="12" s="1"/>
  <c r="AG127" i="12"/>
  <c r="BZ123" i="12"/>
  <c r="BZ121" i="12"/>
  <c r="BZ117" i="12"/>
  <c r="AG117" i="12"/>
  <c r="BZ116" i="12"/>
  <c r="AG116" i="12"/>
  <c r="BZ103" i="12"/>
  <c r="AG103" i="12"/>
  <c r="BZ100" i="12"/>
  <c r="AG100" i="12"/>
  <c r="AE100" i="12" s="1"/>
  <c r="BZ99" i="12"/>
  <c r="AG99" i="12"/>
  <c r="BZ98" i="12"/>
  <c r="AG98" i="12"/>
  <c r="AE98" i="12" s="1"/>
  <c r="BZ89" i="12"/>
  <c r="AG89" i="12"/>
  <c r="BZ88" i="12"/>
  <c r="BZ126" i="12"/>
  <c r="BZ125" i="12"/>
  <c r="AG124" i="12"/>
  <c r="AG122" i="12"/>
  <c r="BZ113" i="12"/>
  <c r="AG113" i="12"/>
  <c r="AE113" i="12" s="1"/>
  <c r="BZ112" i="12"/>
  <c r="AG112" i="12"/>
  <c r="AE112" i="12" s="1"/>
  <c r="BZ111" i="12"/>
  <c r="AG111" i="12"/>
  <c r="AE111" i="12" s="1"/>
  <c r="BZ110" i="12"/>
  <c r="AG110" i="12"/>
  <c r="BZ109" i="12"/>
  <c r="AG109" i="12"/>
  <c r="AE109" i="12" s="1"/>
  <c r="BZ108" i="12"/>
  <c r="AG108" i="12"/>
  <c r="AE108" i="12" s="1"/>
  <c r="BZ107" i="12"/>
  <c r="AG107" i="12"/>
  <c r="AE107" i="12" s="1"/>
  <c r="BZ106" i="12"/>
  <c r="AG106" i="12"/>
  <c r="AE106" i="12" s="1"/>
  <c r="BZ105" i="12"/>
  <c r="AG105" i="12"/>
  <c r="AE105" i="12" s="1"/>
  <c r="BZ104" i="12"/>
  <c r="AG104" i="12"/>
  <c r="BZ97" i="12"/>
  <c r="AG97" i="12"/>
  <c r="AE97" i="12" s="1"/>
  <c r="BZ96" i="12"/>
  <c r="AG96" i="12"/>
  <c r="BZ78" i="12"/>
  <c r="AG78" i="12"/>
  <c r="AE78" i="12" s="1"/>
  <c r="BZ77" i="12"/>
  <c r="AG77" i="12"/>
  <c r="BZ76" i="12"/>
  <c r="AG76" i="12"/>
  <c r="AE76" i="12" s="1"/>
  <c r="BZ75" i="12"/>
  <c r="AG75" i="12"/>
  <c r="BZ71" i="12"/>
  <c r="AG71" i="12"/>
  <c r="AE71" i="12" s="1"/>
  <c r="BZ65" i="12"/>
  <c r="AG65" i="12"/>
  <c r="AG88" i="12"/>
  <c r="BZ72" i="12"/>
  <c r="AG72" i="12"/>
  <c r="AE72" i="12" s="1"/>
  <c r="BZ70" i="12"/>
  <c r="AG70" i="12"/>
  <c r="BZ91" i="12"/>
  <c r="AG91" i="12"/>
  <c r="BZ73" i="12"/>
  <c r="AG73" i="12"/>
  <c r="BZ69" i="12"/>
  <c r="AG69" i="12"/>
  <c r="BZ86" i="12"/>
  <c r="AG86" i="12"/>
  <c r="BZ85" i="12"/>
  <c r="AG85" i="12"/>
  <c r="BZ84" i="12"/>
  <c r="AG84" i="12"/>
  <c r="BZ83" i="12"/>
  <c r="AG83" i="12"/>
  <c r="AE83" i="12" s="1"/>
  <c r="BZ82" i="12"/>
  <c r="AG82" i="12"/>
  <c r="BZ81" i="12"/>
  <c r="AG81" i="12"/>
  <c r="BZ80" i="12"/>
  <c r="AG80" i="12"/>
  <c r="BZ79" i="12"/>
  <c r="AG79" i="12"/>
  <c r="AE79" i="12" s="1"/>
  <c r="BZ74" i="12"/>
  <c r="AG74" i="12"/>
  <c r="BZ68" i="12"/>
  <c r="AG68" i="12"/>
  <c r="AE68" i="12" s="1"/>
  <c r="BZ67" i="12"/>
  <c r="AG67" i="12"/>
  <c r="BZ66" i="12"/>
  <c r="AG66" i="12"/>
  <c r="AE66" i="12" s="1"/>
  <c r="BZ227" i="12"/>
  <c r="AG227" i="12"/>
  <c r="BZ179" i="12"/>
  <c r="AG179" i="12"/>
  <c r="BZ178" i="12"/>
  <c r="BZ180" i="12"/>
  <c r="AG180" i="12"/>
  <c r="AE180" i="12" s="1"/>
  <c r="BZ177" i="12"/>
  <c r="AG177" i="12"/>
  <c r="AG178" i="12"/>
  <c r="BZ181" i="12"/>
  <c r="AG181" i="12"/>
  <c r="BZ64" i="12"/>
  <c r="AG64" i="12"/>
  <c r="AG56" i="12"/>
  <c r="BZ56" i="12"/>
  <c r="AG54" i="12"/>
  <c r="AE54" i="12" s="1"/>
  <c r="AG57" i="12"/>
  <c r="AE57" i="12" s="1"/>
  <c r="AG55" i="12"/>
  <c r="AE55" i="12" s="1"/>
  <c r="BZ54" i="12"/>
  <c r="BZ28" i="12"/>
  <c r="AG28" i="12"/>
  <c r="BZ27" i="12"/>
  <c r="AG27" i="12"/>
  <c r="BZ57" i="12"/>
  <c r="C43" i="11" s="1"/>
  <c r="BZ55" i="12"/>
  <c r="BZ26" i="12"/>
  <c r="AG26" i="12"/>
  <c r="DP244" i="12"/>
  <c r="AN244" i="12"/>
  <c r="AN247" i="12" s="1"/>
  <c r="H244" i="12"/>
  <c r="P244" i="12"/>
  <c r="DA195" i="12" l="1"/>
  <c r="CP180" i="12"/>
  <c r="AE64" i="12"/>
  <c r="AE178" i="12"/>
  <c r="AE227" i="12"/>
  <c r="AE67" i="12"/>
  <c r="AD67" i="12" s="1"/>
  <c r="AE74" i="12"/>
  <c r="AE80" i="12"/>
  <c r="AE82" i="12"/>
  <c r="AE84" i="12"/>
  <c r="AD84" i="12" s="1"/>
  <c r="AE86" i="12"/>
  <c r="AE73" i="12"/>
  <c r="AE88" i="12"/>
  <c r="AE116" i="12"/>
  <c r="AD116" i="12" s="1"/>
  <c r="AE129" i="12"/>
  <c r="AE190" i="12"/>
  <c r="AE186" i="12"/>
  <c r="AE200" i="12"/>
  <c r="AD200" i="12" s="1"/>
  <c r="AE202" i="12"/>
  <c r="AE204" i="12"/>
  <c r="DA59" i="12"/>
  <c r="DA63" i="12"/>
  <c r="DA71" i="12"/>
  <c r="CZ71" i="12" s="1"/>
  <c r="DA68" i="12"/>
  <c r="CZ68" i="12" s="1"/>
  <c r="DA127" i="12"/>
  <c r="DA131" i="12"/>
  <c r="DA189" i="12"/>
  <c r="CP189" i="12"/>
  <c r="CP212" i="12"/>
  <c r="DH229" i="12"/>
  <c r="AE177" i="12"/>
  <c r="AE65" i="12"/>
  <c r="AD65" i="12" s="1"/>
  <c r="AE75" i="12"/>
  <c r="AE77" i="12"/>
  <c r="AE104" i="12"/>
  <c r="AE110" i="12"/>
  <c r="AE122" i="12"/>
  <c r="AE87" i="12"/>
  <c r="AD87" i="12" s="1"/>
  <c r="AE101" i="12"/>
  <c r="AD101" i="12" s="1"/>
  <c r="AE94" i="12"/>
  <c r="AE183" i="12"/>
  <c r="AE185" i="12"/>
  <c r="AD185" i="12" s="1"/>
  <c r="AE195" i="12"/>
  <c r="AE206" i="12"/>
  <c r="DA78" i="12"/>
  <c r="CP79" i="12"/>
  <c r="CP83" i="12"/>
  <c r="DA105" i="12"/>
  <c r="DA109" i="12"/>
  <c r="DA113" i="12"/>
  <c r="DA191" i="12"/>
  <c r="CZ191" i="12" s="1"/>
  <c r="CP201" i="12"/>
  <c r="DH220" i="12"/>
  <c r="AE179" i="12"/>
  <c r="AE81" i="12"/>
  <c r="AE85" i="12"/>
  <c r="AE69" i="12"/>
  <c r="AE91" i="12"/>
  <c r="AE124" i="12"/>
  <c r="AE89" i="12"/>
  <c r="AE99" i="12"/>
  <c r="AE103" i="12"/>
  <c r="AE117" i="12"/>
  <c r="AD117" i="12" s="1"/>
  <c r="AE127" i="12"/>
  <c r="AE123" i="12"/>
  <c r="AE187" i="12"/>
  <c r="AE191" i="12"/>
  <c r="AE194" i="12"/>
  <c r="AD194" i="12" s="1"/>
  <c r="AE199" i="12"/>
  <c r="AE201" i="12"/>
  <c r="AE203" i="12"/>
  <c r="AE205" i="12"/>
  <c r="DA61" i="12"/>
  <c r="DA65" i="12"/>
  <c r="DA66" i="12"/>
  <c r="DA125" i="12"/>
  <c r="CZ125" i="12" s="1"/>
  <c r="DA129" i="12"/>
  <c r="DH155" i="12"/>
  <c r="CP207" i="12"/>
  <c r="CP227" i="12"/>
  <c r="CZ56" i="12"/>
  <c r="CZ58" i="12"/>
  <c r="CZ62" i="12"/>
  <c r="CZ67" i="12"/>
  <c r="CZ107" i="12"/>
  <c r="CZ111" i="12"/>
  <c r="CZ99" i="12"/>
  <c r="CZ126" i="12"/>
  <c r="CZ130" i="12"/>
  <c r="CZ159" i="12"/>
  <c r="CZ163" i="12"/>
  <c r="CZ167" i="12"/>
  <c r="CZ171" i="12"/>
  <c r="CZ198" i="12"/>
  <c r="CZ199" i="12"/>
  <c r="CZ200" i="12"/>
  <c r="CZ201" i="12"/>
  <c r="CZ222" i="12"/>
  <c r="CZ43" i="12"/>
  <c r="CZ47" i="12"/>
  <c r="AE28" i="12"/>
  <c r="CP28" i="12"/>
  <c r="CZ50" i="12"/>
  <c r="DA40" i="12"/>
  <c r="CZ40" i="12" s="1"/>
  <c r="DA44" i="12"/>
  <c r="CZ44" i="12" s="1"/>
  <c r="DA48" i="12"/>
  <c r="CZ48" i="12" s="1"/>
  <c r="CZ59" i="12"/>
  <c r="CZ63" i="12"/>
  <c r="CZ77" i="12"/>
  <c r="CZ104" i="12"/>
  <c r="CZ108" i="12"/>
  <c r="CZ112" i="12"/>
  <c r="CZ100" i="12"/>
  <c r="CZ127" i="12"/>
  <c r="CZ131" i="12"/>
  <c r="CZ160" i="12"/>
  <c r="CZ164" i="12"/>
  <c r="CZ168" i="12"/>
  <c r="CZ180" i="12"/>
  <c r="CZ189" i="12"/>
  <c r="CZ41" i="12"/>
  <c r="CZ45" i="12"/>
  <c r="CZ49" i="12"/>
  <c r="CZ60" i="12"/>
  <c r="CZ64" i="12"/>
  <c r="CZ78" i="12"/>
  <c r="CZ105" i="12"/>
  <c r="CZ109" i="12"/>
  <c r="CZ113" i="12"/>
  <c r="CZ103" i="12"/>
  <c r="CZ128" i="12"/>
  <c r="CZ132" i="12"/>
  <c r="CZ161" i="12"/>
  <c r="CZ165" i="12"/>
  <c r="CZ169" i="12"/>
  <c r="CZ195" i="12"/>
  <c r="CZ220" i="12"/>
  <c r="CZ224" i="12"/>
  <c r="CZ42" i="12"/>
  <c r="CZ46" i="12"/>
  <c r="CZ61" i="12"/>
  <c r="CZ65" i="12"/>
  <c r="CZ75" i="12"/>
  <c r="CZ66" i="12"/>
  <c r="CZ73" i="12"/>
  <c r="CZ106" i="12"/>
  <c r="CZ110" i="12"/>
  <c r="CZ98" i="12"/>
  <c r="CZ129" i="12"/>
  <c r="CZ158" i="12"/>
  <c r="CZ162" i="12"/>
  <c r="CZ166" i="12"/>
  <c r="CZ170" i="12"/>
  <c r="DA188" i="12"/>
  <c r="CZ188" i="12" s="1"/>
  <c r="DA52" i="12"/>
  <c r="CZ52" i="12" s="1"/>
  <c r="AE240" i="12"/>
  <c r="AD240" i="12" s="1"/>
  <c r="AE241" i="12"/>
  <c r="AE25" i="12"/>
  <c r="AD25" i="12" s="1"/>
  <c r="AE243" i="12"/>
  <c r="DA51" i="12"/>
  <c r="CZ51" i="12" s="1"/>
  <c r="DA53" i="12"/>
  <c r="CZ53" i="12" s="1"/>
  <c r="DA223" i="12"/>
  <c r="CZ223" i="12" s="1"/>
  <c r="DH239" i="12"/>
  <c r="AE51" i="12"/>
  <c r="AE53" i="12"/>
  <c r="AE219" i="12"/>
  <c r="AE221" i="12"/>
  <c r="AE223" i="12"/>
  <c r="AE225" i="12"/>
  <c r="AE230" i="12"/>
  <c r="AE228" i="12"/>
  <c r="AE232" i="12"/>
  <c r="AD232" i="12" s="1"/>
  <c r="AE236" i="12"/>
  <c r="AE238" i="12"/>
  <c r="AE15" i="12"/>
  <c r="AE17" i="12"/>
  <c r="AE19" i="12"/>
  <c r="AE22" i="12"/>
  <c r="AD22" i="12" s="1"/>
  <c r="AE131" i="12"/>
  <c r="AE144" i="12"/>
  <c r="AE153" i="12"/>
  <c r="AE143" i="12"/>
  <c r="AD143" i="12" s="1"/>
  <c r="AE150" i="12"/>
  <c r="AE134" i="12"/>
  <c r="AE137" i="12"/>
  <c r="AE139" i="12"/>
  <c r="AE146" i="12"/>
  <c r="AE152" i="12"/>
  <c r="AE96" i="12"/>
  <c r="AD96" i="12" s="1"/>
  <c r="AE26" i="12"/>
  <c r="AE181" i="12"/>
  <c r="AD181" i="12" s="1"/>
  <c r="AE24" i="12"/>
  <c r="CP184" i="12"/>
  <c r="AE30" i="12"/>
  <c r="AE32" i="12"/>
  <c r="AE34" i="12"/>
  <c r="AE36" i="12"/>
  <c r="AE38" i="12"/>
  <c r="AE29" i="12"/>
  <c r="AE47" i="12"/>
  <c r="AE49" i="12"/>
  <c r="AE58" i="12"/>
  <c r="AE61" i="12"/>
  <c r="AE211" i="12"/>
  <c r="AE212" i="12"/>
  <c r="AE214" i="12"/>
  <c r="AE216" i="12"/>
  <c r="AE233" i="12"/>
  <c r="AD233" i="12" s="1"/>
  <c r="AE5" i="12"/>
  <c r="AE23" i="12"/>
  <c r="AE10" i="12"/>
  <c r="AE14" i="12"/>
  <c r="AE40" i="12"/>
  <c r="AE42" i="12"/>
  <c r="AE44" i="12"/>
  <c r="AE148" i="12"/>
  <c r="AE154" i="12"/>
  <c r="AE140" i="12"/>
  <c r="AD140" i="12" s="1"/>
  <c r="AE145" i="12"/>
  <c r="AE157" i="12"/>
  <c r="AE159" i="12"/>
  <c r="AE161" i="12"/>
  <c r="AE163" i="12"/>
  <c r="AE165" i="12"/>
  <c r="AE167" i="12"/>
  <c r="AE169" i="12"/>
  <c r="AE171" i="12"/>
  <c r="AE209" i="12"/>
  <c r="AE175" i="12"/>
  <c r="AD175" i="12" s="1"/>
  <c r="AE27" i="12"/>
  <c r="AE56" i="12"/>
  <c r="CP51" i="12"/>
  <c r="CP33" i="12"/>
  <c r="CP37" i="12"/>
  <c r="DA187" i="12"/>
  <c r="CZ187" i="12" s="1"/>
  <c r="DA221" i="12"/>
  <c r="CZ221" i="12" s="1"/>
  <c r="AE52" i="12"/>
  <c r="AE210" i="12"/>
  <c r="AD210" i="12" s="1"/>
  <c r="AE218" i="12"/>
  <c r="AE220" i="12"/>
  <c r="AD220" i="12" s="1"/>
  <c r="AE222" i="12"/>
  <c r="AE224" i="12"/>
  <c r="AE226" i="12"/>
  <c r="AE229" i="12"/>
  <c r="AD229" i="12" s="1"/>
  <c r="AE234" i="12"/>
  <c r="AE235" i="12"/>
  <c r="AE237" i="12"/>
  <c r="AE239" i="12"/>
  <c r="AD239" i="12" s="1"/>
  <c r="AE12" i="12"/>
  <c r="AE16" i="12"/>
  <c r="AE18" i="12"/>
  <c r="AE20" i="12"/>
  <c r="AE6" i="12"/>
  <c r="AE11" i="12"/>
  <c r="AE130" i="12"/>
  <c r="AE132" i="12"/>
  <c r="AE149" i="12"/>
  <c r="AE133" i="12"/>
  <c r="AE135" i="12"/>
  <c r="AE138" i="12"/>
  <c r="AE141" i="12"/>
  <c r="AE147" i="12"/>
  <c r="AE155" i="12"/>
  <c r="AE70" i="12"/>
  <c r="AD70" i="12" s="1"/>
  <c r="AE115" i="12"/>
  <c r="AD115" i="12" s="1"/>
  <c r="AE31" i="12"/>
  <c r="AD31" i="12" s="1"/>
  <c r="AE33" i="12"/>
  <c r="AE35" i="12"/>
  <c r="AE37" i="12"/>
  <c r="AE59" i="12"/>
  <c r="AD59" i="12" s="1"/>
  <c r="AE46" i="12"/>
  <c r="AE48" i="12"/>
  <c r="AE50" i="12"/>
  <c r="AE62" i="12"/>
  <c r="AD62" i="12" s="1"/>
  <c r="AE60" i="12"/>
  <c r="AE63" i="12"/>
  <c r="AE213" i="12"/>
  <c r="AE215" i="12"/>
  <c r="AE217" i="12"/>
  <c r="AE231" i="12"/>
  <c r="AE7" i="12"/>
  <c r="AE21" i="12"/>
  <c r="AE9" i="12"/>
  <c r="AE8" i="12"/>
  <c r="AE13" i="12"/>
  <c r="AE39" i="12"/>
  <c r="AE41" i="12"/>
  <c r="AE43" i="12"/>
  <c r="AE45" i="12"/>
  <c r="AE142" i="12"/>
  <c r="AE151" i="12"/>
  <c r="AE156" i="12"/>
  <c r="AE158" i="12"/>
  <c r="AE160" i="12"/>
  <c r="AE162" i="12"/>
  <c r="AE164" i="12"/>
  <c r="AE166" i="12"/>
  <c r="AE168" i="12"/>
  <c r="AE170" i="12"/>
  <c r="AE172" i="12"/>
  <c r="AD180" i="12"/>
  <c r="AD95" i="12"/>
  <c r="AD182" i="12"/>
  <c r="AD88" i="12"/>
  <c r="AD126" i="12"/>
  <c r="AD89" i="12"/>
  <c r="AD199" i="12"/>
  <c r="AD55" i="12"/>
  <c r="AD111" i="12"/>
  <c r="AD93" i="12"/>
  <c r="AD107" i="12"/>
  <c r="AD64" i="12"/>
  <c r="AD178" i="12"/>
  <c r="AD80" i="12"/>
  <c r="AD100" i="12"/>
  <c r="AD129" i="12"/>
  <c r="AD204" i="12"/>
  <c r="DH62" i="12"/>
  <c r="DA157" i="12"/>
  <c r="CZ157" i="12" s="1"/>
  <c r="DA20" i="12"/>
  <c r="CZ20" i="12" s="1"/>
  <c r="DA22" i="12"/>
  <c r="CZ22" i="12" s="1"/>
  <c r="DA24" i="12"/>
  <c r="CZ24" i="12" s="1"/>
  <c r="DA26" i="12"/>
  <c r="CZ26" i="12" s="1"/>
  <c r="DA91" i="12"/>
  <c r="CZ91" i="12" s="1"/>
  <c r="DA93" i="12"/>
  <c r="CZ93" i="12" s="1"/>
  <c r="DA95" i="12"/>
  <c r="CZ95" i="12" s="1"/>
  <c r="DH99" i="12"/>
  <c r="CP92" i="12"/>
  <c r="CP96" i="12"/>
  <c r="CP106" i="12"/>
  <c r="CP110" i="12"/>
  <c r="DA116" i="12"/>
  <c r="CZ116" i="12" s="1"/>
  <c r="CP123" i="12"/>
  <c r="DH137" i="12"/>
  <c r="CP226" i="12"/>
  <c r="DH227" i="12"/>
  <c r="DH235" i="12"/>
  <c r="DA241" i="12"/>
  <c r="CZ241" i="12" s="1"/>
  <c r="DH233" i="12"/>
  <c r="CP234" i="12"/>
  <c r="AD76" i="12"/>
  <c r="CP5" i="12"/>
  <c r="CP72" i="12"/>
  <c r="DA79" i="12"/>
  <c r="CZ79" i="12" s="1"/>
  <c r="DA81" i="12"/>
  <c r="CZ81" i="12" s="1"/>
  <c r="DA83" i="12"/>
  <c r="CZ83" i="12" s="1"/>
  <c r="DA85" i="12"/>
  <c r="CZ85" i="12" s="1"/>
  <c r="DA69" i="12"/>
  <c r="CZ69" i="12" s="1"/>
  <c r="DA90" i="12"/>
  <c r="CZ90" i="12" s="1"/>
  <c r="CP90" i="12"/>
  <c r="DH116" i="12"/>
  <c r="DH120" i="12"/>
  <c r="CP138" i="12"/>
  <c r="DH177" i="12"/>
  <c r="CP183" i="12"/>
  <c r="DA203" i="12"/>
  <c r="CZ203" i="12" s="1"/>
  <c r="DH209" i="12"/>
  <c r="CP210" i="12"/>
  <c r="DH237" i="12"/>
  <c r="DH234" i="12"/>
  <c r="CP240" i="12"/>
  <c r="AD177" i="12"/>
  <c r="AD77" i="12"/>
  <c r="AD104" i="12"/>
  <c r="AD122" i="12"/>
  <c r="AD119" i="12"/>
  <c r="AD114" i="12"/>
  <c r="AD176" i="12"/>
  <c r="DH26" i="12"/>
  <c r="AD179" i="12"/>
  <c r="AD66" i="12"/>
  <c r="AD68" i="12"/>
  <c r="AD79" i="12"/>
  <c r="AD81" i="12"/>
  <c r="AD69" i="12"/>
  <c r="AD124" i="12"/>
  <c r="AD99" i="12"/>
  <c r="AD103" i="12"/>
  <c r="AD127" i="12"/>
  <c r="AD191" i="12"/>
  <c r="CP178" i="12"/>
  <c r="DH184" i="12"/>
  <c r="CP190" i="12"/>
  <c r="BY26" i="12"/>
  <c r="BY27" i="12"/>
  <c r="AD56" i="12"/>
  <c r="BY181" i="12"/>
  <c r="BY179" i="12"/>
  <c r="BY66" i="12"/>
  <c r="BY68" i="12"/>
  <c r="BY79" i="12"/>
  <c r="BY81" i="12"/>
  <c r="BY83" i="12"/>
  <c r="BY85" i="12"/>
  <c r="BY69" i="12"/>
  <c r="BY91" i="12"/>
  <c r="BY72" i="12"/>
  <c r="AD71" i="12"/>
  <c r="AD78" i="12"/>
  <c r="AD97" i="12"/>
  <c r="AD105" i="12"/>
  <c r="AD109" i="12"/>
  <c r="AD113" i="12"/>
  <c r="BY125" i="12"/>
  <c r="BY89" i="12"/>
  <c r="BY99" i="12"/>
  <c r="BY103" i="12"/>
  <c r="BY117" i="12"/>
  <c r="AD128" i="12"/>
  <c r="AD90" i="12"/>
  <c r="AD102" i="12"/>
  <c r="AD118" i="12"/>
  <c r="AD120" i="12"/>
  <c r="AD125" i="12"/>
  <c r="BY122" i="12"/>
  <c r="BY129" i="12"/>
  <c r="AD174" i="12"/>
  <c r="AD173" i="12"/>
  <c r="BY187" i="12"/>
  <c r="BY189" i="12"/>
  <c r="AD184" i="12"/>
  <c r="BY190" i="12"/>
  <c r="AD192" i="12"/>
  <c r="BY193" i="12"/>
  <c r="BY194" i="12"/>
  <c r="AD207" i="12"/>
  <c r="AD208" i="12"/>
  <c r="BY199" i="12"/>
  <c r="BY201" i="12"/>
  <c r="BY203" i="12"/>
  <c r="BY205" i="12"/>
  <c r="CS5" i="12"/>
  <c r="DA6" i="12"/>
  <c r="CZ6" i="12" s="1"/>
  <c r="DA8" i="12"/>
  <c r="CZ8" i="12" s="1"/>
  <c r="CS9" i="12"/>
  <c r="DA10" i="12"/>
  <c r="CZ10" i="12" s="1"/>
  <c r="DA12" i="12"/>
  <c r="CZ12" i="12" s="1"/>
  <c r="CS13" i="12"/>
  <c r="DA14" i="12"/>
  <c r="CZ14" i="12" s="1"/>
  <c r="CP9" i="12"/>
  <c r="CP11" i="12"/>
  <c r="CP15" i="12"/>
  <c r="CP27" i="12"/>
  <c r="DH27" i="12"/>
  <c r="DH41" i="12"/>
  <c r="DH45" i="12"/>
  <c r="DH49" i="12"/>
  <c r="DH61" i="12"/>
  <c r="DH55" i="12"/>
  <c r="DH64" i="12"/>
  <c r="DA54" i="12"/>
  <c r="CZ54" i="12" s="1"/>
  <c r="CS65" i="12"/>
  <c r="DH73" i="12"/>
  <c r="CS76" i="12"/>
  <c r="CS78" i="12"/>
  <c r="DA87" i="12"/>
  <c r="CZ87" i="12" s="1"/>
  <c r="DH88" i="12"/>
  <c r="DH89" i="12"/>
  <c r="CP80" i="12"/>
  <c r="CP84" i="12"/>
  <c r="DH100" i="12"/>
  <c r="CP115" i="12"/>
  <c r="CP118" i="12"/>
  <c r="DH125" i="12"/>
  <c r="DH126" i="12"/>
  <c r="DA97" i="12"/>
  <c r="CZ97" i="12" s="1"/>
  <c r="DH102" i="12"/>
  <c r="DH118" i="12"/>
  <c r="DH133" i="12"/>
  <c r="CP137" i="12"/>
  <c r="DH138" i="12"/>
  <c r="DA143" i="12"/>
  <c r="CZ143" i="12" s="1"/>
  <c r="DA145" i="12"/>
  <c r="CZ145" i="12" s="1"/>
  <c r="DA147" i="12"/>
  <c r="CZ147" i="12" s="1"/>
  <c r="DA149" i="12"/>
  <c r="CZ149" i="12" s="1"/>
  <c r="DA151" i="12"/>
  <c r="CZ151" i="12" s="1"/>
  <c r="DA153" i="12"/>
  <c r="CZ153" i="12" s="1"/>
  <c r="DH174" i="12"/>
  <c r="DA177" i="12"/>
  <c r="CZ177" i="12" s="1"/>
  <c r="CS191" i="12"/>
  <c r="DA193" i="12"/>
  <c r="CZ193" i="12" s="1"/>
  <c r="CP204" i="12"/>
  <c r="DA209" i="12"/>
  <c r="CZ209" i="12" s="1"/>
  <c r="DH212" i="12"/>
  <c r="CP214" i="12"/>
  <c r="CP216" i="12"/>
  <c r="DH214" i="12"/>
  <c r="CP218" i="12"/>
  <c r="DH221" i="12"/>
  <c r="CP219" i="12"/>
  <c r="DH219" i="12"/>
  <c r="DH223" i="12"/>
  <c r="DH225" i="12"/>
  <c r="DH226" i="12"/>
  <c r="CP228" i="12"/>
  <c r="CP230" i="12"/>
  <c r="DH228" i="12"/>
  <c r="DH230" i="12"/>
  <c r="DH231" i="12"/>
  <c r="CP238" i="12"/>
  <c r="DH238" i="12"/>
  <c r="DH240" i="12"/>
  <c r="DA242" i="12"/>
  <c r="CZ242" i="12" s="1"/>
  <c r="DA5" i="12"/>
  <c r="CZ5" i="12" s="1"/>
  <c r="DA7" i="12"/>
  <c r="CZ7" i="12" s="1"/>
  <c r="DA9" i="12"/>
  <c r="CZ9" i="12" s="1"/>
  <c r="DA11" i="12"/>
  <c r="CZ11" i="12" s="1"/>
  <c r="DA13" i="12"/>
  <c r="CZ13" i="12" s="1"/>
  <c r="CP8" i="12"/>
  <c r="CP87" i="12"/>
  <c r="CP88" i="12"/>
  <c r="DH87" i="12"/>
  <c r="CP122" i="12"/>
  <c r="CP136" i="12"/>
  <c r="DH156" i="12"/>
  <c r="CP185" i="12"/>
  <c r="DH185" i="12"/>
  <c r="CS192" i="12"/>
  <c r="DH197" i="12"/>
  <c r="DA206" i="12"/>
  <c r="CZ206" i="12" s="1"/>
  <c r="CS7" i="12"/>
  <c r="CS11" i="12"/>
  <c r="CP13" i="12"/>
  <c r="CP89" i="12"/>
  <c r="DH72" i="12"/>
  <c r="DA74" i="12"/>
  <c r="CZ74" i="12" s="1"/>
  <c r="DA80" i="12"/>
  <c r="CZ80" i="12" s="1"/>
  <c r="DA82" i="12"/>
  <c r="CZ82" i="12" s="1"/>
  <c r="DA84" i="12"/>
  <c r="CZ84" i="12" s="1"/>
  <c r="C45" i="11" s="1"/>
  <c r="CS90" i="12"/>
  <c r="CP74" i="12"/>
  <c r="CP82" i="12"/>
  <c r="CP86" i="12"/>
  <c r="CP120" i="12"/>
  <c r="DH124" i="12"/>
  <c r="DH183" i="12"/>
  <c r="CP196" i="12"/>
  <c r="CP202" i="12"/>
  <c r="DH206" i="12"/>
  <c r="CP29" i="12"/>
  <c r="DA15" i="12"/>
  <c r="CZ15" i="12" s="1"/>
  <c r="DA17" i="12"/>
  <c r="CZ17" i="12" s="1"/>
  <c r="DH21" i="12"/>
  <c r="DH22" i="12"/>
  <c r="DH40" i="12"/>
  <c r="DH44" i="12"/>
  <c r="DH48" i="12"/>
  <c r="CP31" i="12"/>
  <c r="CP35" i="12"/>
  <c r="CP39" i="12"/>
  <c r="CP54" i="12"/>
  <c r="CP57" i="12"/>
  <c r="CP75" i="12"/>
  <c r="CP140" i="12"/>
  <c r="CP148" i="12"/>
  <c r="CP152" i="12"/>
  <c r="CP164" i="12"/>
  <c r="CP168" i="12"/>
  <c r="DH182" i="12"/>
  <c r="CP186" i="12"/>
  <c r="DA181" i="12"/>
  <c r="CZ181" i="12" s="1"/>
  <c r="CP187" i="12"/>
  <c r="DA196" i="12"/>
  <c r="CZ196" i="12" s="1"/>
  <c r="DA204" i="12"/>
  <c r="CZ204" i="12" s="1"/>
  <c r="N244" i="12"/>
  <c r="DM237" i="12" s="1"/>
  <c r="CP241" i="12"/>
  <c r="DA243" i="12"/>
  <c r="CZ243" i="12" s="1"/>
  <c r="CP7" i="12"/>
  <c r="CS19" i="12"/>
  <c r="DA28" i="12"/>
  <c r="CZ28" i="12" s="1"/>
  <c r="CS52" i="12"/>
  <c r="CO52" i="12" s="1"/>
  <c r="CS61" i="12"/>
  <c r="CS63" i="12"/>
  <c r="CS79" i="12"/>
  <c r="CS81" i="12"/>
  <c r="CS83" i="12"/>
  <c r="CO83" i="12" s="1"/>
  <c r="CS96" i="12"/>
  <c r="CO96" i="12" s="1"/>
  <c r="CS105" i="12"/>
  <c r="CS107" i="12"/>
  <c r="CS109" i="12"/>
  <c r="CO109" i="12" s="1"/>
  <c r="DH93" i="12"/>
  <c r="CP133" i="12"/>
  <c r="DA133" i="12"/>
  <c r="CZ133" i="12" s="1"/>
  <c r="DA135" i="12"/>
  <c r="CZ135" i="12" s="1"/>
  <c r="DA137" i="12"/>
  <c r="CZ137" i="12" s="1"/>
  <c r="CS150" i="12"/>
  <c r="CO150" i="12" s="1"/>
  <c r="CS152" i="12"/>
  <c r="CS154" i="12"/>
  <c r="CO154" i="12" s="1"/>
  <c r="CS161" i="12"/>
  <c r="CS163" i="12"/>
  <c r="CS165" i="12"/>
  <c r="CS167" i="12"/>
  <c r="DA174" i="12"/>
  <c r="CZ174" i="12" s="1"/>
  <c r="CS188" i="12"/>
  <c r="CS200" i="12"/>
  <c r="CO200" i="12" s="1"/>
  <c r="DH200" i="12"/>
  <c r="DH204" i="12"/>
  <c r="CS208" i="12"/>
  <c r="DA210" i="12"/>
  <c r="CZ210" i="12" s="1"/>
  <c r="DA214" i="12"/>
  <c r="CZ214" i="12" s="1"/>
  <c r="DA216" i="12"/>
  <c r="CZ216" i="12" s="1"/>
  <c r="BY25" i="12"/>
  <c r="CP139" i="12"/>
  <c r="CS236" i="12"/>
  <c r="CP239" i="12"/>
  <c r="BY241" i="12"/>
  <c r="AD15" i="12"/>
  <c r="AD17" i="12"/>
  <c r="AD19" i="12"/>
  <c r="AD153" i="12"/>
  <c r="AD150" i="12"/>
  <c r="AD134" i="12"/>
  <c r="AD137" i="12"/>
  <c r="AD139" i="12"/>
  <c r="DA16" i="12"/>
  <c r="CZ16" i="12" s="1"/>
  <c r="DA18" i="12"/>
  <c r="CZ18" i="12" s="1"/>
  <c r="DH24" i="12"/>
  <c r="DH28" i="12"/>
  <c r="DH42" i="12"/>
  <c r="DH46" i="12"/>
  <c r="DA30" i="12"/>
  <c r="CZ30" i="12" s="1"/>
  <c r="DA32" i="12"/>
  <c r="CZ32" i="12" s="1"/>
  <c r="DA34" i="12"/>
  <c r="CZ34" i="12" s="1"/>
  <c r="DA36" i="12"/>
  <c r="CZ36" i="12" s="1"/>
  <c r="DA38" i="12"/>
  <c r="CZ38" i="12" s="1"/>
  <c r="CP32" i="12"/>
  <c r="CP36" i="12"/>
  <c r="CP65" i="12"/>
  <c r="CP76" i="12"/>
  <c r="CP66" i="12"/>
  <c r="CP101" i="12"/>
  <c r="DA114" i="12"/>
  <c r="CZ114" i="12" s="1"/>
  <c r="CP93" i="12"/>
  <c r="CP114" i="12"/>
  <c r="CP97" i="12"/>
  <c r="CP107" i="12"/>
  <c r="CP111" i="12"/>
  <c r="DH135" i="12"/>
  <c r="DH160" i="12"/>
  <c r="DH158" i="12"/>
  <c r="CP174" i="12"/>
  <c r="CP161" i="12"/>
  <c r="CP165" i="12"/>
  <c r="CP169" i="12"/>
  <c r="CP188" i="12"/>
  <c r="CP191" i="12"/>
  <c r="DH218" i="12"/>
  <c r="DH16" i="12"/>
  <c r="BY24" i="12"/>
  <c r="CS27" i="12"/>
  <c r="CS41" i="12"/>
  <c r="CS45" i="12"/>
  <c r="CS49" i="12"/>
  <c r="DH33" i="12"/>
  <c r="DH37" i="12"/>
  <c r="CS59" i="12"/>
  <c r="CS66" i="12"/>
  <c r="CS68" i="12"/>
  <c r="CS85" i="12"/>
  <c r="CS69" i="12"/>
  <c r="AD73" i="12"/>
  <c r="DH77" i="12"/>
  <c r="AD72" i="12"/>
  <c r="CP73" i="12"/>
  <c r="DH90" i="12"/>
  <c r="CS111" i="12"/>
  <c r="CS113" i="12"/>
  <c r="DH97" i="12"/>
  <c r="CS115" i="12"/>
  <c r="DA118" i="12"/>
  <c r="CZ118" i="12" s="1"/>
  <c r="DA120" i="12"/>
  <c r="CZ120" i="12" s="1"/>
  <c r="DH121" i="12"/>
  <c r="DA122" i="12"/>
  <c r="CZ122" i="12" s="1"/>
  <c r="CS123" i="12"/>
  <c r="DA124" i="12"/>
  <c r="CZ124" i="12" s="1"/>
  <c r="CS125" i="12"/>
  <c r="CS127" i="12"/>
  <c r="CS129" i="12"/>
  <c r="DA141" i="12"/>
  <c r="CZ141" i="12" s="1"/>
  <c r="CS146" i="12"/>
  <c r="CO146" i="12" s="1"/>
  <c r="CS148" i="12"/>
  <c r="DH154" i="12"/>
  <c r="CS159" i="12"/>
  <c r="CS169" i="12"/>
  <c r="CS171" i="12"/>
  <c r="DH162" i="12"/>
  <c r="DH166" i="12"/>
  <c r="DH170" i="12"/>
  <c r="CP173" i="12"/>
  <c r="CP175" i="12"/>
  <c r="CP176" i="12"/>
  <c r="CS173" i="12"/>
  <c r="CS175" i="12"/>
  <c r="DA176" i="12"/>
  <c r="CZ176" i="12" s="1"/>
  <c r="CP182" i="12"/>
  <c r="CP181" i="12"/>
  <c r="DH189" i="12"/>
  <c r="DH190" i="12"/>
  <c r="CS202" i="12"/>
  <c r="AD206" i="12"/>
  <c r="CS206" i="12"/>
  <c r="CP206" i="12"/>
  <c r="DH210" i="12"/>
  <c r="DA212" i="12"/>
  <c r="CZ212" i="12" s="1"/>
  <c r="CS217" i="12"/>
  <c r="CS223" i="12"/>
  <c r="CP233" i="12"/>
  <c r="CP235" i="12"/>
  <c r="DA237" i="12"/>
  <c r="CZ237" i="12" s="1"/>
  <c r="DH242" i="12"/>
  <c r="BY240" i="12"/>
  <c r="AD241" i="12"/>
  <c r="BY242" i="12"/>
  <c r="BY243" i="12"/>
  <c r="CS243" i="12"/>
  <c r="CP243" i="12"/>
  <c r="AD222" i="12"/>
  <c r="AD224" i="12"/>
  <c r="DM238" i="12"/>
  <c r="DM234" i="12"/>
  <c r="DM229" i="12"/>
  <c r="DM225" i="12"/>
  <c r="DM220" i="12"/>
  <c r="DM216" i="12"/>
  <c r="DM222" i="12"/>
  <c r="DM212" i="12"/>
  <c r="DM202" i="12"/>
  <c r="DM192" i="12"/>
  <c r="DM199" i="12"/>
  <c r="DM194" i="12"/>
  <c r="DM188" i="12"/>
  <c r="DM185" i="12"/>
  <c r="DM181" i="12"/>
  <c r="DM171" i="12"/>
  <c r="DM167" i="12"/>
  <c r="DM163" i="12"/>
  <c r="DM174" i="12"/>
  <c r="DM152" i="12"/>
  <c r="DM148" i="12"/>
  <c r="DM159" i="12"/>
  <c r="DM156" i="12"/>
  <c r="DM139" i="12"/>
  <c r="DM137" i="12"/>
  <c r="DM132" i="12"/>
  <c r="DM113" i="12"/>
  <c r="DM109" i="12"/>
  <c r="DM105" i="12"/>
  <c r="DM126" i="12"/>
  <c r="DM121" i="12"/>
  <c r="DM92" i="12"/>
  <c r="DM127" i="12"/>
  <c r="DM102" i="12"/>
  <c r="DM100" i="12"/>
  <c r="DM84" i="12"/>
  <c r="DM80" i="12"/>
  <c r="DM66" i="12"/>
  <c r="DM70" i="12"/>
  <c r="DM69" i="12"/>
  <c r="DM38" i="12"/>
  <c r="DM34" i="12"/>
  <c r="DM63" i="12"/>
  <c r="DM58" i="12"/>
  <c r="DM51" i="12"/>
  <c r="DM47" i="12"/>
  <c r="DM43" i="12"/>
  <c r="DM28" i="12"/>
  <c r="DM16" i="12"/>
  <c r="DM14" i="12"/>
  <c r="DM10" i="12"/>
  <c r="DM23" i="12"/>
  <c r="DM19" i="12"/>
  <c r="DM242" i="12"/>
  <c r="DM29" i="12"/>
  <c r="DM243" i="12"/>
  <c r="DM77" i="12"/>
  <c r="DM72" i="12"/>
  <c r="DM117" i="12"/>
  <c r="DO230" i="12"/>
  <c r="DO237" i="12"/>
  <c r="DO227" i="12"/>
  <c r="DO226" i="12"/>
  <c r="DO225" i="12"/>
  <c r="DO223" i="12"/>
  <c r="DO222" i="12"/>
  <c r="DO221" i="12"/>
  <c r="DO220" i="12"/>
  <c r="DO219" i="12"/>
  <c r="DO209" i="12"/>
  <c r="DO198" i="12"/>
  <c r="DO194" i="12"/>
  <c r="DO197" i="12"/>
  <c r="DO193" i="12"/>
  <c r="DO196" i="12"/>
  <c r="DO195" i="12"/>
  <c r="DO190" i="12"/>
  <c r="DO185" i="12"/>
  <c r="DO184" i="12"/>
  <c r="DO182" i="12"/>
  <c r="DO192" i="12"/>
  <c r="DO191" i="12"/>
  <c r="DO181" i="12"/>
  <c r="DO189" i="12"/>
  <c r="DO188" i="12"/>
  <c r="DO187" i="12"/>
  <c r="DO186" i="12"/>
  <c r="DO176" i="12"/>
  <c r="DO175" i="12"/>
  <c r="DO172" i="12"/>
  <c r="DO180" i="12"/>
  <c r="DO177" i="12"/>
  <c r="DO171" i="12"/>
  <c r="DO170" i="12"/>
  <c r="DO169" i="12"/>
  <c r="DO162" i="12"/>
  <c r="DO158" i="12"/>
  <c r="DO157" i="12"/>
  <c r="DO148" i="12"/>
  <c r="DO147" i="12"/>
  <c r="DO146" i="12"/>
  <c r="DO145" i="12"/>
  <c r="DO144" i="12"/>
  <c r="DO143" i="12"/>
  <c r="DO141" i="12"/>
  <c r="DO140" i="12"/>
  <c r="DO139" i="12"/>
  <c r="DO138" i="12"/>
  <c r="DO137" i="12"/>
  <c r="DO135" i="12"/>
  <c r="DO133" i="12"/>
  <c r="DO132" i="12"/>
  <c r="DO126" i="12"/>
  <c r="DO118" i="12"/>
  <c r="DO101" i="12"/>
  <c r="DO100" i="12"/>
  <c r="DO99" i="12"/>
  <c r="DO98" i="12"/>
  <c r="DO97" i="12"/>
  <c r="DO96" i="12"/>
  <c r="DO114" i="12"/>
  <c r="DO95" i="12"/>
  <c r="DO72" i="12"/>
  <c r="DO70" i="12"/>
  <c r="DO90" i="12"/>
  <c r="DO69" i="12"/>
  <c r="DO84" i="12"/>
  <c r="DO83" i="12"/>
  <c r="DO80" i="12"/>
  <c r="DO68" i="12"/>
  <c r="DO67" i="12"/>
  <c r="DO66" i="12"/>
  <c r="DO76" i="12"/>
  <c r="DO71" i="12"/>
  <c r="DO65" i="12"/>
  <c r="DO64" i="12"/>
  <c r="DO63" i="12"/>
  <c r="DO62" i="12"/>
  <c r="DO61" i="12"/>
  <c r="DO60" i="12"/>
  <c r="DO59" i="12"/>
  <c r="DO58" i="12"/>
  <c r="DO57" i="12"/>
  <c r="C48" i="11" s="1"/>
  <c r="DO44" i="12"/>
  <c r="DO43" i="12"/>
  <c r="DO42" i="12"/>
  <c r="DO41" i="12"/>
  <c r="DO40" i="12"/>
  <c r="DO28" i="12"/>
  <c r="DO27" i="12"/>
  <c r="DO39" i="12"/>
  <c r="DO35" i="12"/>
  <c r="DO31" i="12"/>
  <c r="DO26" i="12"/>
  <c r="DO56" i="12"/>
  <c r="DO16" i="12"/>
  <c r="DO15" i="12"/>
  <c r="DO14" i="12"/>
  <c r="DO78" i="12"/>
  <c r="DO116" i="12"/>
  <c r="DO104" i="12"/>
  <c r="DO206" i="12"/>
  <c r="DO75" i="12"/>
  <c r="DO54" i="12"/>
  <c r="DO178" i="12"/>
  <c r="DO207" i="12"/>
  <c r="DO29" i="12"/>
  <c r="DO30" i="12"/>
  <c r="DO74" i="12"/>
  <c r="DO179" i="12"/>
  <c r="DO103" i="12"/>
  <c r="DO55" i="12"/>
  <c r="DO73" i="12"/>
  <c r="DO77" i="12"/>
  <c r="DO115" i="12"/>
  <c r="DO88" i="12"/>
  <c r="DO89" i="12"/>
  <c r="DO117" i="12"/>
  <c r="CS29" i="12"/>
  <c r="CS47" i="12"/>
  <c r="DH67" i="12"/>
  <c r="DH80" i="12"/>
  <c r="CS98" i="12"/>
  <c r="CS121" i="12"/>
  <c r="CO121" i="12" s="1"/>
  <c r="CS131" i="12"/>
  <c r="CS142" i="12"/>
  <c r="CS156" i="12"/>
  <c r="CS211" i="12"/>
  <c r="CS213" i="12"/>
  <c r="CO213" i="12" s="1"/>
  <c r="BY38" i="12"/>
  <c r="BY49" i="12"/>
  <c r="AD52" i="12"/>
  <c r="BY41" i="12"/>
  <c r="DH9" i="12"/>
  <c r="DH65" i="12"/>
  <c r="DH84" i="12"/>
  <c r="CS101" i="12"/>
  <c r="CS134" i="12"/>
  <c r="DA139" i="12"/>
  <c r="CZ139" i="12" s="1"/>
  <c r="CS144" i="12"/>
  <c r="DH157" i="12"/>
  <c r="DH178" i="12"/>
  <c r="CS219" i="12"/>
  <c r="CS221" i="12"/>
  <c r="BY32" i="12"/>
  <c r="BY36" i="12"/>
  <c r="BY47" i="12"/>
  <c r="BY58" i="12"/>
  <c r="BY62" i="12"/>
  <c r="BY212" i="12"/>
  <c r="BY216" i="12"/>
  <c r="AD226" i="12"/>
  <c r="BY228" i="12"/>
  <c r="BY236" i="12"/>
  <c r="BY10" i="12"/>
  <c r="BY23" i="12"/>
  <c r="BY9" i="12"/>
  <c r="BY13" i="12"/>
  <c r="BY39" i="12"/>
  <c r="BY43" i="12"/>
  <c r="BY45" i="12"/>
  <c r="AD131" i="12"/>
  <c r="AD144" i="12"/>
  <c r="AD146" i="12"/>
  <c r="BY153" i="12"/>
  <c r="BY143" i="12"/>
  <c r="AD152" i="12"/>
  <c r="BY156" i="12"/>
  <c r="BY158" i="12"/>
  <c r="BY160" i="12"/>
  <c r="BY162" i="12"/>
  <c r="BY164" i="12"/>
  <c r="BY166" i="12"/>
  <c r="BY168" i="12"/>
  <c r="BY170" i="12"/>
  <c r="BY172" i="12"/>
  <c r="DN239" i="12"/>
  <c r="DN238" i="12"/>
  <c r="DN237" i="12"/>
  <c r="DN236" i="12"/>
  <c r="DN241" i="12"/>
  <c r="DN235" i="12"/>
  <c r="DN234" i="12"/>
  <c r="DN233" i="12"/>
  <c r="DN232" i="12"/>
  <c r="DN231" i="12"/>
  <c r="DN229" i="12"/>
  <c r="DN228" i="12"/>
  <c r="DN227" i="12"/>
  <c r="DN226" i="12"/>
  <c r="DN230" i="12"/>
  <c r="DN225" i="12"/>
  <c r="DN224" i="12"/>
  <c r="DN223" i="12"/>
  <c r="DN222" i="12"/>
  <c r="DN221" i="12"/>
  <c r="DN220" i="12"/>
  <c r="DN219" i="12"/>
  <c r="DN218" i="12"/>
  <c r="DN217" i="12"/>
  <c r="DN216" i="12"/>
  <c r="DN215" i="12"/>
  <c r="DN214" i="12"/>
  <c r="DN213" i="12"/>
  <c r="DN212" i="12"/>
  <c r="DN211" i="12"/>
  <c r="DN210" i="12"/>
  <c r="DN205" i="12"/>
  <c r="DN204" i="12"/>
  <c r="DN203" i="12"/>
  <c r="DN202" i="12"/>
  <c r="DN201" i="12"/>
  <c r="DN200" i="12"/>
  <c r="DN199" i="12"/>
  <c r="DN198" i="12"/>
  <c r="DN209" i="12"/>
  <c r="DN208" i="12"/>
  <c r="DN195" i="12"/>
  <c r="DN194" i="12"/>
  <c r="DN197" i="12"/>
  <c r="DN193" i="12"/>
  <c r="DN196" i="12"/>
  <c r="DN192" i="12"/>
  <c r="DN191" i="12"/>
  <c r="DN186" i="12"/>
  <c r="DN178" i="12"/>
  <c r="DN190" i="12"/>
  <c r="DN185" i="12"/>
  <c r="DN184" i="12"/>
  <c r="DN183" i="12"/>
  <c r="DN182" i="12"/>
  <c r="DN189" i="12"/>
  <c r="DN188" i="12"/>
  <c r="DN187" i="12"/>
  <c r="DN180" i="12"/>
  <c r="DN177" i="12"/>
  <c r="DN172" i="12"/>
  <c r="DN174" i="12"/>
  <c r="DN181" i="12"/>
  <c r="DN176" i="12"/>
  <c r="DN175" i="12"/>
  <c r="DN173" i="12"/>
  <c r="DN171" i="12"/>
  <c r="DN170" i="12"/>
  <c r="DN169" i="12"/>
  <c r="DN168" i="12"/>
  <c r="DN167" i="12"/>
  <c r="DN166" i="12"/>
  <c r="DN165" i="12"/>
  <c r="DN164" i="12"/>
  <c r="DN163" i="12"/>
  <c r="DN162" i="12"/>
  <c r="DN161" i="12"/>
  <c r="DN160" i="12"/>
  <c r="DN159" i="12"/>
  <c r="DN158" i="12"/>
  <c r="DN157" i="12"/>
  <c r="DN156" i="12"/>
  <c r="DN155" i="12"/>
  <c r="DN154" i="12"/>
  <c r="DN151" i="12"/>
  <c r="DN140" i="12"/>
  <c r="DN139" i="12"/>
  <c r="DN150" i="12"/>
  <c r="DN143" i="12"/>
  <c r="DN142" i="12"/>
  <c r="DN138" i="12"/>
  <c r="DN137" i="12"/>
  <c r="DN136" i="12"/>
  <c r="DN135" i="12"/>
  <c r="DN134" i="12"/>
  <c r="DN133" i="12"/>
  <c r="DN153" i="12"/>
  <c r="DN149" i="12"/>
  <c r="DN148" i="12"/>
  <c r="DN144" i="12"/>
  <c r="DN152" i="12"/>
  <c r="DN147" i="12"/>
  <c r="DN146" i="12"/>
  <c r="DN145" i="12"/>
  <c r="DN141" i="12"/>
  <c r="DN131" i="12"/>
  <c r="DN126" i="12"/>
  <c r="DN125" i="12"/>
  <c r="DN124" i="12"/>
  <c r="DN123" i="12"/>
  <c r="DN121" i="12"/>
  <c r="DN95" i="12"/>
  <c r="DN94" i="12"/>
  <c r="DN93" i="12"/>
  <c r="DN92" i="12"/>
  <c r="DN91" i="12"/>
  <c r="DN130" i="12"/>
  <c r="DN129" i="12"/>
  <c r="DN128" i="12"/>
  <c r="DN127" i="12"/>
  <c r="DN120" i="12"/>
  <c r="DN119" i="12"/>
  <c r="DN118" i="12"/>
  <c r="DN102" i="12"/>
  <c r="DN101" i="12"/>
  <c r="DN90" i="12"/>
  <c r="DN87" i="12"/>
  <c r="DN86" i="12"/>
  <c r="DN122" i="12"/>
  <c r="DN116" i="12"/>
  <c r="DN103" i="12"/>
  <c r="DN100" i="12"/>
  <c r="DN99" i="12"/>
  <c r="DN98" i="12"/>
  <c r="DN88" i="12"/>
  <c r="DN132" i="12"/>
  <c r="DN113" i="12"/>
  <c r="DN112" i="12"/>
  <c r="DN111" i="12"/>
  <c r="DN110" i="12"/>
  <c r="DN109" i="12"/>
  <c r="DN108" i="12"/>
  <c r="DN107" i="12"/>
  <c r="DN106" i="12"/>
  <c r="DN105" i="12"/>
  <c r="DN104" i="12"/>
  <c r="DN97" i="12"/>
  <c r="DN96" i="12"/>
  <c r="DN77" i="12"/>
  <c r="DN76" i="12"/>
  <c r="DN71" i="12"/>
  <c r="DN65" i="12"/>
  <c r="DN64" i="12"/>
  <c r="DN63" i="12"/>
  <c r="DN62" i="12"/>
  <c r="DN70" i="12"/>
  <c r="DN69" i="12"/>
  <c r="DN85" i="12"/>
  <c r="DN84" i="12"/>
  <c r="DN83" i="12"/>
  <c r="DN82" i="12"/>
  <c r="DN81" i="12"/>
  <c r="DN80" i="12"/>
  <c r="DN79" i="12"/>
  <c r="DN68" i="12"/>
  <c r="DN67" i="12"/>
  <c r="DN66" i="12"/>
  <c r="DN53" i="12"/>
  <c r="DN52" i="12"/>
  <c r="DN51" i="12"/>
  <c r="DN50" i="12"/>
  <c r="DN61" i="12"/>
  <c r="DN56" i="12"/>
  <c r="DN54" i="12"/>
  <c r="DN58" i="12"/>
  <c r="DN59" i="12"/>
  <c r="DN57" i="12"/>
  <c r="DN49" i="12"/>
  <c r="DN48" i="12"/>
  <c r="DN47" i="12"/>
  <c r="DN46" i="12"/>
  <c r="DN45" i="12"/>
  <c r="DN44" i="12"/>
  <c r="DN43" i="12"/>
  <c r="DN42" i="12"/>
  <c r="DN41" i="12"/>
  <c r="DN40" i="12"/>
  <c r="DN28" i="12"/>
  <c r="DN27" i="12"/>
  <c r="DN60" i="12"/>
  <c r="DN39" i="12"/>
  <c r="DN38" i="12"/>
  <c r="DN37" i="12"/>
  <c r="DN36" i="12"/>
  <c r="DN35" i="12"/>
  <c r="DN34" i="12"/>
  <c r="DN33" i="12"/>
  <c r="DN32" i="12"/>
  <c r="DN31" i="12"/>
  <c r="DN26" i="12"/>
  <c r="DN14" i="12"/>
  <c r="DN13" i="12"/>
  <c r="DN12" i="12"/>
  <c r="DN10" i="12"/>
  <c r="DN9" i="12"/>
  <c r="DN6" i="12"/>
  <c r="DN23" i="12"/>
  <c r="DN22" i="12"/>
  <c r="DN21" i="12"/>
  <c r="DN20" i="12"/>
  <c r="DN19" i="12"/>
  <c r="DN8" i="12"/>
  <c r="DN7" i="12"/>
  <c r="DN5" i="12"/>
  <c r="DN18" i="12"/>
  <c r="DN17" i="12"/>
  <c r="DN16" i="12"/>
  <c r="DN15" i="12"/>
  <c r="DN11" i="12"/>
  <c r="DN30" i="12"/>
  <c r="DN55" i="12"/>
  <c r="DN75" i="12"/>
  <c r="DN74" i="12"/>
  <c r="DN89" i="12"/>
  <c r="DN207" i="12"/>
  <c r="DN243" i="12"/>
  <c r="DN115" i="12"/>
  <c r="DN29" i="12"/>
  <c r="DN206" i="12"/>
  <c r="DN242" i="12"/>
  <c r="DN78" i="12"/>
  <c r="DN72" i="12"/>
  <c r="DN117" i="12"/>
  <c r="DN114" i="12"/>
  <c r="DN179" i="12"/>
  <c r="DN73" i="12"/>
  <c r="BY55" i="12"/>
  <c r="AD28" i="12"/>
  <c r="BY180" i="12"/>
  <c r="AD227" i="12"/>
  <c r="AD74" i="12"/>
  <c r="AD82" i="12"/>
  <c r="AD86" i="12"/>
  <c r="BY71" i="12"/>
  <c r="BY76" i="12"/>
  <c r="BY78" i="12"/>
  <c r="BY97" i="12"/>
  <c r="BY105" i="12"/>
  <c r="BY107" i="12"/>
  <c r="BY109" i="12"/>
  <c r="BY111" i="12"/>
  <c r="BY113" i="12"/>
  <c r="BY126" i="12"/>
  <c r="AD98" i="12"/>
  <c r="BY121" i="12"/>
  <c r="BY90" i="12"/>
  <c r="BY102" i="12"/>
  <c r="BY118" i="12"/>
  <c r="BY120" i="12"/>
  <c r="BY93" i="12"/>
  <c r="BY95" i="12"/>
  <c r="BY124" i="12"/>
  <c r="AD136" i="12"/>
  <c r="BY173" i="12"/>
  <c r="AD188" i="12"/>
  <c r="AD190" i="12"/>
  <c r="BY182" i="12"/>
  <c r="BY184" i="12"/>
  <c r="AD186" i="12"/>
  <c r="BY192" i="12"/>
  <c r="AD197" i="12"/>
  <c r="AD198" i="12"/>
  <c r="BY207" i="12"/>
  <c r="BY208" i="12"/>
  <c r="AD202" i="12"/>
  <c r="DH7" i="12"/>
  <c r="CS16" i="12"/>
  <c r="CS18" i="12"/>
  <c r="DH10" i="12"/>
  <c r="DH14" i="12"/>
  <c r="DH20" i="12"/>
  <c r="DH15" i="12"/>
  <c r="CS21" i="12"/>
  <c r="CS23" i="12"/>
  <c r="CS25" i="12"/>
  <c r="CS30" i="12"/>
  <c r="DA31" i="12"/>
  <c r="CZ31" i="12" s="1"/>
  <c r="CS32" i="12"/>
  <c r="DA33" i="12"/>
  <c r="CZ33" i="12" s="1"/>
  <c r="CS34" i="12"/>
  <c r="DA35" i="12"/>
  <c r="CZ35" i="12" s="1"/>
  <c r="CS36" i="12"/>
  <c r="DA37" i="12"/>
  <c r="CZ37" i="12" s="1"/>
  <c r="CS38" i="12"/>
  <c r="DA39" i="12"/>
  <c r="CZ39" i="12" s="1"/>
  <c r="DH52" i="12"/>
  <c r="CS56" i="12"/>
  <c r="CP19" i="12"/>
  <c r="CP21" i="12"/>
  <c r="CP23" i="12"/>
  <c r="CP25" i="12"/>
  <c r="CS51" i="12"/>
  <c r="CO51" i="12" s="1"/>
  <c r="DH59" i="12"/>
  <c r="DH32" i="12"/>
  <c r="DH36" i="12"/>
  <c r="CP40" i="12"/>
  <c r="CP42" i="12"/>
  <c r="CP44" i="12"/>
  <c r="CP46" i="12"/>
  <c r="CP48" i="12"/>
  <c r="CP50" i="12"/>
  <c r="DH58" i="12"/>
  <c r="CP55" i="12"/>
  <c r="CP58" i="12"/>
  <c r="CP60" i="12"/>
  <c r="CP62" i="12"/>
  <c r="CP64" i="12"/>
  <c r="DH86" i="12"/>
  <c r="CS73" i="12"/>
  <c r="DH76" i="12"/>
  <c r="DH66" i="12"/>
  <c r="DA70" i="12"/>
  <c r="CZ70" i="12" s="1"/>
  <c r="CS72" i="12"/>
  <c r="DH79" i="12"/>
  <c r="DH83" i="12"/>
  <c r="CS92" i="12"/>
  <c r="CO92" i="12" s="1"/>
  <c r="CS94" i="12"/>
  <c r="CS114" i="12"/>
  <c r="CP94" i="12"/>
  <c r="DH101" i="12"/>
  <c r="DH115" i="12"/>
  <c r="DH134" i="12"/>
  <c r="CS88" i="12"/>
  <c r="DA89" i="12"/>
  <c r="CZ89" i="12" s="1"/>
  <c r="DH92" i="12"/>
  <c r="CP104" i="12"/>
  <c r="CP108" i="12"/>
  <c r="CP112" i="12"/>
  <c r="DH114" i="12"/>
  <c r="CS117" i="12"/>
  <c r="CO123" i="12"/>
  <c r="DH96" i="12"/>
  <c r="CP99" i="12"/>
  <c r="CP103" i="12"/>
  <c r="DH106" i="12"/>
  <c r="DH110" i="12"/>
  <c r="CP117" i="12"/>
  <c r="DH123" i="12"/>
  <c r="DH127" i="12"/>
  <c r="DH128" i="12"/>
  <c r="DH129" i="12"/>
  <c r="DH132" i="12"/>
  <c r="CP126" i="12"/>
  <c r="CP128" i="12"/>
  <c r="CP130" i="12"/>
  <c r="CP132" i="12"/>
  <c r="DH139" i="12"/>
  <c r="CP141" i="12"/>
  <c r="CS155" i="12"/>
  <c r="DH159" i="12"/>
  <c r="CP142" i="12"/>
  <c r="CP144" i="12"/>
  <c r="DH149" i="12"/>
  <c r="DH153" i="12"/>
  <c r="DA156" i="12"/>
  <c r="CZ156" i="12" s="1"/>
  <c r="DH175" i="12"/>
  <c r="CP156" i="12"/>
  <c r="CP158" i="12"/>
  <c r="CP160" i="12"/>
  <c r="DH161" i="12"/>
  <c r="DH165" i="12"/>
  <c r="DH169" i="12"/>
  <c r="DH172" i="12"/>
  <c r="DH181" i="12"/>
  <c r="DA186" i="12"/>
  <c r="CZ186" i="12" s="1"/>
  <c r="DA190" i="12"/>
  <c r="CZ190" i="12" s="1"/>
  <c r="DH180" i="12"/>
  <c r="CS182" i="12"/>
  <c r="DA183" i="12"/>
  <c r="CZ183" i="12" s="1"/>
  <c r="CS184" i="12"/>
  <c r="CO184" i="12" s="1"/>
  <c r="DA185" i="12"/>
  <c r="CZ185" i="12" s="1"/>
  <c r="DH188" i="12"/>
  <c r="CS199" i="12"/>
  <c r="CO199" i="12" s="1"/>
  <c r="CP192" i="12"/>
  <c r="DH195" i="12"/>
  <c r="CS197" i="12"/>
  <c r="DA194" i="12"/>
  <c r="CZ194" i="12" s="1"/>
  <c r="CP197" i="12"/>
  <c r="DH201" i="12"/>
  <c r="DH203" i="12"/>
  <c r="CS207" i="12"/>
  <c r="CO207" i="12" s="1"/>
  <c r="CS205" i="12"/>
  <c r="CP208" i="12"/>
  <c r="DH213" i="12"/>
  <c r="DH217" i="12"/>
  <c r="CP220" i="12"/>
  <c r="CP222" i="12"/>
  <c r="CP224" i="12"/>
  <c r="DA225" i="12"/>
  <c r="CZ225" i="12" s="1"/>
  <c r="CS226" i="12"/>
  <c r="DA227" i="12"/>
  <c r="CZ227" i="12" s="1"/>
  <c r="CS228" i="12"/>
  <c r="CO228" i="12" s="1"/>
  <c r="DA229" i="12"/>
  <c r="CZ229" i="12" s="1"/>
  <c r="DH236" i="12"/>
  <c r="CS230" i="12"/>
  <c r="CO230" i="12" s="1"/>
  <c r="DA231" i="12"/>
  <c r="CZ231" i="12" s="1"/>
  <c r="CS232" i="12"/>
  <c r="DA233" i="12"/>
  <c r="CZ233" i="12" s="1"/>
  <c r="CS234" i="12"/>
  <c r="CO234" i="12" s="1"/>
  <c r="DA235" i="12"/>
  <c r="CZ235" i="12" s="1"/>
  <c r="CP236" i="12"/>
  <c r="AD242" i="12"/>
  <c r="DA238" i="12"/>
  <c r="CZ238" i="12" s="1"/>
  <c r="CS239" i="12"/>
  <c r="DA240" i="12"/>
  <c r="CZ240" i="12" s="1"/>
  <c r="CS241" i="12"/>
  <c r="CO241" i="12" s="1"/>
  <c r="AD33" i="12"/>
  <c r="AD35" i="12"/>
  <c r="AD37" i="12"/>
  <c r="AD46" i="12"/>
  <c r="AD48" i="12"/>
  <c r="AD50" i="12"/>
  <c r="AD60" i="12"/>
  <c r="BY52" i="12"/>
  <c r="AD63" i="12"/>
  <c r="BY210" i="12"/>
  <c r="AD213" i="12"/>
  <c r="AD215" i="12"/>
  <c r="AD217" i="12"/>
  <c r="BY218" i="12"/>
  <c r="BY220" i="12"/>
  <c r="BY222" i="12"/>
  <c r="BY224" i="12"/>
  <c r="BY233" i="12"/>
  <c r="AD234" i="12"/>
  <c r="AD235" i="12"/>
  <c r="AD237" i="12"/>
  <c r="AG244" i="12"/>
  <c r="AF247" i="12" s="1"/>
  <c r="BY11" i="12"/>
  <c r="BY15" i="12"/>
  <c r="BY17" i="12"/>
  <c r="BY19" i="12"/>
  <c r="AD23" i="12"/>
  <c r="BY20" i="12"/>
  <c r="BZ244" i="12"/>
  <c r="BZ245" i="12" s="1"/>
  <c r="BY5" i="12"/>
  <c r="AD10" i="12"/>
  <c r="AD14" i="12"/>
  <c r="AD40" i="12"/>
  <c r="AD42" i="12"/>
  <c r="AD44" i="12"/>
  <c r="BY131" i="12"/>
  <c r="BY130" i="12"/>
  <c r="AD148" i="12"/>
  <c r="AD154" i="12"/>
  <c r="BY145" i="12"/>
  <c r="BY152" i="12"/>
  <c r="BY134" i="12"/>
  <c r="BY137" i="12"/>
  <c r="BY148" i="12"/>
  <c r="BY154" i="12"/>
  <c r="AD145" i="12"/>
  <c r="BY155" i="12"/>
  <c r="AD157" i="12"/>
  <c r="AD159" i="12"/>
  <c r="AD161" i="12"/>
  <c r="AD163" i="12"/>
  <c r="AD165" i="12"/>
  <c r="AD167" i="12"/>
  <c r="AD169" i="12"/>
  <c r="AD171" i="12"/>
  <c r="AD209" i="12"/>
  <c r="DH11" i="12"/>
  <c r="CS87" i="12"/>
  <c r="CO87" i="12" s="1"/>
  <c r="CS100" i="12"/>
  <c r="DH111" i="12"/>
  <c r="CS119" i="12"/>
  <c r="DH150" i="12"/>
  <c r="CS178" i="12"/>
  <c r="CS215" i="12"/>
  <c r="BY28" i="12"/>
  <c r="BY227" i="12"/>
  <c r="BY80" i="12"/>
  <c r="BY84" i="12"/>
  <c r="BY73" i="12"/>
  <c r="BY70" i="12"/>
  <c r="AD75" i="12"/>
  <c r="AD106" i="12"/>
  <c r="AD110" i="12"/>
  <c r="AD112" i="12"/>
  <c r="BY98" i="12"/>
  <c r="AD121" i="12"/>
  <c r="BY175" i="12"/>
  <c r="BY198" i="12"/>
  <c r="BY202" i="12"/>
  <c r="BY204" i="12"/>
  <c r="CS6" i="12"/>
  <c r="CS8" i="12"/>
  <c r="CS10" i="12"/>
  <c r="CO10" i="12" s="1"/>
  <c r="CS12" i="12"/>
  <c r="CS14" i="12"/>
  <c r="CO14" i="12" s="1"/>
  <c r="AQ244" i="12"/>
  <c r="CP6" i="12"/>
  <c r="CP12" i="12"/>
  <c r="DH8" i="12"/>
  <c r="DH13" i="12"/>
  <c r="CP16" i="12"/>
  <c r="CP18" i="12"/>
  <c r="DH25" i="12"/>
  <c r="DH5" i="12"/>
  <c r="DH18" i="12"/>
  <c r="DH29" i="12"/>
  <c r="DH43" i="12"/>
  <c r="DH47" i="12"/>
  <c r="AD24" i="12"/>
  <c r="DH53" i="12"/>
  <c r="DH60" i="12"/>
  <c r="DH63" i="12"/>
  <c r="DA27" i="12"/>
  <c r="CZ27" i="12" s="1"/>
  <c r="CS28" i="12"/>
  <c r="CO28" i="12" s="1"/>
  <c r="DA29" i="12"/>
  <c r="CZ29" i="12" s="1"/>
  <c r="CS40" i="12"/>
  <c r="CS42" i="12"/>
  <c r="CS44" i="12"/>
  <c r="CS46" i="12"/>
  <c r="CS48" i="12"/>
  <c r="CS50" i="12"/>
  <c r="DH31" i="12"/>
  <c r="DH35" i="12"/>
  <c r="DH39" i="12"/>
  <c r="DH54" i="12"/>
  <c r="CS54" i="12"/>
  <c r="CO54" i="12" s="1"/>
  <c r="CS58" i="12"/>
  <c r="CS60" i="12"/>
  <c r="CS62" i="12"/>
  <c r="CS64" i="12"/>
  <c r="CP70" i="12"/>
  <c r="CS75" i="12"/>
  <c r="CS77" i="12"/>
  <c r="CO77" i="12" s="1"/>
  <c r="DH57" i="12"/>
  <c r="C51" i="11" s="1"/>
  <c r="CS67" i="12"/>
  <c r="CO67" i="12" s="1"/>
  <c r="CP71" i="12"/>
  <c r="CS74" i="12"/>
  <c r="CS80" i="12"/>
  <c r="CO80" i="12" s="1"/>
  <c r="CS82" i="12"/>
  <c r="CS84" i="12"/>
  <c r="CO84" i="12" s="1"/>
  <c r="CS86" i="12"/>
  <c r="DH75" i="12"/>
  <c r="CO79" i="12"/>
  <c r="CP81" i="12"/>
  <c r="CP85" i="12"/>
  <c r="CP69" i="12"/>
  <c r="DH74" i="12"/>
  <c r="DH82" i="12"/>
  <c r="DH98" i="12"/>
  <c r="CP119" i="12"/>
  <c r="CP124" i="12"/>
  <c r="DA96" i="12"/>
  <c r="CZ96" i="12" s="1"/>
  <c r="CS97" i="12"/>
  <c r="CS104" i="12"/>
  <c r="CS106" i="12"/>
  <c r="CO106" i="12" s="1"/>
  <c r="CS108" i="12"/>
  <c r="CS110" i="12"/>
  <c r="CS112" i="12"/>
  <c r="DH91" i="12"/>
  <c r="DH95" i="12"/>
  <c r="CS99" i="12"/>
  <c r="CS103" i="12"/>
  <c r="DA101" i="12"/>
  <c r="CZ101" i="12" s="1"/>
  <c r="CS102" i="12"/>
  <c r="CO102" i="12" s="1"/>
  <c r="DH105" i="12"/>
  <c r="DH109" i="12"/>
  <c r="DH113" i="12"/>
  <c r="DA115" i="12"/>
  <c r="CZ115" i="12" s="1"/>
  <c r="CS118" i="12"/>
  <c r="CO118" i="12" s="1"/>
  <c r="DA119" i="12"/>
  <c r="CZ119" i="12" s="1"/>
  <c r="CS120" i="12"/>
  <c r="CO120" i="12" s="1"/>
  <c r="DH131" i="12"/>
  <c r="CP134" i="12"/>
  <c r="DH141" i="12"/>
  <c r="DH136" i="12"/>
  <c r="DA121" i="12"/>
  <c r="CZ121" i="12" s="1"/>
  <c r="CS122" i="12"/>
  <c r="CO122" i="12" s="1"/>
  <c r="DA123" i="12"/>
  <c r="CZ123" i="12" s="1"/>
  <c r="CS124" i="12"/>
  <c r="CS126" i="12"/>
  <c r="CS128" i="12"/>
  <c r="CS130" i="12"/>
  <c r="CS132" i="12"/>
  <c r="CS133" i="12"/>
  <c r="DA134" i="12"/>
  <c r="CZ134" i="12" s="1"/>
  <c r="CS135" i="12"/>
  <c r="CO135" i="12" s="1"/>
  <c r="DA136" i="12"/>
  <c r="CZ136" i="12" s="1"/>
  <c r="CS137" i="12"/>
  <c r="CO137" i="12" s="1"/>
  <c r="DA138" i="12"/>
  <c r="CZ138" i="12" s="1"/>
  <c r="DH140" i="12"/>
  <c r="CS157" i="12"/>
  <c r="CS139" i="12"/>
  <c r="DA140" i="12"/>
  <c r="CZ140" i="12" s="1"/>
  <c r="CS141" i="12"/>
  <c r="DA142" i="12"/>
  <c r="CZ142" i="12" s="1"/>
  <c r="CS143" i="12"/>
  <c r="DA144" i="12"/>
  <c r="CZ144" i="12" s="1"/>
  <c r="CS145" i="12"/>
  <c r="DA146" i="12"/>
  <c r="CZ146" i="12" s="1"/>
  <c r="CS147" i="12"/>
  <c r="DA148" i="12"/>
  <c r="CZ148" i="12" s="1"/>
  <c r="CS149" i="12"/>
  <c r="DA150" i="12"/>
  <c r="CZ150" i="12" s="1"/>
  <c r="CS151" i="12"/>
  <c r="DA152" i="12"/>
  <c r="CZ152" i="12" s="1"/>
  <c r="CS153" i="12"/>
  <c r="DH148" i="12"/>
  <c r="DH152" i="12"/>
  <c r="DH176" i="12"/>
  <c r="CP179" i="12"/>
  <c r="CS158" i="12"/>
  <c r="CS160" i="12"/>
  <c r="CS162" i="12"/>
  <c r="CO162" i="12" s="1"/>
  <c r="CS164" i="12"/>
  <c r="CS166" i="12"/>
  <c r="CO166" i="12" s="1"/>
  <c r="CS168" i="12"/>
  <c r="CS170" i="12"/>
  <c r="CO170" i="12" s="1"/>
  <c r="DH164" i="12"/>
  <c r="DH168" i="12"/>
  <c r="CS172" i="12"/>
  <c r="CO172" i="12" s="1"/>
  <c r="DA173" i="12"/>
  <c r="CZ173" i="12" s="1"/>
  <c r="CS174" i="12"/>
  <c r="DA175" i="12"/>
  <c r="CZ175" i="12" s="1"/>
  <c r="CS176" i="12"/>
  <c r="CO176" i="12" s="1"/>
  <c r="DA178" i="12"/>
  <c r="CZ178" i="12" s="1"/>
  <c r="CS179" i="12"/>
  <c r="CS190" i="12"/>
  <c r="CO190" i="12" s="1"/>
  <c r="CS187" i="12"/>
  <c r="CO187" i="12" s="1"/>
  <c r="CS189" i="12"/>
  <c r="CO189" i="12" s="1"/>
  <c r="CP177" i="12"/>
  <c r="DH186" i="12"/>
  <c r="DH187" i="12"/>
  <c r="CP194" i="12"/>
  <c r="CS198" i="12"/>
  <c r="CO198" i="12" s="1"/>
  <c r="CS193" i="12"/>
  <c r="CP193" i="12"/>
  <c r="DH196" i="12"/>
  <c r="DH198" i="12"/>
  <c r="CS204" i="12"/>
  <c r="CP205" i="12"/>
  <c r="DH211" i="12"/>
  <c r="DH202" i="12"/>
  <c r="DA208" i="12"/>
  <c r="CZ208" i="12" s="1"/>
  <c r="CS209" i="12"/>
  <c r="DH207" i="12"/>
  <c r="CP215" i="12"/>
  <c r="DH216" i="12"/>
  <c r="CP217" i="12"/>
  <c r="CO217" i="12" s="1"/>
  <c r="CS210" i="12"/>
  <c r="DA211" i="12"/>
  <c r="CZ211" i="12" s="1"/>
  <c r="CS212" i="12"/>
  <c r="CO212" i="12" s="1"/>
  <c r="DA213" i="12"/>
  <c r="CZ213" i="12" s="1"/>
  <c r="CS214" i="12"/>
  <c r="DA215" i="12"/>
  <c r="CZ215" i="12" s="1"/>
  <c r="CS216" i="12"/>
  <c r="DA217" i="12"/>
  <c r="CZ217" i="12" s="1"/>
  <c r="CS218" i="12"/>
  <c r="DA219" i="12"/>
  <c r="CZ219" i="12" s="1"/>
  <c r="CS220" i="12"/>
  <c r="CS222" i="12"/>
  <c r="CS224" i="12"/>
  <c r="CP229" i="12"/>
  <c r="DH232" i="12"/>
  <c r="CP232" i="12"/>
  <c r="CP237" i="12"/>
  <c r="DH241" i="12"/>
  <c r="DH243" i="12"/>
  <c r="CS242" i="12"/>
  <c r="CP242" i="12"/>
  <c r="BY31" i="12"/>
  <c r="BY33" i="12"/>
  <c r="BY35" i="12"/>
  <c r="BY37" i="12"/>
  <c r="BY61" i="12"/>
  <c r="BY46" i="12"/>
  <c r="BY48" i="12"/>
  <c r="BY50" i="12"/>
  <c r="BY59" i="12"/>
  <c r="AD51" i="12"/>
  <c r="AD53" i="12"/>
  <c r="BY63" i="12"/>
  <c r="BY211" i="12"/>
  <c r="BY213" i="12"/>
  <c r="BY215" i="12"/>
  <c r="BY217" i="12"/>
  <c r="AD219" i="12"/>
  <c r="AD221" i="12"/>
  <c r="AD223" i="12"/>
  <c r="AD225" i="12"/>
  <c r="AD231" i="12"/>
  <c r="BY229" i="12"/>
  <c r="BY230" i="12"/>
  <c r="BY235" i="12"/>
  <c r="BY237" i="12"/>
  <c r="BY239" i="12"/>
  <c r="BY6" i="12"/>
  <c r="AD12" i="12"/>
  <c r="AD16" i="12"/>
  <c r="AD18" i="12"/>
  <c r="AD20" i="12"/>
  <c r="BY8" i="12"/>
  <c r="BY21" i="12"/>
  <c r="AD6" i="12"/>
  <c r="AD11" i="12"/>
  <c r="BY14" i="12"/>
  <c r="BY40" i="12"/>
  <c r="BY42" i="12"/>
  <c r="BY44" i="12"/>
  <c r="AD130" i="12"/>
  <c r="AD132" i="12"/>
  <c r="AD149" i="12"/>
  <c r="BY139" i="12"/>
  <c r="BY146" i="12"/>
  <c r="AD133" i="12"/>
  <c r="AD135" i="12"/>
  <c r="AD138" i="12"/>
  <c r="BY141" i="12"/>
  <c r="BY149" i="12"/>
  <c r="AD141" i="12"/>
  <c r="AD147" i="12"/>
  <c r="AD155" i="12"/>
  <c r="BY157" i="12"/>
  <c r="BY159" i="12"/>
  <c r="BY161" i="12"/>
  <c r="BY163" i="12"/>
  <c r="BY165" i="12"/>
  <c r="BY167" i="12"/>
  <c r="BY169" i="12"/>
  <c r="BY171" i="12"/>
  <c r="BY209" i="12"/>
  <c r="CS43" i="12"/>
  <c r="DA102" i="12"/>
  <c r="CZ102" i="12" s="1"/>
  <c r="DH107" i="12"/>
  <c r="CS136" i="12"/>
  <c r="CS138" i="12"/>
  <c r="CO138" i="12" s="1"/>
  <c r="CS140" i="12"/>
  <c r="DH146" i="12"/>
  <c r="DA172" i="12"/>
  <c r="CZ172" i="12" s="1"/>
  <c r="DA179" i="12"/>
  <c r="CZ179" i="12" s="1"/>
  <c r="DH191" i="12"/>
  <c r="DA218" i="12"/>
  <c r="CZ218" i="12" s="1"/>
  <c r="CS237" i="12"/>
  <c r="BY30" i="12"/>
  <c r="BY34" i="12"/>
  <c r="BY29" i="12"/>
  <c r="BY60" i="12"/>
  <c r="BY214" i="12"/>
  <c r="AD218" i="12"/>
  <c r="BY231" i="12"/>
  <c r="BY234" i="12"/>
  <c r="BY238" i="12"/>
  <c r="BY7" i="12"/>
  <c r="DW243" i="12"/>
  <c r="DW242" i="12"/>
  <c r="DV243" i="12"/>
  <c r="DV242" i="12"/>
  <c r="DV241" i="12"/>
  <c r="DW240" i="12"/>
  <c r="DW239" i="12"/>
  <c r="DW238" i="12"/>
  <c r="DV240" i="12"/>
  <c r="DV239" i="12"/>
  <c r="DV238" i="12"/>
  <c r="DV237" i="12"/>
  <c r="DV236" i="12"/>
  <c r="DW241" i="12"/>
  <c r="DW237" i="12"/>
  <c r="DW236" i="12"/>
  <c r="DW235" i="12"/>
  <c r="DW234" i="12"/>
  <c r="DW233" i="12"/>
  <c r="DW232" i="12"/>
  <c r="DW231" i="12"/>
  <c r="DW230" i="12"/>
  <c r="DV235" i="12"/>
  <c r="DV234" i="12"/>
  <c r="DW229" i="12"/>
  <c r="DW228" i="12"/>
  <c r="DW227" i="12"/>
  <c r="DW226" i="12"/>
  <c r="DW225" i="12"/>
  <c r="DV231" i="12"/>
  <c r="DV229" i="12"/>
  <c r="DV228" i="12"/>
  <c r="DV227" i="12"/>
  <c r="DV226" i="12"/>
  <c r="DV233" i="12"/>
  <c r="DT233" i="12" s="1"/>
  <c r="DV232" i="12"/>
  <c r="DT232" i="12" s="1"/>
  <c r="DV230" i="12"/>
  <c r="DW224" i="12"/>
  <c r="DW223" i="12"/>
  <c r="DW222" i="12"/>
  <c r="DW221" i="12"/>
  <c r="DW220" i="12"/>
  <c r="DW219" i="12"/>
  <c r="DW218" i="12"/>
  <c r="DW217" i="12"/>
  <c r="DV225" i="12"/>
  <c r="DV224" i="12"/>
  <c r="DV223" i="12"/>
  <c r="DV222" i="12"/>
  <c r="DV221" i="12"/>
  <c r="DV220" i="12"/>
  <c r="DV219" i="12"/>
  <c r="DV218" i="12"/>
  <c r="DV217" i="12"/>
  <c r="DW216" i="12"/>
  <c r="DW215" i="12"/>
  <c r="DW214" i="12"/>
  <c r="DW213" i="12"/>
  <c r="DW212" i="12"/>
  <c r="DW211" i="12"/>
  <c r="DW210" i="12"/>
  <c r="DV216" i="12"/>
  <c r="DV215" i="12"/>
  <c r="DV214" i="12"/>
  <c r="DV213" i="12"/>
  <c r="DV212" i="12"/>
  <c r="DV211" i="12"/>
  <c r="DV210" i="12"/>
  <c r="DW205" i="12"/>
  <c r="DW209" i="12"/>
  <c r="DW208" i="12"/>
  <c r="DW206" i="12"/>
  <c r="DV205" i="12"/>
  <c r="DT205" i="12" s="1"/>
  <c r="DV204" i="12"/>
  <c r="DV203" i="12"/>
  <c r="DV202" i="12"/>
  <c r="DV201" i="12"/>
  <c r="DV200" i="12"/>
  <c r="DV199" i="12"/>
  <c r="DV198" i="12"/>
  <c r="DV209" i="12"/>
  <c r="DV208" i="12"/>
  <c r="DW207" i="12"/>
  <c r="DV206" i="12"/>
  <c r="DT206" i="12" s="1"/>
  <c r="DV207" i="12"/>
  <c r="DW203" i="12"/>
  <c r="DV195" i="12"/>
  <c r="DW194" i="12"/>
  <c r="DW201" i="12"/>
  <c r="DW200" i="12"/>
  <c r="DW199" i="12"/>
  <c r="DW198" i="12"/>
  <c r="DW197" i="12"/>
  <c r="DV194" i="12"/>
  <c r="DW193" i="12"/>
  <c r="DW204" i="12"/>
  <c r="DW202" i="12"/>
  <c r="DV197" i="12"/>
  <c r="DW196" i="12"/>
  <c r="DV193" i="12"/>
  <c r="DV196" i="12"/>
  <c r="DW195" i="12"/>
  <c r="DV192" i="12"/>
  <c r="DV191" i="12"/>
  <c r="DW192" i="12"/>
  <c r="DW191" i="12"/>
  <c r="DW190" i="12"/>
  <c r="DV186" i="12"/>
  <c r="DW185" i="12"/>
  <c r="DW184" i="12"/>
  <c r="DW183" i="12"/>
  <c r="DW182" i="12"/>
  <c r="DV179" i="12"/>
  <c r="DV178" i="12"/>
  <c r="DV190" i="12"/>
  <c r="DT190" i="12" s="1"/>
  <c r="DV185" i="12"/>
  <c r="DV184" i="12"/>
  <c r="DV183" i="12"/>
  <c r="DV182" i="12"/>
  <c r="DW181" i="12"/>
  <c r="DW189" i="12"/>
  <c r="DW188" i="12"/>
  <c r="DW187" i="12"/>
  <c r="DV189" i="12"/>
  <c r="DV188" i="12"/>
  <c r="DV187" i="12"/>
  <c r="DW186" i="12"/>
  <c r="DV180" i="12"/>
  <c r="DW179" i="12"/>
  <c r="DW178" i="12"/>
  <c r="DV177" i="12"/>
  <c r="DW176" i="12"/>
  <c r="DW175" i="12"/>
  <c r="DW174" i="12"/>
  <c r="DW173" i="12"/>
  <c r="DW172" i="12"/>
  <c r="DW180" i="12"/>
  <c r="DV176" i="12"/>
  <c r="DV175" i="12"/>
  <c r="DV181" i="12"/>
  <c r="DT181" i="12" s="1"/>
  <c r="DW177" i="12"/>
  <c r="DV174" i="12"/>
  <c r="DV172" i="12"/>
  <c r="DW171" i="12"/>
  <c r="DW170" i="12"/>
  <c r="DW169" i="12"/>
  <c r="DW168" i="12"/>
  <c r="DW167" i="12"/>
  <c r="DW166" i="12"/>
  <c r="DW165" i="12"/>
  <c r="DW164" i="12"/>
  <c r="DW163" i="12"/>
  <c r="DW162" i="12"/>
  <c r="DW161" i="12"/>
  <c r="DW160" i="12"/>
  <c r="DW159" i="12"/>
  <c r="DW158" i="12"/>
  <c r="DV173" i="12"/>
  <c r="DV171" i="12"/>
  <c r="DV170" i="12"/>
  <c r="DV169" i="12"/>
  <c r="DV168" i="12"/>
  <c r="DV167" i="12"/>
  <c r="DV166" i="12"/>
  <c r="DV165" i="12"/>
  <c r="DV164" i="12"/>
  <c r="DV163" i="12"/>
  <c r="DV162" i="12"/>
  <c r="DV161" i="12"/>
  <c r="DV160" i="12"/>
  <c r="DV159" i="12"/>
  <c r="DV158" i="12"/>
  <c r="DV157" i="12"/>
  <c r="DV156" i="12"/>
  <c r="DV155" i="12"/>
  <c r="DW157" i="12"/>
  <c r="DW156" i="12"/>
  <c r="DW154" i="12"/>
  <c r="DV154" i="12"/>
  <c r="DW153" i="12"/>
  <c r="DW152" i="12"/>
  <c r="DW151" i="12"/>
  <c r="DW150" i="12"/>
  <c r="DW149" i="12"/>
  <c r="DW148" i="12"/>
  <c r="DW147" i="12"/>
  <c r="DW146" i="12"/>
  <c r="DW145" i="12"/>
  <c r="DW144" i="12"/>
  <c r="DW143" i="12"/>
  <c r="DW142" i="12"/>
  <c r="DW141" i="12"/>
  <c r="DW140" i="12"/>
  <c r="DW139" i="12"/>
  <c r="DW155" i="12"/>
  <c r="DV153" i="12"/>
  <c r="DT153" i="12" s="1"/>
  <c r="DV149" i="12"/>
  <c r="DV143" i="12"/>
  <c r="DV141" i="12"/>
  <c r="DW138" i="12"/>
  <c r="DW137" i="12"/>
  <c r="DW136" i="12"/>
  <c r="DW135" i="12"/>
  <c r="DW134" i="12"/>
  <c r="DW133" i="12"/>
  <c r="DV152" i="12"/>
  <c r="DV148" i="12"/>
  <c r="DV144" i="12"/>
  <c r="DV140" i="12"/>
  <c r="DT140" i="12" s="1"/>
  <c r="DV139" i="12"/>
  <c r="DV138" i="12"/>
  <c r="DV137" i="12"/>
  <c r="DV136" i="12"/>
  <c r="DV135" i="12"/>
  <c r="DV134" i="12"/>
  <c r="DV133" i="12"/>
  <c r="DW132" i="12"/>
  <c r="DW131" i="12"/>
  <c r="DW130" i="12"/>
  <c r="DW129" i="12"/>
  <c r="DW128" i="12"/>
  <c r="DW127" i="12"/>
  <c r="DW126" i="12"/>
  <c r="DW125" i="12"/>
  <c r="DW124" i="12"/>
  <c r="DW123" i="12"/>
  <c r="DW122" i="12"/>
  <c r="DW121" i="12"/>
  <c r="DV151" i="12"/>
  <c r="DV147" i="12"/>
  <c r="DT147" i="12" s="1"/>
  <c r="DV146" i="12"/>
  <c r="DT146" i="12" s="1"/>
  <c r="DV145" i="12"/>
  <c r="DT145" i="12" s="1"/>
  <c r="DV150" i="12"/>
  <c r="DV142" i="12"/>
  <c r="DV123" i="12"/>
  <c r="DV121" i="12"/>
  <c r="DT121" i="12" s="1"/>
  <c r="DW120" i="12"/>
  <c r="DW119" i="12"/>
  <c r="DW118" i="12"/>
  <c r="DW115" i="12"/>
  <c r="DV114" i="12"/>
  <c r="DW102" i="12"/>
  <c r="DW101" i="12"/>
  <c r="DV95" i="12"/>
  <c r="DV94" i="12"/>
  <c r="DV93" i="12"/>
  <c r="DV92" i="12"/>
  <c r="DV91" i="12"/>
  <c r="DV120" i="12"/>
  <c r="DT120" i="12" s="1"/>
  <c r="DV119" i="12"/>
  <c r="DT119" i="12" s="1"/>
  <c r="DV118" i="12"/>
  <c r="DT118" i="12" s="1"/>
  <c r="DW117" i="12"/>
  <c r="DW116" i="12"/>
  <c r="DV115" i="12"/>
  <c r="DW103" i="12"/>
  <c r="DV102" i="12"/>
  <c r="DV101" i="12"/>
  <c r="DW100" i="12"/>
  <c r="DW99" i="12"/>
  <c r="DW98" i="12"/>
  <c r="DV90" i="12"/>
  <c r="DW89" i="12"/>
  <c r="DW88" i="12"/>
  <c r="DV87" i="12"/>
  <c r="DV86" i="12"/>
  <c r="DV132" i="12"/>
  <c r="DV131" i="12"/>
  <c r="DV125" i="12"/>
  <c r="DT125" i="12" s="1"/>
  <c r="DV124" i="12"/>
  <c r="DT124" i="12" s="1"/>
  <c r="DV122" i="12"/>
  <c r="DV117" i="12"/>
  <c r="DV116" i="12"/>
  <c r="DW113" i="12"/>
  <c r="DW112" i="12"/>
  <c r="DW111" i="12"/>
  <c r="DW110" i="12"/>
  <c r="DW109" i="12"/>
  <c r="DW108" i="12"/>
  <c r="DW107" i="12"/>
  <c r="DW106" i="12"/>
  <c r="DW105" i="12"/>
  <c r="DW104" i="12"/>
  <c r="DV103" i="12"/>
  <c r="DT103" i="12" s="1"/>
  <c r="DV100" i="12"/>
  <c r="DV99" i="12"/>
  <c r="DV98" i="12"/>
  <c r="DW97" i="12"/>
  <c r="DW96" i="12"/>
  <c r="DV89" i="12"/>
  <c r="DV88" i="12"/>
  <c r="DV130" i="12"/>
  <c r="DT130" i="12" s="1"/>
  <c r="DV129" i="12"/>
  <c r="DT129" i="12" s="1"/>
  <c r="DV128" i="12"/>
  <c r="DV127" i="12"/>
  <c r="DT127" i="12" s="1"/>
  <c r="DV126" i="12"/>
  <c r="DT126" i="12" s="1"/>
  <c r="DW114" i="12"/>
  <c r="DV113" i="12"/>
  <c r="DT113" i="12" s="1"/>
  <c r="DV112" i="12"/>
  <c r="DT112" i="12" s="1"/>
  <c r="DV111" i="12"/>
  <c r="DT111" i="12" s="1"/>
  <c r="DV110" i="12"/>
  <c r="DT110" i="12" s="1"/>
  <c r="DV109" i="12"/>
  <c r="DV108" i="12"/>
  <c r="DT108" i="12" s="1"/>
  <c r="DV107" i="12"/>
  <c r="DT107" i="12" s="1"/>
  <c r="DV106" i="12"/>
  <c r="DT106" i="12" s="1"/>
  <c r="DV105" i="12"/>
  <c r="DT105" i="12" s="1"/>
  <c r="DV104" i="12"/>
  <c r="DT104" i="12" s="1"/>
  <c r="DV97" i="12"/>
  <c r="DT97" i="12" s="1"/>
  <c r="DV96" i="12"/>
  <c r="DT96" i="12" s="1"/>
  <c r="DW95" i="12"/>
  <c r="DW94" i="12"/>
  <c r="DW93" i="12"/>
  <c r="DW92" i="12"/>
  <c r="DW91" i="12"/>
  <c r="DW90" i="12"/>
  <c r="DV78" i="12"/>
  <c r="DV77" i="12"/>
  <c r="DV76" i="12"/>
  <c r="DV75" i="12"/>
  <c r="DW72" i="12"/>
  <c r="DV71" i="12"/>
  <c r="DW70" i="12"/>
  <c r="DV65" i="12"/>
  <c r="DV64" i="12"/>
  <c r="DV63" i="12"/>
  <c r="DV62" i="12"/>
  <c r="DW73" i="12"/>
  <c r="DV72" i="12"/>
  <c r="DT72" i="12" s="1"/>
  <c r="DV70" i="12"/>
  <c r="DW69" i="12"/>
  <c r="DW85" i="12"/>
  <c r="DW84" i="12"/>
  <c r="DW83" i="12"/>
  <c r="DW82" i="12"/>
  <c r="DW81" i="12"/>
  <c r="DW80" i="12"/>
  <c r="DW79" i="12"/>
  <c r="DW74" i="12"/>
  <c r="DV73" i="12"/>
  <c r="DT73" i="12" s="1"/>
  <c r="DV69" i="12"/>
  <c r="DW68" i="12"/>
  <c r="DW67" i="12"/>
  <c r="DW66" i="12"/>
  <c r="DW87" i="12"/>
  <c r="DW86" i="12"/>
  <c r="DV85" i="12"/>
  <c r="DV84" i="12"/>
  <c r="DV83" i="12"/>
  <c r="DV82" i="12"/>
  <c r="DV81" i="12"/>
  <c r="DV80" i="12"/>
  <c r="DV79" i="12"/>
  <c r="DW78" i="12"/>
  <c r="DW77" i="12"/>
  <c r="DW76" i="12"/>
  <c r="DW75" i="12"/>
  <c r="DV74" i="12"/>
  <c r="DW71" i="12"/>
  <c r="DV68" i="12"/>
  <c r="DV67" i="12"/>
  <c r="DV66" i="12"/>
  <c r="DW65" i="12"/>
  <c r="DW64" i="12"/>
  <c r="DW63" i="12"/>
  <c r="DW62" i="12"/>
  <c r="DW61" i="12"/>
  <c r="DW60" i="12"/>
  <c r="DW59" i="12"/>
  <c r="DW58" i="12"/>
  <c r="DW54" i="12"/>
  <c r="DV53" i="12"/>
  <c r="DV52" i="12"/>
  <c r="DV51" i="12"/>
  <c r="DV50" i="12"/>
  <c r="DV58" i="12"/>
  <c r="DV57" i="12"/>
  <c r="DV55" i="12"/>
  <c r="DV59" i="12"/>
  <c r="DW56" i="12"/>
  <c r="DV54" i="12"/>
  <c r="DW49" i="12"/>
  <c r="DW48" i="12"/>
  <c r="DW47" i="12"/>
  <c r="DW46" i="12"/>
  <c r="DW45" i="12"/>
  <c r="DW44" i="12"/>
  <c r="DW43" i="12"/>
  <c r="DW42" i="12"/>
  <c r="DW41" i="12"/>
  <c r="DW40" i="12"/>
  <c r="DW29" i="12"/>
  <c r="DW28" i="12"/>
  <c r="DW27" i="12"/>
  <c r="DV60" i="12"/>
  <c r="DV56" i="12"/>
  <c r="DT56" i="12" s="1"/>
  <c r="DV49" i="12"/>
  <c r="DV48" i="12"/>
  <c r="DV47" i="12"/>
  <c r="DV46" i="12"/>
  <c r="DV45" i="12"/>
  <c r="DV44" i="12"/>
  <c r="DV43" i="12"/>
  <c r="DV42" i="12"/>
  <c r="DV41" i="12"/>
  <c r="DV40" i="12"/>
  <c r="DW39" i="12"/>
  <c r="DW38" i="12"/>
  <c r="DW37" i="12"/>
  <c r="DW36" i="12"/>
  <c r="DW35" i="12"/>
  <c r="DW34" i="12"/>
  <c r="DW33" i="12"/>
  <c r="DW32" i="12"/>
  <c r="DW31" i="12"/>
  <c r="DW30" i="12"/>
  <c r="DV29" i="12"/>
  <c r="DV28" i="12"/>
  <c r="DV27" i="12"/>
  <c r="DW26" i="12"/>
  <c r="DW25" i="12"/>
  <c r="DW24" i="12"/>
  <c r="DW23" i="12"/>
  <c r="DW22" i="12"/>
  <c r="DW21" i="12"/>
  <c r="DW20" i="12"/>
  <c r="DW19" i="12"/>
  <c r="DV61" i="12"/>
  <c r="DW57" i="12"/>
  <c r="DW55" i="12"/>
  <c r="DW53" i="12"/>
  <c r="DW52" i="12"/>
  <c r="DW51" i="12"/>
  <c r="DW50" i="12"/>
  <c r="DV39" i="12"/>
  <c r="DT39" i="12" s="1"/>
  <c r="DV38" i="12"/>
  <c r="DT38" i="12" s="1"/>
  <c r="DV37" i="12"/>
  <c r="DT37" i="12" s="1"/>
  <c r="DV36" i="12"/>
  <c r="DT36" i="12" s="1"/>
  <c r="DV35" i="12"/>
  <c r="DT35" i="12" s="1"/>
  <c r="DV34" i="12"/>
  <c r="DT34" i="12" s="1"/>
  <c r="DV33" i="12"/>
  <c r="DT33" i="12" s="1"/>
  <c r="DV32" i="12"/>
  <c r="DT32" i="12" s="1"/>
  <c r="DV31" i="12"/>
  <c r="DT31" i="12" s="1"/>
  <c r="DV30" i="12"/>
  <c r="DT30" i="12" s="1"/>
  <c r="DV26" i="12"/>
  <c r="DV25" i="12"/>
  <c r="DV24" i="12"/>
  <c r="DV23" i="12"/>
  <c r="DV22" i="12"/>
  <c r="DV21" i="12"/>
  <c r="DV20" i="12"/>
  <c r="DV19" i="12"/>
  <c r="DV14" i="12"/>
  <c r="DV13" i="12"/>
  <c r="DV12" i="12"/>
  <c r="DV10" i="12"/>
  <c r="DV9" i="12"/>
  <c r="DV5" i="12"/>
  <c r="DW18" i="12"/>
  <c r="DW17" i="12"/>
  <c r="DW16" i="12"/>
  <c r="DW15" i="12"/>
  <c r="DV8" i="12"/>
  <c r="DV7" i="12"/>
  <c r="DV18" i="12"/>
  <c r="DV17" i="12"/>
  <c r="DV16" i="12"/>
  <c r="DV15" i="12"/>
  <c r="DW14" i="12"/>
  <c r="DW13" i="12"/>
  <c r="DW12" i="12"/>
  <c r="DW11" i="12"/>
  <c r="DW10" i="12"/>
  <c r="DW9" i="12"/>
  <c r="DW8" i="12"/>
  <c r="DW7" i="12"/>
  <c r="DW6" i="12"/>
  <c r="DW5" i="12"/>
  <c r="DV11" i="12"/>
  <c r="DV6" i="12"/>
  <c r="BY57" i="12"/>
  <c r="AD54" i="12"/>
  <c r="BY64" i="12"/>
  <c r="BY178" i="12"/>
  <c r="BY67" i="12"/>
  <c r="BY74" i="12"/>
  <c r="BY82" i="12"/>
  <c r="BY86" i="12"/>
  <c r="AD108" i="12"/>
  <c r="BY88" i="12"/>
  <c r="BY100" i="12"/>
  <c r="BY116" i="12"/>
  <c r="BY123" i="12"/>
  <c r="AD92" i="12"/>
  <c r="AD94" i="12"/>
  <c r="BY127" i="12"/>
  <c r="BY136" i="12"/>
  <c r="BY188" i="12"/>
  <c r="BY191" i="12"/>
  <c r="AD183" i="12"/>
  <c r="BY186" i="12"/>
  <c r="AD196" i="12"/>
  <c r="BY197" i="12"/>
  <c r="AD195" i="12"/>
  <c r="BY200" i="12"/>
  <c r="AD26" i="12"/>
  <c r="AD27" i="12"/>
  <c r="BY54" i="12"/>
  <c r="BY56" i="12"/>
  <c r="BY177" i="12"/>
  <c r="AD83" i="12"/>
  <c r="AD85" i="12"/>
  <c r="AD91" i="12"/>
  <c r="BY65" i="12"/>
  <c r="BY75" i="12"/>
  <c r="BY77" i="12"/>
  <c r="BY96" i="12"/>
  <c r="BY104" i="12"/>
  <c r="BY106" i="12"/>
  <c r="BY108" i="12"/>
  <c r="BY110" i="12"/>
  <c r="BY112" i="12"/>
  <c r="BY87" i="12"/>
  <c r="BY101" i="12"/>
  <c r="BY115" i="12"/>
  <c r="BY119" i="12"/>
  <c r="AD123" i="12"/>
  <c r="BY92" i="12"/>
  <c r="BY94" i="12"/>
  <c r="BY114" i="12"/>
  <c r="BY128" i="12"/>
  <c r="BY174" i="12"/>
  <c r="BY176" i="12"/>
  <c r="AD187" i="12"/>
  <c r="AD189" i="12"/>
  <c r="AD193" i="12"/>
  <c r="BY183" i="12"/>
  <c r="BY185" i="12"/>
  <c r="BY196" i="12"/>
  <c r="BY195" i="12"/>
  <c r="BY206" i="12"/>
  <c r="AD201" i="12"/>
  <c r="AD203" i="12"/>
  <c r="AD205" i="12"/>
  <c r="CS15" i="12"/>
  <c r="CS17" i="12"/>
  <c r="CO17" i="12" s="1"/>
  <c r="DH6" i="12"/>
  <c r="DH12" i="12"/>
  <c r="DH17" i="12"/>
  <c r="CS57" i="12"/>
  <c r="CO57" i="12" s="1"/>
  <c r="C44" i="11" s="1"/>
  <c r="DA19" i="12"/>
  <c r="CZ19" i="12" s="1"/>
  <c r="CS20" i="12"/>
  <c r="DA21" i="12"/>
  <c r="CZ21" i="12" s="1"/>
  <c r="CS22" i="12"/>
  <c r="DA23" i="12"/>
  <c r="CZ23" i="12" s="1"/>
  <c r="CS24" i="12"/>
  <c r="DA25" i="12"/>
  <c r="CZ25" i="12" s="1"/>
  <c r="CS26" i="12"/>
  <c r="CS31" i="12"/>
  <c r="CO31" i="12" s="1"/>
  <c r="CS33" i="12"/>
  <c r="CO33" i="12" s="1"/>
  <c r="CS35" i="12"/>
  <c r="CS37" i="12"/>
  <c r="CO37" i="12" s="1"/>
  <c r="CS39" i="12"/>
  <c r="CO39" i="12" s="1"/>
  <c r="DH50" i="12"/>
  <c r="DA55" i="12"/>
  <c r="CZ55" i="12" s="1"/>
  <c r="CP20" i="12"/>
  <c r="CP22" i="12"/>
  <c r="CP24" i="12"/>
  <c r="CP26" i="12"/>
  <c r="CP30" i="12"/>
  <c r="CP34" i="12"/>
  <c r="CP38" i="12"/>
  <c r="CS53" i="12"/>
  <c r="CO53" i="12" s="1"/>
  <c r="DH30" i="12"/>
  <c r="DH34" i="12"/>
  <c r="DH38" i="12"/>
  <c r="CP41" i="12"/>
  <c r="CO41" i="12" s="1"/>
  <c r="CP43" i="12"/>
  <c r="CP45" i="12"/>
  <c r="CO45" i="12" s="1"/>
  <c r="CP47" i="12"/>
  <c r="CO47" i="12" s="1"/>
  <c r="CP49" i="12"/>
  <c r="CO49" i="12" s="1"/>
  <c r="CS55" i="12"/>
  <c r="DH56" i="12"/>
  <c r="CP56" i="12"/>
  <c r="CO56" i="12" s="1"/>
  <c r="DH69" i="12"/>
  <c r="CS71" i="12"/>
  <c r="DA86" i="12"/>
  <c r="CZ86" i="12" s="1"/>
  <c r="CP59" i="12"/>
  <c r="CO59" i="12" s="1"/>
  <c r="CP61" i="12"/>
  <c r="CP63" i="12"/>
  <c r="CO63" i="12" s="1"/>
  <c r="CO65" i="12"/>
  <c r="DH70" i="12"/>
  <c r="CP78" i="12"/>
  <c r="CO78" i="12" s="1"/>
  <c r="CO66" i="12"/>
  <c r="CP68" i="12"/>
  <c r="CO68" i="12" s="1"/>
  <c r="DH71" i="12"/>
  <c r="DH78" i="12"/>
  <c r="DH68" i="12"/>
  <c r="CS70" i="12"/>
  <c r="DA72" i="12"/>
  <c r="CZ72" i="12" s="1"/>
  <c r="DH81" i="12"/>
  <c r="DH85" i="12"/>
  <c r="CS91" i="12"/>
  <c r="CO91" i="12" s="1"/>
  <c r="DA92" i="12"/>
  <c r="CZ92" i="12" s="1"/>
  <c r="CS93" i="12"/>
  <c r="CO93" i="12" s="1"/>
  <c r="DA94" i="12"/>
  <c r="CZ94" i="12" s="1"/>
  <c r="CS95" i="12"/>
  <c r="CO95" i="12" s="1"/>
  <c r="DH103" i="12"/>
  <c r="DH119" i="12"/>
  <c r="DA88" i="12"/>
  <c r="CZ88" i="12" s="1"/>
  <c r="CS89" i="12"/>
  <c r="CO89" i="12" s="1"/>
  <c r="DH94" i="12"/>
  <c r="CO97" i="12"/>
  <c r="CO105" i="12"/>
  <c r="CO107" i="12"/>
  <c r="CO111" i="12"/>
  <c r="CO113" i="12"/>
  <c r="CS116" i="12"/>
  <c r="DA117" i="12"/>
  <c r="CZ117" i="12" s="1"/>
  <c r="CP98" i="12"/>
  <c r="CP100" i="12"/>
  <c r="DH104" i="12"/>
  <c r="DH108" i="12"/>
  <c r="DH112" i="12"/>
  <c r="CP116" i="12"/>
  <c r="DH130" i="12"/>
  <c r="DH144" i="12"/>
  <c r="CP125" i="12"/>
  <c r="CO125" i="12" s="1"/>
  <c r="CP127" i="12"/>
  <c r="CO127" i="12" s="1"/>
  <c r="CP129" i="12"/>
  <c r="CP131" i="12"/>
  <c r="DH142" i="12"/>
  <c r="DH143" i="12"/>
  <c r="CP143" i="12"/>
  <c r="CP145" i="12"/>
  <c r="CO145" i="12" s="1"/>
  <c r="CP147" i="12"/>
  <c r="CP149" i="12"/>
  <c r="CO149" i="12" s="1"/>
  <c r="CP151" i="12"/>
  <c r="CP153" i="12"/>
  <c r="CO153" i="12" s="1"/>
  <c r="DH147" i="12"/>
  <c r="DH151" i="12"/>
  <c r="DA154" i="12"/>
  <c r="CZ154" i="12" s="1"/>
  <c r="CO174" i="12"/>
  <c r="CS180" i="12"/>
  <c r="CO180" i="12" s="1"/>
  <c r="CP155" i="12"/>
  <c r="CP157" i="12"/>
  <c r="CP159" i="12"/>
  <c r="CO159" i="12" s="1"/>
  <c r="CP163" i="12"/>
  <c r="CO163" i="12" s="1"/>
  <c r="CO165" i="12"/>
  <c r="CP167" i="12"/>
  <c r="CO167" i="12" s="1"/>
  <c r="CO169" i="12"/>
  <c r="CP171" i="12"/>
  <c r="DH163" i="12"/>
  <c r="DH167" i="12"/>
  <c r="DH171" i="12"/>
  <c r="CS177" i="12"/>
  <c r="CS186" i="12"/>
  <c r="CO186" i="12" s="1"/>
  <c r="DH179" i="12"/>
  <c r="CS181" i="12"/>
  <c r="CO181" i="12" s="1"/>
  <c r="DA182" i="12"/>
  <c r="CZ182" i="12" s="1"/>
  <c r="CS183" i="12"/>
  <c r="CO183" i="12" s="1"/>
  <c r="DA184" i="12"/>
  <c r="CZ184" i="12" s="1"/>
  <c r="CS185" i="12"/>
  <c r="CO185" i="12" s="1"/>
  <c r="DA192" i="12"/>
  <c r="CZ192" i="12" s="1"/>
  <c r="DH193" i="12"/>
  <c r="CS195" i="12"/>
  <c r="CO195" i="12" s="1"/>
  <c r="CS201" i="12"/>
  <c r="CO201" i="12" s="1"/>
  <c r="DH194" i="12"/>
  <c r="CS196" i="12"/>
  <c r="CS203" i="12"/>
  <c r="CO203" i="12" s="1"/>
  <c r="CO191" i="12"/>
  <c r="DA197" i="12"/>
  <c r="CZ197" i="12" s="1"/>
  <c r="DH192" i="12"/>
  <c r="CS194" i="12"/>
  <c r="DH199" i="12"/>
  <c r="DH208" i="12"/>
  <c r="DH205" i="12"/>
  <c r="DA207" i="12"/>
  <c r="CZ207" i="12" s="1"/>
  <c r="DA205" i="12"/>
  <c r="CZ205" i="12" s="1"/>
  <c r="CP209" i="12"/>
  <c r="CP211" i="12"/>
  <c r="DH215" i="12"/>
  <c r="DH224" i="12"/>
  <c r="CP221" i="12"/>
  <c r="CP223" i="12"/>
  <c r="CO223" i="12" s="1"/>
  <c r="CP231" i="12"/>
  <c r="CS225" i="12"/>
  <c r="CO225" i="12" s="1"/>
  <c r="DA226" i="12"/>
  <c r="CZ226" i="12" s="1"/>
  <c r="CS227" i="12"/>
  <c r="CO227" i="12" s="1"/>
  <c r="DA228" i="12"/>
  <c r="CZ228" i="12" s="1"/>
  <c r="CS229" i="12"/>
  <c r="DA230" i="12"/>
  <c r="CZ230" i="12" s="1"/>
  <c r="CS231" i="12"/>
  <c r="DA232" i="12"/>
  <c r="CZ232" i="12" s="1"/>
  <c r="CS233" i="12"/>
  <c r="CO233" i="12" s="1"/>
  <c r="DA234" i="12"/>
  <c r="CZ234" i="12" s="1"/>
  <c r="CS235" i="12"/>
  <c r="DA236" i="12"/>
  <c r="CZ236" i="12" s="1"/>
  <c r="CS238" i="12"/>
  <c r="CO238" i="12" s="1"/>
  <c r="DA239" i="12"/>
  <c r="CZ239" i="12" s="1"/>
  <c r="CS240" i="12"/>
  <c r="CO240" i="12" s="1"/>
  <c r="AD243" i="12"/>
  <c r="AD30" i="12"/>
  <c r="AD32" i="12"/>
  <c r="AD34" i="12"/>
  <c r="AD36" i="12"/>
  <c r="AD38" i="12"/>
  <c r="AD29" i="12"/>
  <c r="AD47" i="12"/>
  <c r="AD49" i="12"/>
  <c r="AD58" i="12"/>
  <c r="AD61" i="12"/>
  <c r="BY51" i="12"/>
  <c r="BY53" i="12"/>
  <c r="AD211" i="12"/>
  <c r="AD212" i="12"/>
  <c r="AD214" i="12"/>
  <c r="AD216" i="12"/>
  <c r="BY225" i="12"/>
  <c r="BY219" i="12"/>
  <c r="BY221" i="12"/>
  <c r="BY223" i="12"/>
  <c r="BY226" i="12"/>
  <c r="AD230" i="12"/>
  <c r="AD228" i="12"/>
  <c r="BY232" i="12"/>
  <c r="AD236" i="12"/>
  <c r="AD238" i="12"/>
  <c r="AD7" i="12"/>
  <c r="BY12" i="12"/>
  <c r="BY16" i="12"/>
  <c r="BY18" i="12"/>
  <c r="AD21" i="12"/>
  <c r="AD9" i="12"/>
  <c r="BY22" i="12"/>
  <c r="AD8" i="12"/>
  <c r="AD13" i="12"/>
  <c r="AD39" i="12"/>
  <c r="AD41" i="12"/>
  <c r="AD43" i="12"/>
  <c r="AD45" i="12"/>
  <c r="BY132" i="12"/>
  <c r="AD142" i="12"/>
  <c r="BY151" i="12"/>
  <c r="BY140" i="12"/>
  <c r="BY147" i="12"/>
  <c r="BY133" i="12"/>
  <c r="BY135" i="12"/>
  <c r="BY138" i="12"/>
  <c r="BY144" i="12"/>
  <c r="AD151" i="12"/>
  <c r="BY142" i="12"/>
  <c r="BY150" i="12"/>
  <c r="AD156" i="12"/>
  <c r="AD158" i="12"/>
  <c r="AD160" i="12"/>
  <c r="AD162" i="12"/>
  <c r="AD164" i="12"/>
  <c r="AD166" i="12"/>
  <c r="AD168" i="12"/>
  <c r="AD170" i="12"/>
  <c r="AD172" i="12"/>
  <c r="DT109" i="12" l="1"/>
  <c r="C47" i="11"/>
  <c r="CO69" i="12"/>
  <c r="CO211" i="12"/>
  <c r="CO15" i="12"/>
  <c r="CO16" i="12"/>
  <c r="CO119" i="12"/>
  <c r="CO197" i="12"/>
  <c r="CO29" i="12"/>
  <c r="CO219" i="12"/>
  <c r="CO236" i="12"/>
  <c r="CO139" i="12"/>
  <c r="CO205" i="12"/>
  <c r="CO5" i="12"/>
  <c r="CO147" i="12"/>
  <c r="CO100" i="12"/>
  <c r="CO34" i="12"/>
  <c r="CO216" i="12"/>
  <c r="CO152" i="12"/>
  <c r="DT143" i="12"/>
  <c r="CO151" i="12"/>
  <c r="CO143" i="12"/>
  <c r="CO204" i="12"/>
  <c r="CO36" i="12"/>
  <c r="CO209" i="12"/>
  <c r="DT174" i="12"/>
  <c r="CO134" i="12"/>
  <c r="CO82" i="12"/>
  <c r="CO221" i="12"/>
  <c r="CO98" i="12"/>
  <c r="CO215" i="12"/>
  <c r="CO101" i="12"/>
  <c r="CO115" i="12"/>
  <c r="CO73" i="12"/>
  <c r="CO133" i="12"/>
  <c r="CO148" i="12"/>
  <c r="CO13" i="12"/>
  <c r="CO232" i="12"/>
  <c r="AD57" i="12"/>
  <c r="C31" i="11"/>
  <c r="CO74" i="12"/>
  <c r="DT128" i="12"/>
  <c r="CO18" i="12"/>
  <c r="CO208" i="12"/>
  <c r="CO114" i="12"/>
  <c r="CO32" i="12"/>
  <c r="CO94" i="12"/>
  <c r="CO243" i="12"/>
  <c r="CO11" i="12"/>
  <c r="CO72" i="12"/>
  <c r="CO202" i="12"/>
  <c r="CO26" i="12"/>
  <c r="DT139" i="12"/>
  <c r="CO140" i="12"/>
  <c r="CO214" i="12"/>
  <c r="CO168" i="12"/>
  <c r="CO182" i="12"/>
  <c r="CO142" i="12"/>
  <c r="DM73" i="12"/>
  <c r="DL73" i="12" s="1"/>
  <c r="DM115" i="12"/>
  <c r="DM74" i="12"/>
  <c r="DM207" i="12"/>
  <c r="DM30" i="12"/>
  <c r="DL30" i="12" s="1"/>
  <c r="DM179" i="12"/>
  <c r="DL179" i="12" s="1"/>
  <c r="DM20" i="12"/>
  <c r="DM26" i="12"/>
  <c r="DM11" i="12"/>
  <c r="DL11" i="12" s="1"/>
  <c r="DM5" i="12"/>
  <c r="DL5" i="12" s="1"/>
  <c r="DM17" i="12"/>
  <c r="DM40" i="12"/>
  <c r="DL40" i="12" s="1"/>
  <c r="DM44" i="12"/>
  <c r="DL44" i="12" s="1"/>
  <c r="DM48" i="12"/>
  <c r="DL48" i="12" s="1"/>
  <c r="DM52" i="12"/>
  <c r="DM62" i="12"/>
  <c r="DL62" i="12" s="1"/>
  <c r="DM31" i="12"/>
  <c r="DM35" i="12"/>
  <c r="DL35" i="12" s="1"/>
  <c r="DX35" i="12" s="1"/>
  <c r="DM39" i="12"/>
  <c r="DM86" i="12"/>
  <c r="DL86" i="12" s="1"/>
  <c r="DM65" i="12"/>
  <c r="DL65" i="12" s="1"/>
  <c r="DM67" i="12"/>
  <c r="DL67" i="12" s="1"/>
  <c r="DM81" i="12"/>
  <c r="DM85" i="12"/>
  <c r="DL85" i="12" s="1"/>
  <c r="DM122" i="12"/>
  <c r="DL122" i="12" s="1"/>
  <c r="DM118" i="12"/>
  <c r="DL118" i="12" s="1"/>
  <c r="DX118" i="12" s="1"/>
  <c r="DM128" i="12"/>
  <c r="DM93" i="12"/>
  <c r="DL93" i="12" s="1"/>
  <c r="DM123" i="12"/>
  <c r="DL123" i="12" s="1"/>
  <c r="DM134" i="12"/>
  <c r="DL134" i="12" s="1"/>
  <c r="DM106" i="12"/>
  <c r="DM110" i="12"/>
  <c r="DL110" i="12" s="1"/>
  <c r="DM133" i="12"/>
  <c r="DL133" i="12" s="1"/>
  <c r="DM144" i="12"/>
  <c r="DL144" i="12" s="1"/>
  <c r="DM138" i="12"/>
  <c r="DM140" i="12"/>
  <c r="DL140" i="12" s="1"/>
  <c r="DX140" i="12" s="1"/>
  <c r="DM157" i="12"/>
  <c r="DL157" i="12" s="1"/>
  <c r="DM160" i="12"/>
  <c r="DL160" i="12" s="1"/>
  <c r="DM149" i="12"/>
  <c r="DM153" i="12"/>
  <c r="DL153" i="12" s="1"/>
  <c r="DX153" i="12" s="1"/>
  <c r="DM172" i="12"/>
  <c r="DL172" i="12" s="1"/>
  <c r="DM164" i="12"/>
  <c r="DL164" i="12" s="1"/>
  <c r="DM168" i="12"/>
  <c r="DM173" i="12"/>
  <c r="DL173" i="12" s="1"/>
  <c r="DM182" i="12"/>
  <c r="DL182" i="12" s="1"/>
  <c r="DM186" i="12"/>
  <c r="DL186" i="12" s="1"/>
  <c r="DM189" i="12"/>
  <c r="DM190" i="12"/>
  <c r="DL190" i="12" s="1"/>
  <c r="DX190" i="12" s="1"/>
  <c r="DM200" i="12"/>
  <c r="DM196" i="12"/>
  <c r="DL196" i="12" s="1"/>
  <c r="DM203" i="12"/>
  <c r="DM210" i="12"/>
  <c r="DL210" i="12" s="1"/>
  <c r="DM213" i="12"/>
  <c r="DL213" i="12" s="1"/>
  <c r="DM217" i="12"/>
  <c r="DL217" i="12" s="1"/>
  <c r="DM223" i="12"/>
  <c r="DM230" i="12"/>
  <c r="DL230" i="12" s="1"/>
  <c r="DM231" i="12"/>
  <c r="DL231" i="12" s="1"/>
  <c r="DM235" i="12"/>
  <c r="DL235" i="12" s="1"/>
  <c r="DM241" i="12"/>
  <c r="CO7" i="12"/>
  <c r="CO218" i="12"/>
  <c r="CO9" i="12"/>
  <c r="CO178" i="12"/>
  <c r="CO90" i="12"/>
  <c r="CO43" i="12"/>
  <c r="CO110" i="12"/>
  <c r="CO88" i="12"/>
  <c r="CO19" i="12"/>
  <c r="DM89" i="12"/>
  <c r="DL89" i="12" s="1"/>
  <c r="DM103" i="12"/>
  <c r="DL103" i="12" s="1"/>
  <c r="DM54" i="12"/>
  <c r="DM178" i="12"/>
  <c r="DL178" i="12" s="1"/>
  <c r="DM116" i="12"/>
  <c r="DL116" i="12" s="1"/>
  <c r="DM88" i="12"/>
  <c r="DL88" i="12" s="1"/>
  <c r="DM21" i="12"/>
  <c r="DM6" i="12"/>
  <c r="DL6" i="12" s="1"/>
  <c r="DM12" i="12"/>
  <c r="DL12" i="12" s="1"/>
  <c r="DM9" i="12"/>
  <c r="DL9" i="12" s="1"/>
  <c r="DM18" i="12"/>
  <c r="DM41" i="12"/>
  <c r="DL41" i="12" s="1"/>
  <c r="DM45" i="12"/>
  <c r="DL45" i="12" s="1"/>
  <c r="DM49" i="12"/>
  <c r="DL49" i="12" s="1"/>
  <c r="DM53" i="12"/>
  <c r="DM56" i="12"/>
  <c r="DL56" i="12" s="1"/>
  <c r="DX56" i="12" s="1"/>
  <c r="DM32" i="12"/>
  <c r="DL32" i="12" s="1"/>
  <c r="DM36" i="12"/>
  <c r="DL36" i="12" s="1"/>
  <c r="DX36" i="12" s="1"/>
  <c r="DM60" i="12"/>
  <c r="DM87" i="12"/>
  <c r="DL87" i="12" s="1"/>
  <c r="DM71" i="12"/>
  <c r="DM68" i="12"/>
  <c r="DL68" i="12" s="1"/>
  <c r="DX68" i="12" s="1"/>
  <c r="DM82" i="12"/>
  <c r="DM98" i="12"/>
  <c r="DM90" i="12"/>
  <c r="DL90" i="12" s="1"/>
  <c r="DM119" i="12"/>
  <c r="DL119" i="12" s="1"/>
  <c r="DX119" i="12" s="1"/>
  <c r="DM129" i="12"/>
  <c r="DM94" i="12"/>
  <c r="DL94" i="12" s="1"/>
  <c r="DM124" i="12"/>
  <c r="DL124" i="12" s="1"/>
  <c r="DM96" i="12"/>
  <c r="DL96" i="12" s="1"/>
  <c r="DX96" i="12" s="1"/>
  <c r="DM107" i="12"/>
  <c r="DM111" i="12"/>
  <c r="DL111" i="12" s="1"/>
  <c r="DX111" i="12" s="1"/>
  <c r="DM130" i="12"/>
  <c r="DL130" i="12" s="1"/>
  <c r="DM135" i="12"/>
  <c r="DL135" i="12" s="1"/>
  <c r="DM142" i="12"/>
  <c r="DM141" i="12"/>
  <c r="DL141" i="12" s="1"/>
  <c r="DM154" i="12"/>
  <c r="DM146" i="12"/>
  <c r="DL146" i="12" s="1"/>
  <c r="DX146" i="12" s="1"/>
  <c r="DM150" i="12"/>
  <c r="DM158" i="12"/>
  <c r="DM161" i="12"/>
  <c r="DL161" i="12" s="1"/>
  <c r="DM165" i="12"/>
  <c r="DL165" i="12" s="1"/>
  <c r="DM169" i="12"/>
  <c r="DM175" i="12"/>
  <c r="DM183" i="12"/>
  <c r="DL183" i="12" s="1"/>
  <c r="DM180" i="12"/>
  <c r="DL180" i="12" s="1"/>
  <c r="DM193" i="12"/>
  <c r="DM195" i="12"/>
  <c r="DM201" i="12"/>
  <c r="DL201" i="12" s="1"/>
  <c r="DM208" i="12"/>
  <c r="DL208" i="12" s="1"/>
  <c r="DM204" i="12"/>
  <c r="DM211" i="12"/>
  <c r="DM214" i="12"/>
  <c r="DL214" i="12" s="1"/>
  <c r="DM219" i="12"/>
  <c r="DL219" i="12" s="1"/>
  <c r="DM224" i="12"/>
  <c r="DM227" i="12"/>
  <c r="DM232" i="12"/>
  <c r="DL232" i="12" s="1"/>
  <c r="DM236" i="12"/>
  <c r="DL236" i="12" s="1"/>
  <c r="DM239" i="12"/>
  <c r="CO8" i="12"/>
  <c r="CO226" i="12"/>
  <c r="CO117" i="12"/>
  <c r="CO25" i="12"/>
  <c r="DM75" i="12"/>
  <c r="DM104" i="12"/>
  <c r="DM206" i="12"/>
  <c r="DM78" i="12"/>
  <c r="DM55" i="12"/>
  <c r="DM114" i="12"/>
  <c r="DM7" i="12"/>
  <c r="DM22" i="12"/>
  <c r="DM8" i="12"/>
  <c r="DM13" i="12"/>
  <c r="DM15" i="12"/>
  <c r="DM27" i="12"/>
  <c r="DM42" i="12"/>
  <c r="DM46" i="12"/>
  <c r="DM50" i="12"/>
  <c r="DM59" i="12"/>
  <c r="DM61" i="12"/>
  <c r="DM33" i="12"/>
  <c r="DM37" i="12"/>
  <c r="DM64" i="12"/>
  <c r="DM57" i="12"/>
  <c r="C46" i="11" s="1"/>
  <c r="DM76" i="12"/>
  <c r="DM79" i="12"/>
  <c r="DM83" i="12"/>
  <c r="DM99" i="12"/>
  <c r="DM101" i="12"/>
  <c r="DM120" i="12"/>
  <c r="DM91" i="12"/>
  <c r="DM95" i="12"/>
  <c r="DM125" i="12"/>
  <c r="DM97" i="12"/>
  <c r="DM108" i="12"/>
  <c r="DM112" i="12"/>
  <c r="DM131" i="12"/>
  <c r="DM136" i="12"/>
  <c r="DM143" i="12"/>
  <c r="DM145" i="12"/>
  <c r="DM155" i="12"/>
  <c r="DM147" i="12"/>
  <c r="DM151" i="12"/>
  <c r="DM177" i="12"/>
  <c r="DM162" i="12"/>
  <c r="DM166" i="12"/>
  <c r="DM170" i="12"/>
  <c r="DM176" i="12"/>
  <c r="DM184" i="12"/>
  <c r="DM187" i="12"/>
  <c r="DM197" i="12"/>
  <c r="DM198" i="12"/>
  <c r="DM191" i="12"/>
  <c r="DM209" i="12"/>
  <c r="DM205" i="12"/>
  <c r="DM218" i="12"/>
  <c r="DM215" i="12"/>
  <c r="DM221" i="12"/>
  <c r="DM226" i="12"/>
  <c r="DM228" i="12"/>
  <c r="DM233" i="12"/>
  <c r="CO206" i="12"/>
  <c r="CO27" i="12"/>
  <c r="CO188" i="12"/>
  <c r="CO76" i="12"/>
  <c r="CO161" i="12"/>
  <c r="CO157" i="12"/>
  <c r="CO131" i="12"/>
  <c r="CO210" i="12"/>
  <c r="CO164" i="12"/>
  <c r="CO81" i="12"/>
  <c r="CO86" i="12"/>
  <c r="CO239" i="12"/>
  <c r="CO144" i="12"/>
  <c r="CO136" i="12"/>
  <c r="CO192" i="12"/>
  <c r="CO235" i="12"/>
  <c r="CO196" i="12"/>
  <c r="CO171" i="12"/>
  <c r="CO155" i="12"/>
  <c r="CO129" i="12"/>
  <c r="CO61" i="12"/>
  <c r="CO35" i="12"/>
  <c r="CO38" i="12"/>
  <c r="CO30" i="12"/>
  <c r="CO85" i="12"/>
  <c r="CO75" i="12"/>
  <c r="CO156" i="12"/>
  <c r="DT17" i="12"/>
  <c r="DT66" i="12"/>
  <c r="DT100" i="12"/>
  <c r="DT102" i="12"/>
  <c r="CO242" i="12"/>
  <c r="DT22" i="12"/>
  <c r="DT26" i="12"/>
  <c r="DT29" i="12"/>
  <c r="DT131" i="12"/>
  <c r="DT191" i="12"/>
  <c r="DT228" i="12"/>
  <c r="DT234" i="12"/>
  <c r="DT242" i="12"/>
  <c r="DT41" i="12"/>
  <c r="DT45" i="12"/>
  <c r="DT49" i="12"/>
  <c r="DT79" i="12"/>
  <c r="DT83" i="12"/>
  <c r="DT117" i="12"/>
  <c r="DT123" i="12"/>
  <c r="DT134" i="12"/>
  <c r="DT138" i="12"/>
  <c r="DT141" i="12"/>
  <c r="DT154" i="12"/>
  <c r="DT159" i="12"/>
  <c r="DT163" i="12"/>
  <c r="DT167" i="12"/>
  <c r="DT171" i="12"/>
  <c r="DT172" i="12"/>
  <c r="DT182" i="12"/>
  <c r="DT195" i="12"/>
  <c r="DT203" i="12"/>
  <c r="DT211" i="12"/>
  <c r="DT215" i="12"/>
  <c r="DT220" i="12"/>
  <c r="DT224" i="12"/>
  <c r="DT238" i="12"/>
  <c r="CO12" i="12"/>
  <c r="CO23" i="12"/>
  <c r="CO20" i="12"/>
  <c r="DT11" i="12"/>
  <c r="DT43" i="12"/>
  <c r="DT47" i="12"/>
  <c r="DT60" i="12"/>
  <c r="DT81" i="12"/>
  <c r="DT85" i="12"/>
  <c r="DT76" i="12"/>
  <c r="DT89" i="12"/>
  <c r="DT151" i="12"/>
  <c r="DT136" i="12"/>
  <c r="DT161" i="12"/>
  <c r="DT165" i="12"/>
  <c r="DT169" i="12"/>
  <c r="DT188" i="12"/>
  <c r="DT184" i="12"/>
  <c r="DT209" i="12"/>
  <c r="DT213" i="12"/>
  <c r="DT230" i="12"/>
  <c r="CO231" i="12"/>
  <c r="DT21" i="12"/>
  <c r="DT25" i="12"/>
  <c r="DT28" i="12"/>
  <c r="CS244" i="12"/>
  <c r="CO175" i="12"/>
  <c r="CO116" i="12"/>
  <c r="CO22" i="12"/>
  <c r="DT6" i="12"/>
  <c r="DT42" i="12"/>
  <c r="DT46" i="12"/>
  <c r="DT58" i="12"/>
  <c r="DT68" i="12"/>
  <c r="DT80" i="12"/>
  <c r="DT84" i="12"/>
  <c r="DT98" i="12"/>
  <c r="DT115" i="12"/>
  <c r="CO193" i="12"/>
  <c r="CO124" i="12"/>
  <c r="CO173" i="12"/>
  <c r="DT16" i="12"/>
  <c r="DT20" i="12"/>
  <c r="DT24" i="12"/>
  <c r="DT27" i="12"/>
  <c r="DT59" i="12"/>
  <c r="DT50" i="12"/>
  <c r="DT62" i="12"/>
  <c r="DT99" i="12"/>
  <c r="DT86" i="12"/>
  <c r="DT90" i="12"/>
  <c r="DT101" i="12"/>
  <c r="DT94" i="12"/>
  <c r="DT114" i="12"/>
  <c r="DT150" i="12"/>
  <c r="DT149" i="12"/>
  <c r="DT157" i="12"/>
  <c r="DT196" i="12"/>
  <c r="DT207" i="12"/>
  <c r="DT218" i="12"/>
  <c r="DT222" i="12"/>
  <c r="DT227" i="12"/>
  <c r="DT236" i="12"/>
  <c r="DT240" i="12"/>
  <c r="DX240" i="12" s="1"/>
  <c r="DT241" i="12"/>
  <c r="CO24" i="12"/>
  <c r="DT18" i="12"/>
  <c r="DT9" i="12"/>
  <c r="DT14" i="12"/>
  <c r="DT54" i="12"/>
  <c r="DT57" i="12"/>
  <c r="C50" i="11" s="1"/>
  <c r="DT52" i="12"/>
  <c r="DT67" i="12"/>
  <c r="DT69" i="12"/>
  <c r="DT64" i="12"/>
  <c r="DT78" i="12"/>
  <c r="DT92" i="12"/>
  <c r="DT148" i="12"/>
  <c r="DT155" i="12"/>
  <c r="DT175" i="12"/>
  <c r="DT177" i="12"/>
  <c r="DT192" i="12"/>
  <c r="DT199" i="12"/>
  <c r="DT229" i="12"/>
  <c r="DT235" i="12"/>
  <c r="DT243" i="12"/>
  <c r="CO229" i="12"/>
  <c r="CO194" i="12"/>
  <c r="CO177" i="12"/>
  <c r="CO71" i="12"/>
  <c r="CO132" i="12"/>
  <c r="CO108" i="12"/>
  <c r="CO60" i="12"/>
  <c r="CO55" i="12"/>
  <c r="CO46" i="12"/>
  <c r="CO21" i="12"/>
  <c r="DN244" i="12"/>
  <c r="DO244" i="12"/>
  <c r="DO247" i="12" s="1"/>
  <c r="DL75" i="12"/>
  <c r="DL104" i="12"/>
  <c r="DL206" i="12"/>
  <c r="DX206" i="12" s="1"/>
  <c r="DL78" i="12"/>
  <c r="DL55" i="12"/>
  <c r="DL114" i="12"/>
  <c r="DL7" i="12"/>
  <c r="DL22" i="12"/>
  <c r="DL8" i="12"/>
  <c r="DL13" i="12"/>
  <c r="DL15" i="12"/>
  <c r="DL27" i="12"/>
  <c r="DL42" i="12"/>
  <c r="DL46" i="12"/>
  <c r="DL50" i="12"/>
  <c r="DL59" i="12"/>
  <c r="DX59" i="12" s="1"/>
  <c r="DL61" i="12"/>
  <c r="DL33" i="12"/>
  <c r="DX33" i="12" s="1"/>
  <c r="DL37" i="12"/>
  <c r="DX37" i="12" s="1"/>
  <c r="DL64" i="12"/>
  <c r="DL57" i="12"/>
  <c r="DX57" i="12" s="1"/>
  <c r="DL76" i="12"/>
  <c r="DL79" i="12"/>
  <c r="DX79" i="12" s="1"/>
  <c r="DL83" i="12"/>
  <c r="DL99" i="12"/>
  <c r="DL101" i="12"/>
  <c r="DX101" i="12" s="1"/>
  <c r="DL120" i="12"/>
  <c r="DX120" i="12" s="1"/>
  <c r="DL91" i="12"/>
  <c r="DL95" i="12"/>
  <c r="DL125" i="12"/>
  <c r="DX125" i="12" s="1"/>
  <c r="DL97" i="12"/>
  <c r="DX97" i="12" s="1"/>
  <c r="DL108" i="12"/>
  <c r="DL112" i="12"/>
  <c r="DL131" i="12"/>
  <c r="DL136" i="12"/>
  <c r="DL143" i="12"/>
  <c r="DL145" i="12"/>
  <c r="DX145" i="12" s="1"/>
  <c r="DL155" i="12"/>
  <c r="DL147" i="12"/>
  <c r="DX147" i="12" s="1"/>
  <c r="DL151" i="12"/>
  <c r="DL177" i="12"/>
  <c r="DL162" i="12"/>
  <c r="DL166" i="12"/>
  <c r="DL170" i="12"/>
  <c r="DL176" i="12"/>
  <c r="DL184" i="12"/>
  <c r="DL187" i="12"/>
  <c r="DL197" i="12"/>
  <c r="DL198" i="12"/>
  <c r="DL191" i="12"/>
  <c r="DL209" i="12"/>
  <c r="DX209" i="12" s="1"/>
  <c r="DL205" i="12"/>
  <c r="DX205" i="12" s="1"/>
  <c r="DL218" i="12"/>
  <c r="DL215" i="12"/>
  <c r="DL221" i="12"/>
  <c r="DL226" i="12"/>
  <c r="DL228" i="12"/>
  <c r="DX228" i="12" s="1"/>
  <c r="DL233" i="12"/>
  <c r="DX233" i="12" s="1"/>
  <c r="DL237" i="12"/>
  <c r="DT15" i="12"/>
  <c r="DT7" i="12"/>
  <c r="DT10" i="12"/>
  <c r="DT19" i="12"/>
  <c r="DT23" i="12"/>
  <c r="DT61" i="12"/>
  <c r="DT53" i="12"/>
  <c r="DT65" i="12"/>
  <c r="DT75" i="12"/>
  <c r="DT88" i="12"/>
  <c r="DT122" i="12"/>
  <c r="DT132" i="12"/>
  <c r="DT93" i="12"/>
  <c r="DT142" i="12"/>
  <c r="DT135" i="12"/>
  <c r="DT152" i="12"/>
  <c r="DT156" i="12"/>
  <c r="DT160" i="12"/>
  <c r="DT164" i="12"/>
  <c r="DT168" i="12"/>
  <c r="DT173" i="12"/>
  <c r="DT176" i="12"/>
  <c r="DT187" i="12"/>
  <c r="DT183" i="12"/>
  <c r="DT178" i="12"/>
  <c r="DT197" i="12"/>
  <c r="DT194" i="12"/>
  <c r="DT208" i="12"/>
  <c r="DT200" i="12"/>
  <c r="DT204" i="12"/>
  <c r="DT212" i="12"/>
  <c r="DT216" i="12"/>
  <c r="DT217" i="12"/>
  <c r="DT221" i="12"/>
  <c r="DT225" i="12"/>
  <c r="DT226" i="12"/>
  <c r="DT231" i="12"/>
  <c r="DT239" i="12"/>
  <c r="DH244" i="12"/>
  <c r="BY244" i="12"/>
  <c r="AE244" i="12"/>
  <c r="AD5" i="12"/>
  <c r="CO224" i="12"/>
  <c r="CO130" i="12"/>
  <c r="CO58" i="12"/>
  <c r="CO44" i="12"/>
  <c r="DL117" i="12"/>
  <c r="DL72" i="12"/>
  <c r="DL77" i="12"/>
  <c r="DL243" i="12"/>
  <c r="DL29" i="12"/>
  <c r="DL242" i="12"/>
  <c r="DL19" i="12"/>
  <c r="DL23" i="12"/>
  <c r="DL10" i="12"/>
  <c r="DL14" i="12"/>
  <c r="DL16" i="12"/>
  <c r="DL28" i="12"/>
  <c r="DL43" i="12"/>
  <c r="DL47" i="12"/>
  <c r="DX47" i="12" s="1"/>
  <c r="DL51" i="12"/>
  <c r="DL58" i="12"/>
  <c r="DL63" i="12"/>
  <c r="DL34" i="12"/>
  <c r="DX34" i="12" s="1"/>
  <c r="DL38" i="12"/>
  <c r="DL69" i="12"/>
  <c r="DL70" i="12"/>
  <c r="DL66" i="12"/>
  <c r="DL80" i="12"/>
  <c r="DL84" i="12"/>
  <c r="DL100" i="12"/>
  <c r="DX100" i="12" s="1"/>
  <c r="DL102" i="12"/>
  <c r="DL127" i="12"/>
  <c r="DX127" i="12" s="1"/>
  <c r="DL92" i="12"/>
  <c r="DL121" i="12"/>
  <c r="DX121" i="12" s="1"/>
  <c r="DL126" i="12"/>
  <c r="DL105" i="12"/>
  <c r="DX105" i="12" s="1"/>
  <c r="DL109" i="12"/>
  <c r="DX109" i="12" s="1"/>
  <c r="DL113" i="12"/>
  <c r="DX113" i="12" s="1"/>
  <c r="DL132" i="12"/>
  <c r="DL137" i="12"/>
  <c r="DL139" i="12"/>
  <c r="DX139" i="12" s="1"/>
  <c r="DL156" i="12"/>
  <c r="DL159" i="12"/>
  <c r="DL148" i="12"/>
  <c r="DL152" i="12"/>
  <c r="DL174" i="12"/>
  <c r="DL163" i="12"/>
  <c r="DL167" i="12"/>
  <c r="DL171" i="12"/>
  <c r="DX171" i="12" s="1"/>
  <c r="DL181" i="12"/>
  <c r="DX181" i="12" s="1"/>
  <c r="DL185" i="12"/>
  <c r="DL188" i="12"/>
  <c r="DL194" i="12"/>
  <c r="DL199" i="12"/>
  <c r="DL192" i="12"/>
  <c r="DL202" i="12"/>
  <c r="DL212" i="12"/>
  <c r="DL222" i="12"/>
  <c r="DL216" i="12"/>
  <c r="DL220" i="12"/>
  <c r="DL225" i="12"/>
  <c r="DL229" i="12"/>
  <c r="DL234" i="12"/>
  <c r="DL238" i="12"/>
  <c r="DT8" i="12"/>
  <c r="DT12" i="12"/>
  <c r="DT179" i="12"/>
  <c r="DT201" i="12"/>
  <c r="CZ244" i="12"/>
  <c r="CP244" i="12"/>
  <c r="CO222" i="12"/>
  <c r="CO160" i="12"/>
  <c r="CO141" i="12"/>
  <c r="CO128" i="12"/>
  <c r="CO103" i="12"/>
  <c r="CO112" i="12"/>
  <c r="CO104" i="12"/>
  <c r="CO64" i="12"/>
  <c r="CO50" i="12"/>
  <c r="DX50" i="12" s="1"/>
  <c r="CO42" i="12"/>
  <c r="DL115" i="12"/>
  <c r="DL74" i="12"/>
  <c r="DL207" i="12"/>
  <c r="DX207" i="12" s="1"/>
  <c r="DL20" i="12"/>
  <c r="DL26" i="12"/>
  <c r="DL17" i="12"/>
  <c r="DL52" i="12"/>
  <c r="DL31" i="12"/>
  <c r="DX31" i="12" s="1"/>
  <c r="DL39" i="12"/>
  <c r="DX39" i="12" s="1"/>
  <c r="DL81" i="12"/>
  <c r="DX81" i="12" s="1"/>
  <c r="DL128" i="12"/>
  <c r="DL106" i="12"/>
  <c r="DX106" i="12" s="1"/>
  <c r="DL138" i="12"/>
  <c r="DL149" i="12"/>
  <c r="DL168" i="12"/>
  <c r="DL189" i="12"/>
  <c r="DL200" i="12"/>
  <c r="DL203" i="12"/>
  <c r="DL223" i="12"/>
  <c r="DL241" i="12"/>
  <c r="DT5" i="12"/>
  <c r="DT13" i="12"/>
  <c r="DT40" i="12"/>
  <c r="DT44" i="12"/>
  <c r="DT48" i="12"/>
  <c r="DT55" i="12"/>
  <c r="DT51" i="12"/>
  <c r="DT74" i="12"/>
  <c r="DT82" i="12"/>
  <c r="DT70" i="12"/>
  <c r="DT63" i="12"/>
  <c r="DT71" i="12"/>
  <c r="DT77" i="12"/>
  <c r="DT116" i="12"/>
  <c r="DT87" i="12"/>
  <c r="DT91" i="12"/>
  <c r="DT95" i="12"/>
  <c r="DT133" i="12"/>
  <c r="DT137" i="12"/>
  <c r="DT144" i="12"/>
  <c r="DT158" i="12"/>
  <c r="DT162" i="12"/>
  <c r="DT166" i="12"/>
  <c r="DT170" i="12"/>
  <c r="DT180" i="12"/>
  <c r="DT189" i="12"/>
  <c r="DT185" i="12"/>
  <c r="DT186" i="12"/>
  <c r="DT193" i="12"/>
  <c r="DT198" i="12"/>
  <c r="DT202" i="12"/>
  <c r="DT210" i="12"/>
  <c r="DT214" i="12"/>
  <c r="DT219" i="12"/>
  <c r="DT223" i="12"/>
  <c r="DT237" i="12"/>
  <c r="CO237" i="12"/>
  <c r="CO179" i="12"/>
  <c r="CO70" i="12"/>
  <c r="CO6" i="12"/>
  <c r="DA244" i="12"/>
  <c r="CO220" i="12"/>
  <c r="CO158" i="12"/>
  <c r="CO126" i="12"/>
  <c r="CO99" i="12"/>
  <c r="CO62" i="12"/>
  <c r="CO48" i="12"/>
  <c r="CO40" i="12"/>
  <c r="DL54" i="12"/>
  <c r="DX54" i="12" s="1"/>
  <c r="DL21" i="12"/>
  <c r="DL18" i="12"/>
  <c r="DL53" i="12"/>
  <c r="DX53" i="12" s="1"/>
  <c r="DL60" i="12"/>
  <c r="DL71" i="12"/>
  <c r="DL82" i="12"/>
  <c r="DL98" i="12"/>
  <c r="DL129" i="12"/>
  <c r="DL107" i="12"/>
  <c r="DX107" i="12" s="1"/>
  <c r="DL142" i="12"/>
  <c r="DL154" i="12"/>
  <c r="DX154" i="12" s="1"/>
  <c r="DL150" i="12"/>
  <c r="DL158" i="12"/>
  <c r="DL169" i="12"/>
  <c r="DX169" i="12" s="1"/>
  <c r="DL175" i="12"/>
  <c r="DX175" i="12" s="1"/>
  <c r="DL193" i="12"/>
  <c r="DL195" i="12"/>
  <c r="DX195" i="12" s="1"/>
  <c r="DL204" i="12"/>
  <c r="DL211" i="12"/>
  <c r="DX211" i="12" s="1"/>
  <c r="DL224" i="12"/>
  <c r="DL227" i="12"/>
  <c r="DX227" i="12" s="1"/>
  <c r="DL239" i="12"/>
  <c r="DX236" i="12" l="1"/>
  <c r="DX165" i="12"/>
  <c r="DX49" i="12"/>
  <c r="DX174" i="12"/>
  <c r="DX232" i="12"/>
  <c r="DX32" i="12"/>
  <c r="DX73" i="12"/>
  <c r="DX143" i="12"/>
  <c r="DX239" i="12"/>
  <c r="DX204" i="12"/>
  <c r="DX21" i="12"/>
  <c r="EF21" i="12" s="1"/>
  <c r="EG21" i="12" s="1"/>
  <c r="DX29" i="12"/>
  <c r="DZ29" i="12" s="1"/>
  <c r="EH29" i="12" s="1"/>
  <c r="DX131" i="12"/>
  <c r="DX90" i="12"/>
  <c r="DX45" i="12"/>
  <c r="EF45" i="12" s="1"/>
  <c r="EG45" i="12" s="1"/>
  <c r="DX89" i="12"/>
  <c r="DX26" i="12"/>
  <c r="DX203" i="12"/>
  <c r="DX43" i="12"/>
  <c r="DX94" i="12"/>
  <c r="EF94" i="12" s="1"/>
  <c r="EG94" i="12" s="1"/>
  <c r="DX46" i="12"/>
  <c r="DX74" i="12"/>
  <c r="DX168" i="12"/>
  <c r="DX52" i="12"/>
  <c r="DZ52" i="12" s="1"/>
  <c r="EH52" i="12" s="1"/>
  <c r="DX142" i="12"/>
  <c r="DX129" i="12"/>
  <c r="EF129" i="12" s="1"/>
  <c r="EG129" i="12" s="1"/>
  <c r="DX87" i="12"/>
  <c r="DZ87" i="12" s="1"/>
  <c r="EH87" i="12" s="1"/>
  <c r="DX41" i="12"/>
  <c r="DZ41" i="12" s="1"/>
  <c r="EH41" i="12" s="1"/>
  <c r="DX126" i="12"/>
  <c r="DX20" i="12"/>
  <c r="DZ20" i="12" s="1"/>
  <c r="EH20" i="12" s="1"/>
  <c r="DX230" i="12"/>
  <c r="DZ230" i="12" s="1"/>
  <c r="EH230" i="12" s="1"/>
  <c r="DX110" i="12"/>
  <c r="DZ110" i="12" s="1"/>
  <c r="EH110" i="12" s="1"/>
  <c r="DX85" i="12"/>
  <c r="EF85" i="12" s="1"/>
  <c r="EG85" i="12" s="1"/>
  <c r="DX150" i="12"/>
  <c r="DZ150" i="12" s="1"/>
  <c r="EH150" i="12" s="1"/>
  <c r="DX98" i="12"/>
  <c r="DZ98" i="12" s="1"/>
  <c r="EH98" i="12" s="1"/>
  <c r="DX18" i="12"/>
  <c r="EF18" i="12" s="1"/>
  <c r="EG18" i="12" s="1"/>
  <c r="DX149" i="12"/>
  <c r="DX17" i="12"/>
  <c r="DZ17" i="12" s="1"/>
  <c r="EH17" i="12" s="1"/>
  <c r="DX238" i="12"/>
  <c r="DZ238" i="12" s="1"/>
  <c r="EH238" i="12" s="1"/>
  <c r="DX188" i="12"/>
  <c r="EF188" i="12" s="1"/>
  <c r="EG188" i="12" s="1"/>
  <c r="DX80" i="12"/>
  <c r="DX38" i="12"/>
  <c r="DZ38" i="12" s="1"/>
  <c r="EH38" i="12" s="1"/>
  <c r="DX219" i="12"/>
  <c r="DZ219" i="12" s="1"/>
  <c r="EH219" i="12" s="1"/>
  <c r="DX88" i="12"/>
  <c r="EF88" i="12" s="1"/>
  <c r="DY88" i="12" s="1"/>
  <c r="DZ88" i="12" s="1"/>
  <c r="EH88" i="12" s="1"/>
  <c r="DX242" i="12"/>
  <c r="EF242" i="12" s="1"/>
  <c r="EG242" i="12" s="1"/>
  <c r="DX161" i="12"/>
  <c r="DZ161" i="12" s="1"/>
  <c r="EH161" i="12" s="1"/>
  <c r="DX11" i="12"/>
  <c r="EF11" i="12" s="1"/>
  <c r="EG11" i="12" s="1"/>
  <c r="DX30" i="12"/>
  <c r="EF30" i="12" s="1"/>
  <c r="EG30" i="12" s="1"/>
  <c r="DX229" i="12"/>
  <c r="EF229" i="12" s="1"/>
  <c r="EG229" i="12" s="1"/>
  <c r="DX155" i="12"/>
  <c r="DZ155" i="12" s="1"/>
  <c r="EH155" i="12" s="1"/>
  <c r="DX152" i="12"/>
  <c r="EF152" i="12" s="1"/>
  <c r="EG152" i="12" s="1"/>
  <c r="DX8" i="12"/>
  <c r="EF8" i="12" s="1"/>
  <c r="EG8" i="12" s="1"/>
  <c r="DM244" i="12"/>
  <c r="DM247" i="12" s="1"/>
  <c r="DX160" i="12"/>
  <c r="DZ160" i="12" s="1"/>
  <c r="EH160" i="12" s="1"/>
  <c r="DX215" i="12"/>
  <c r="EF215" i="12" s="1"/>
  <c r="EG215" i="12" s="1"/>
  <c r="DX40" i="12"/>
  <c r="EF40" i="12" s="1"/>
  <c r="EG40" i="12" s="1"/>
  <c r="DX63" i="12"/>
  <c r="DZ63" i="12" s="1"/>
  <c r="EH63" i="12" s="1"/>
  <c r="DX234" i="12"/>
  <c r="EF234" i="12" s="1"/>
  <c r="EG234" i="12" s="1"/>
  <c r="DX163" i="12"/>
  <c r="EF163" i="12" s="1"/>
  <c r="EG163" i="12" s="1"/>
  <c r="DX159" i="12"/>
  <c r="DZ159" i="12" s="1"/>
  <c r="EH159" i="12" s="1"/>
  <c r="DX102" i="12"/>
  <c r="DZ102" i="12" s="1"/>
  <c r="EH102" i="12" s="1"/>
  <c r="DX14" i="12"/>
  <c r="EF14" i="12" s="1"/>
  <c r="DY14" i="12" s="1"/>
  <c r="DZ14" i="12" s="1"/>
  <c r="EH14" i="12" s="1"/>
  <c r="DX72" i="12"/>
  <c r="DZ72" i="12" s="1"/>
  <c r="EH72" i="12" s="1"/>
  <c r="DX197" i="12"/>
  <c r="EF197" i="12" s="1"/>
  <c r="DY197" i="12" s="1"/>
  <c r="DZ197" i="12" s="1"/>
  <c r="EH197" i="12" s="1"/>
  <c r="DX199" i="12"/>
  <c r="EF199" i="12" s="1"/>
  <c r="EG199" i="12" s="1"/>
  <c r="DX221" i="12"/>
  <c r="DZ221" i="12" s="1"/>
  <c r="EH221" i="12" s="1"/>
  <c r="DX7" i="12"/>
  <c r="DZ7" i="12" s="1"/>
  <c r="EH7" i="12" s="1"/>
  <c r="DX117" i="12"/>
  <c r="EF117" i="12" s="1"/>
  <c r="DY117" i="12" s="1"/>
  <c r="DZ117" i="12" s="1"/>
  <c r="EH117" i="12" s="1"/>
  <c r="DX136" i="12"/>
  <c r="DZ136" i="12" s="1"/>
  <c r="EH136" i="12" s="1"/>
  <c r="DX231" i="12"/>
  <c r="DZ231" i="12" s="1"/>
  <c r="EH231" i="12" s="1"/>
  <c r="DX200" i="12"/>
  <c r="DZ200" i="12" s="1"/>
  <c r="EH200" i="12" s="1"/>
  <c r="DX115" i="12"/>
  <c r="EF115" i="12" s="1"/>
  <c r="EG115" i="12" s="1"/>
  <c r="DX184" i="12"/>
  <c r="DZ184" i="12" s="1"/>
  <c r="EH184" i="12" s="1"/>
  <c r="DX76" i="12"/>
  <c r="EF76" i="12" s="1"/>
  <c r="DY76" i="12" s="1"/>
  <c r="DZ76" i="12" s="1"/>
  <c r="EH76" i="12" s="1"/>
  <c r="DX25" i="12"/>
  <c r="DZ25" i="12" s="1"/>
  <c r="EH25" i="12" s="1"/>
  <c r="DX167" i="12"/>
  <c r="DZ167" i="12" s="1"/>
  <c r="EH167" i="12" s="1"/>
  <c r="DX148" i="12"/>
  <c r="EF148" i="12" s="1"/>
  <c r="EG148" i="12" s="1"/>
  <c r="DX16" i="12"/>
  <c r="DZ16" i="12" s="1"/>
  <c r="EH16" i="12" s="1"/>
  <c r="DX19" i="12"/>
  <c r="DZ19" i="12" s="1"/>
  <c r="EH19" i="12" s="1"/>
  <c r="DX177" i="12"/>
  <c r="DZ177" i="12" s="1"/>
  <c r="EH177" i="12" s="1"/>
  <c r="DX92" i="12"/>
  <c r="DZ92" i="12" s="1"/>
  <c r="EH92" i="12" s="1"/>
  <c r="DX83" i="12"/>
  <c r="EF83" i="12" s="1"/>
  <c r="EG83" i="12" s="1"/>
  <c r="DX222" i="12"/>
  <c r="DZ222" i="12" s="1"/>
  <c r="EH222" i="12" s="1"/>
  <c r="DX193" i="12"/>
  <c r="EF193" i="12" s="1"/>
  <c r="DY193" i="12" s="1"/>
  <c r="DZ193" i="12" s="1"/>
  <c r="EH193" i="12" s="1"/>
  <c r="DX60" i="12"/>
  <c r="DZ60" i="12" s="1"/>
  <c r="EH60" i="12" s="1"/>
  <c r="DX241" i="12"/>
  <c r="DZ241" i="12" s="1"/>
  <c r="EH241" i="12" s="1"/>
  <c r="DX216" i="12"/>
  <c r="DZ216" i="12" s="1"/>
  <c r="EH216" i="12" s="1"/>
  <c r="DX66" i="12"/>
  <c r="DZ66" i="12" s="1"/>
  <c r="EH66" i="12" s="1"/>
  <c r="DX191" i="12"/>
  <c r="DZ191" i="12" s="1"/>
  <c r="EH191" i="12" s="1"/>
  <c r="DX180" i="12"/>
  <c r="EF180" i="12" s="1"/>
  <c r="EG180" i="12" s="1"/>
  <c r="DY180" i="12" s="1"/>
  <c r="DZ180" i="12" s="1"/>
  <c r="EH180" i="12" s="1"/>
  <c r="DX9" i="12"/>
  <c r="DZ9" i="12" s="1"/>
  <c r="EH9" i="12" s="1"/>
  <c r="DX62" i="12"/>
  <c r="EF62" i="12" s="1"/>
  <c r="EG62" i="12" s="1"/>
  <c r="DX164" i="12"/>
  <c r="DZ164" i="12" s="1"/>
  <c r="EH164" i="12" s="1"/>
  <c r="DX10" i="12"/>
  <c r="DZ10" i="12" s="1"/>
  <c r="EH10" i="12" s="1"/>
  <c r="DX218" i="12"/>
  <c r="EF218" i="12" s="1"/>
  <c r="EG218" i="12" s="1"/>
  <c r="DX138" i="12"/>
  <c r="DZ138" i="12" s="1"/>
  <c r="EH138" i="12" s="1"/>
  <c r="DX208" i="12"/>
  <c r="EF208" i="12" s="1"/>
  <c r="EG208" i="12" s="1"/>
  <c r="DX135" i="12"/>
  <c r="DZ135" i="12" s="1"/>
  <c r="EH135" i="12" s="1"/>
  <c r="DX185" i="12"/>
  <c r="EF185" i="12" s="1"/>
  <c r="EG185" i="12" s="1"/>
  <c r="DY185" i="12" s="1"/>
  <c r="DZ185" i="12" s="1"/>
  <c r="EH185" i="12" s="1"/>
  <c r="DX235" i="12"/>
  <c r="DZ235" i="12" s="1"/>
  <c r="EH235" i="12" s="1"/>
  <c r="DX134" i="12"/>
  <c r="EF134" i="12" s="1"/>
  <c r="EG134" i="12" s="1"/>
  <c r="DX67" i="12"/>
  <c r="DZ67" i="12" s="1"/>
  <c r="EH67" i="12" s="1"/>
  <c r="DX104" i="12"/>
  <c r="DZ104" i="12" s="1"/>
  <c r="EH104" i="12" s="1"/>
  <c r="DX183" i="12"/>
  <c r="DZ183" i="12" s="1"/>
  <c r="EH183" i="12" s="1"/>
  <c r="DX130" i="12"/>
  <c r="EF130" i="12" s="1"/>
  <c r="EG130" i="12" s="1"/>
  <c r="DX124" i="12"/>
  <c r="EF124" i="12" s="1"/>
  <c r="EG124" i="12" s="1"/>
  <c r="DX12" i="12"/>
  <c r="EF12" i="12" s="1"/>
  <c r="EG12" i="12" s="1"/>
  <c r="DX116" i="12"/>
  <c r="EF116" i="12" s="1"/>
  <c r="DY116" i="12" s="1"/>
  <c r="DZ116" i="12" s="1"/>
  <c r="EH116" i="12" s="1"/>
  <c r="DX99" i="12"/>
  <c r="EF99" i="12" s="1"/>
  <c r="EG99" i="12" s="1"/>
  <c r="DX198" i="12"/>
  <c r="DZ198" i="12" s="1"/>
  <c r="EH198" i="12" s="1"/>
  <c r="DX162" i="12"/>
  <c r="EF162" i="12" s="1"/>
  <c r="EG162" i="12" s="1"/>
  <c r="DX13" i="12"/>
  <c r="EF13" i="12" s="1"/>
  <c r="EG13" i="12" s="1"/>
  <c r="DX213" i="12"/>
  <c r="DZ213" i="12" s="1"/>
  <c r="EH213" i="12" s="1"/>
  <c r="DX182" i="12"/>
  <c r="EF182" i="12" s="1"/>
  <c r="EG182" i="12" s="1"/>
  <c r="DX172" i="12"/>
  <c r="DZ172" i="12" s="1"/>
  <c r="EH172" i="12" s="1"/>
  <c r="DX157" i="12"/>
  <c r="EF157" i="12" s="1"/>
  <c r="EG157" i="12" s="1"/>
  <c r="DX123" i="12"/>
  <c r="EF123" i="12" s="1"/>
  <c r="EG123" i="12" s="1"/>
  <c r="DX122" i="12"/>
  <c r="DZ122" i="12" s="1"/>
  <c r="EH122" i="12" s="1"/>
  <c r="DX65" i="12"/>
  <c r="EF65" i="12" s="1"/>
  <c r="DY65" i="12" s="1"/>
  <c r="DZ65" i="12" s="1"/>
  <c r="EH65" i="12" s="1"/>
  <c r="DX42" i="12"/>
  <c r="EF42" i="12" s="1"/>
  <c r="EG42" i="12" s="1"/>
  <c r="DX112" i="12"/>
  <c r="DZ112" i="12" s="1"/>
  <c r="EH112" i="12" s="1"/>
  <c r="DX225" i="12"/>
  <c r="DZ225" i="12" s="1"/>
  <c r="EH225" i="12" s="1"/>
  <c r="DX212" i="12"/>
  <c r="DX194" i="12"/>
  <c r="EF194" i="12" s="1"/>
  <c r="DY194" i="12" s="1"/>
  <c r="DZ194" i="12" s="1"/>
  <c r="EH194" i="12" s="1"/>
  <c r="DX84" i="12"/>
  <c r="DZ84" i="12" s="1"/>
  <c r="EH84" i="12" s="1"/>
  <c r="DX28" i="12"/>
  <c r="EF28" i="12" s="1"/>
  <c r="DY28" i="12" s="1"/>
  <c r="DZ28" i="12" s="1"/>
  <c r="EH28" i="12" s="1"/>
  <c r="DX75" i="12"/>
  <c r="EF75" i="12" s="1"/>
  <c r="DX226" i="12"/>
  <c r="EF226" i="12" s="1"/>
  <c r="EG226" i="12" s="1"/>
  <c r="DX151" i="12"/>
  <c r="DZ151" i="12" s="1"/>
  <c r="EH151" i="12" s="1"/>
  <c r="DX108" i="12"/>
  <c r="DZ108" i="12" s="1"/>
  <c r="EH108" i="12" s="1"/>
  <c r="DX27" i="12"/>
  <c r="DZ27" i="12" s="1"/>
  <c r="EH27" i="12" s="1"/>
  <c r="DX22" i="12"/>
  <c r="DZ22" i="12" s="1"/>
  <c r="EH22" i="12" s="1"/>
  <c r="DX78" i="12"/>
  <c r="EF78" i="12" s="1"/>
  <c r="DY78" i="12" s="1"/>
  <c r="DZ78" i="12" s="1"/>
  <c r="EH78" i="12" s="1"/>
  <c r="DX24" i="12"/>
  <c r="DZ24" i="12" s="1"/>
  <c r="EH24" i="12" s="1"/>
  <c r="DX58" i="12"/>
  <c r="DZ58" i="12" s="1"/>
  <c r="EH58" i="12" s="1"/>
  <c r="DX237" i="12"/>
  <c r="DZ237" i="12" s="1"/>
  <c r="EH237" i="12" s="1"/>
  <c r="DX202" i="12"/>
  <c r="DZ202" i="12" s="1"/>
  <c r="EH202" i="12" s="1"/>
  <c r="DX137" i="12"/>
  <c r="DZ137" i="12" s="1"/>
  <c r="EH137" i="12" s="1"/>
  <c r="DX51" i="12"/>
  <c r="DZ51" i="12" s="1"/>
  <c r="EH51" i="12" s="1"/>
  <c r="DX243" i="12"/>
  <c r="EF243" i="12" s="1"/>
  <c r="EG243" i="12" s="1"/>
  <c r="DX70" i="12"/>
  <c r="EF70" i="12" s="1"/>
  <c r="DY70" i="12" s="1"/>
  <c r="DZ70" i="12" s="1"/>
  <c r="EH70" i="12" s="1"/>
  <c r="DX133" i="12"/>
  <c r="EF133" i="12" s="1"/>
  <c r="EG133" i="12" s="1"/>
  <c r="DZ240" i="12"/>
  <c r="EH240" i="12" s="1"/>
  <c r="EF240" i="12"/>
  <c r="EG240" i="12" s="1"/>
  <c r="DX201" i="12"/>
  <c r="EF201" i="12" s="1"/>
  <c r="EG201" i="12" s="1"/>
  <c r="DX82" i="12"/>
  <c r="DZ82" i="12" s="1"/>
  <c r="EH82" i="12" s="1"/>
  <c r="DX217" i="12"/>
  <c r="DZ217" i="12" s="1"/>
  <c r="EH217" i="12" s="1"/>
  <c r="DX196" i="12"/>
  <c r="EF196" i="12" s="1"/>
  <c r="DY196" i="12" s="1"/>
  <c r="DZ196" i="12" s="1"/>
  <c r="EH196" i="12" s="1"/>
  <c r="DX186" i="12"/>
  <c r="EF186" i="12" s="1"/>
  <c r="DY186" i="12" s="1"/>
  <c r="DZ186" i="12" s="1"/>
  <c r="EH186" i="12" s="1"/>
  <c r="DX144" i="12"/>
  <c r="EF144" i="12" s="1"/>
  <c r="EG144" i="12" s="1"/>
  <c r="DX64" i="12"/>
  <c r="DZ64" i="12" s="1"/>
  <c r="EH64" i="12" s="1"/>
  <c r="DX128" i="12"/>
  <c r="EF128" i="12" s="1"/>
  <c r="EG128" i="12" s="1"/>
  <c r="DX69" i="12"/>
  <c r="EF69" i="12" s="1"/>
  <c r="DY69" i="12" s="1"/>
  <c r="DZ69" i="12" s="1"/>
  <c r="EH69" i="12" s="1"/>
  <c r="DX23" i="12"/>
  <c r="DZ23" i="12" s="1"/>
  <c r="EH23" i="12" s="1"/>
  <c r="DX44" i="12"/>
  <c r="DZ44" i="12" s="1"/>
  <c r="EH44" i="12" s="1"/>
  <c r="DX176" i="12"/>
  <c r="EF176" i="12" s="1"/>
  <c r="DY176" i="12" s="1"/>
  <c r="DZ176" i="12" s="1"/>
  <c r="EH176" i="12" s="1"/>
  <c r="DX95" i="12"/>
  <c r="EF95" i="12" s="1"/>
  <c r="DY95" i="12" s="1"/>
  <c r="DZ95" i="12" s="1"/>
  <c r="EH95" i="12" s="1"/>
  <c r="DX61" i="12"/>
  <c r="DZ61" i="12" s="1"/>
  <c r="EH61" i="12" s="1"/>
  <c r="DX132" i="12"/>
  <c r="EF132" i="12" s="1"/>
  <c r="DY132" i="12" s="1"/>
  <c r="DZ132" i="12" s="1"/>
  <c r="EH132" i="12" s="1"/>
  <c r="DX77" i="12"/>
  <c r="EF77" i="12" s="1"/>
  <c r="DY77" i="12" s="1"/>
  <c r="DZ77" i="12" s="1"/>
  <c r="EH77" i="12" s="1"/>
  <c r="DX48" i="12"/>
  <c r="EF48" i="12" s="1"/>
  <c r="EG48" i="12" s="1"/>
  <c r="DX158" i="12"/>
  <c r="DZ158" i="12" s="1"/>
  <c r="EH158" i="12" s="1"/>
  <c r="CO244" i="12"/>
  <c r="DX170" i="12"/>
  <c r="EF170" i="12" s="1"/>
  <c r="EG170" i="12" s="1"/>
  <c r="DX91" i="12"/>
  <c r="DZ91" i="12" s="1"/>
  <c r="EH91" i="12" s="1"/>
  <c r="DX173" i="12"/>
  <c r="DZ173" i="12" s="1"/>
  <c r="EH173" i="12" s="1"/>
  <c r="DX93" i="12"/>
  <c r="EF93" i="12" s="1"/>
  <c r="EG93" i="12" s="1"/>
  <c r="DX86" i="12"/>
  <c r="EF86" i="12" s="1"/>
  <c r="EG86" i="12" s="1"/>
  <c r="DX192" i="12"/>
  <c r="EF192" i="12" s="1"/>
  <c r="EG192" i="12" s="1"/>
  <c r="DY192" i="12" s="1"/>
  <c r="DZ192" i="12" s="1"/>
  <c r="EH192" i="12" s="1"/>
  <c r="DX166" i="12"/>
  <c r="EF166" i="12" s="1"/>
  <c r="EG166" i="12" s="1"/>
  <c r="DX15" i="12"/>
  <c r="EF15" i="12" s="1"/>
  <c r="DX214" i="12"/>
  <c r="DZ214" i="12" s="1"/>
  <c r="EH214" i="12" s="1"/>
  <c r="DX141" i="12"/>
  <c r="DZ141" i="12" s="1"/>
  <c r="EH141" i="12" s="1"/>
  <c r="DX6" i="12"/>
  <c r="DZ6" i="12" s="1"/>
  <c r="EH6" i="12" s="1"/>
  <c r="DX178" i="12"/>
  <c r="EF178" i="12" s="1"/>
  <c r="DY178" i="12" s="1"/>
  <c r="DZ178" i="12" s="1"/>
  <c r="EH178" i="12" s="1"/>
  <c r="DX220" i="12"/>
  <c r="EF220" i="12" s="1"/>
  <c r="EG220" i="12" s="1"/>
  <c r="DX223" i="12"/>
  <c r="EF223" i="12" s="1"/>
  <c r="EG223" i="12" s="1"/>
  <c r="DX189" i="12"/>
  <c r="EF189" i="12" s="1"/>
  <c r="DY189" i="12" s="1"/>
  <c r="DZ189" i="12" s="1"/>
  <c r="EH189" i="12" s="1"/>
  <c r="DX156" i="12"/>
  <c r="DZ156" i="12" s="1"/>
  <c r="EH156" i="12" s="1"/>
  <c r="DX187" i="12"/>
  <c r="EF187" i="12" s="1"/>
  <c r="EG187" i="12" s="1"/>
  <c r="DX114" i="12"/>
  <c r="EF114" i="12" s="1"/>
  <c r="EG114" i="12" s="1"/>
  <c r="DZ154" i="12"/>
  <c r="EH154" i="12" s="1"/>
  <c r="EF154" i="12"/>
  <c r="EG154" i="12" s="1"/>
  <c r="DZ32" i="12"/>
  <c r="EH32" i="12" s="1"/>
  <c r="EF32" i="12"/>
  <c r="EG32" i="12" s="1"/>
  <c r="DZ45" i="12"/>
  <c r="EH45" i="12" s="1"/>
  <c r="EF89" i="12"/>
  <c r="DY89" i="12" s="1"/>
  <c r="DZ89" i="12" s="1"/>
  <c r="EH89" i="12" s="1"/>
  <c r="DZ74" i="12"/>
  <c r="EH74" i="12" s="1"/>
  <c r="EF74" i="12"/>
  <c r="EG74" i="12" s="1"/>
  <c r="EF230" i="12"/>
  <c r="EG230" i="12" s="1"/>
  <c r="DZ153" i="12"/>
  <c r="EH153" i="12" s="1"/>
  <c r="EF153" i="12"/>
  <c r="EG153" i="12" s="1"/>
  <c r="DZ85" i="12"/>
  <c r="EH85" i="12" s="1"/>
  <c r="DZ11" i="12"/>
  <c r="EH11" i="12" s="1"/>
  <c r="DZ73" i="12"/>
  <c r="EH73" i="12" s="1"/>
  <c r="EF73" i="12"/>
  <c r="EG73" i="12" s="1"/>
  <c r="EF97" i="12"/>
  <c r="DY97" i="12" s="1"/>
  <c r="DZ97" i="12" s="1"/>
  <c r="EH97" i="12" s="1"/>
  <c r="DZ120" i="12"/>
  <c r="EH120" i="12" s="1"/>
  <c r="EF120" i="12"/>
  <c r="EG120" i="12" s="1"/>
  <c r="DZ79" i="12"/>
  <c r="EH79" i="12" s="1"/>
  <c r="EF79" i="12"/>
  <c r="EG79" i="12" s="1"/>
  <c r="DZ206" i="12"/>
  <c r="EH206" i="12" s="1"/>
  <c r="EF206" i="12"/>
  <c r="EG206" i="12" s="1"/>
  <c r="DZ175" i="12"/>
  <c r="EH175" i="12" s="1"/>
  <c r="EF175" i="12"/>
  <c r="EF98" i="12"/>
  <c r="EG98" i="12" s="1"/>
  <c r="DZ56" i="12"/>
  <c r="EH56" i="12" s="1"/>
  <c r="EF56" i="12"/>
  <c r="EG56" i="12" s="1"/>
  <c r="DZ203" i="12"/>
  <c r="EH203" i="12" s="1"/>
  <c r="EF203" i="12"/>
  <c r="EG203" i="12" s="1"/>
  <c r="DZ106" i="12"/>
  <c r="EH106" i="12" s="1"/>
  <c r="EF106" i="12"/>
  <c r="EG106" i="12" s="1"/>
  <c r="DZ81" i="12"/>
  <c r="EH81" i="12" s="1"/>
  <c r="EF81" i="12"/>
  <c r="EG81" i="12" s="1"/>
  <c r="EF39" i="12"/>
  <c r="DY39" i="12" s="1"/>
  <c r="DZ39" i="12" s="1"/>
  <c r="EH39" i="12" s="1"/>
  <c r="EF52" i="12"/>
  <c r="EG52" i="12" s="1"/>
  <c r="EF26" i="12"/>
  <c r="DY26" i="12" s="1"/>
  <c r="DZ26" i="12" s="1"/>
  <c r="EH26" i="12" s="1"/>
  <c r="EF207" i="12"/>
  <c r="DY207" i="12" s="1"/>
  <c r="DZ207" i="12" s="1"/>
  <c r="EH207" i="12" s="1"/>
  <c r="DZ50" i="12"/>
  <c r="EH50" i="12" s="1"/>
  <c r="EF50" i="12"/>
  <c r="EG50" i="12" s="1"/>
  <c r="EF181" i="12"/>
  <c r="DY181" i="12" s="1"/>
  <c r="DZ181" i="12" s="1"/>
  <c r="EH181" i="12" s="1"/>
  <c r="DZ174" i="12"/>
  <c r="EH174" i="12" s="1"/>
  <c r="EF174" i="12"/>
  <c r="EG174" i="12" s="1"/>
  <c r="DZ113" i="12"/>
  <c r="EH113" i="12" s="1"/>
  <c r="EF113" i="12"/>
  <c r="EG113" i="12" s="1"/>
  <c r="EF100" i="12"/>
  <c r="EG100" i="12" s="1"/>
  <c r="DY100" i="12" s="1"/>
  <c r="DZ100" i="12" s="1"/>
  <c r="EH100" i="12" s="1"/>
  <c r="EF29" i="12"/>
  <c r="EG29" i="12" s="1"/>
  <c r="DZ233" i="12"/>
  <c r="EH233" i="12" s="1"/>
  <c r="EF233" i="12"/>
  <c r="EG233" i="12" s="1"/>
  <c r="DZ125" i="12"/>
  <c r="EH125" i="12" s="1"/>
  <c r="EF125" i="12"/>
  <c r="EG125" i="12" s="1"/>
  <c r="DZ101" i="12"/>
  <c r="EH101" i="12" s="1"/>
  <c r="EF101" i="12"/>
  <c r="EG101" i="12" s="1"/>
  <c r="DZ232" i="12"/>
  <c r="EH232" i="12" s="1"/>
  <c r="EF232" i="12"/>
  <c r="EG232" i="12" s="1"/>
  <c r="EF195" i="12"/>
  <c r="DY195" i="12" s="1"/>
  <c r="DZ195" i="12" s="1"/>
  <c r="EH195" i="12" s="1"/>
  <c r="DZ111" i="12"/>
  <c r="EH111" i="12" s="1"/>
  <c r="EF111" i="12"/>
  <c r="EG111" i="12" s="1"/>
  <c r="DZ204" i="12"/>
  <c r="EH204" i="12" s="1"/>
  <c r="EF204" i="12"/>
  <c r="EG204" i="12" s="1"/>
  <c r="DZ169" i="12"/>
  <c r="EH169" i="12" s="1"/>
  <c r="EF169" i="12"/>
  <c r="EG169" i="12" s="1"/>
  <c r="DZ142" i="12"/>
  <c r="EH142" i="12" s="1"/>
  <c r="EF142" i="12"/>
  <c r="EG142" i="12" s="1"/>
  <c r="DZ107" i="12"/>
  <c r="EH107" i="12" s="1"/>
  <c r="EF107" i="12"/>
  <c r="EG107" i="12" s="1"/>
  <c r="DZ129" i="12"/>
  <c r="EH129" i="12" s="1"/>
  <c r="DZ53" i="12"/>
  <c r="EH53" i="12" s="1"/>
  <c r="EF53" i="12"/>
  <c r="EG53" i="12" s="1"/>
  <c r="DZ21" i="12"/>
  <c r="EH21" i="12" s="1"/>
  <c r="DZ54" i="12"/>
  <c r="EH54" i="12" s="1"/>
  <c r="EF54" i="12"/>
  <c r="EG54" i="12" s="1"/>
  <c r="DZ118" i="12"/>
  <c r="EH118" i="12" s="1"/>
  <c r="EF118" i="12"/>
  <c r="EG118" i="12" s="1"/>
  <c r="EF20" i="12"/>
  <c r="EG20" i="12" s="1"/>
  <c r="DZ212" i="12"/>
  <c r="EH212" i="12" s="1"/>
  <c r="EF212" i="12"/>
  <c r="EG212" i="12" s="1"/>
  <c r="DZ139" i="12"/>
  <c r="EH139" i="12" s="1"/>
  <c r="EF139" i="12"/>
  <c r="DZ109" i="12"/>
  <c r="EH109" i="12" s="1"/>
  <c r="EF109" i="12"/>
  <c r="EG109" i="12" s="1"/>
  <c r="DZ145" i="12"/>
  <c r="EH145" i="12" s="1"/>
  <c r="EF145" i="12"/>
  <c r="EG145" i="12" s="1"/>
  <c r="DZ227" i="12"/>
  <c r="EH227" i="12" s="1"/>
  <c r="EF227" i="12"/>
  <c r="EG227" i="12" s="1"/>
  <c r="DZ211" i="12"/>
  <c r="EH211" i="12" s="1"/>
  <c r="EF211" i="12"/>
  <c r="EG211" i="12" s="1"/>
  <c r="DZ236" i="12"/>
  <c r="EH236" i="12" s="1"/>
  <c r="EF236" i="12"/>
  <c r="EG236" i="12" s="1"/>
  <c r="DZ165" i="12"/>
  <c r="EH165" i="12" s="1"/>
  <c r="EF165" i="12"/>
  <c r="EG165" i="12" s="1"/>
  <c r="DZ146" i="12"/>
  <c r="EH146" i="12" s="1"/>
  <c r="EF146" i="12"/>
  <c r="EG146" i="12" s="1"/>
  <c r="DZ96" i="12"/>
  <c r="EH96" i="12" s="1"/>
  <c r="EF96" i="12"/>
  <c r="DZ119" i="12"/>
  <c r="EH119" i="12" s="1"/>
  <c r="EF119" i="12"/>
  <c r="EG119" i="12" s="1"/>
  <c r="EF68" i="12"/>
  <c r="EG68" i="12" s="1"/>
  <c r="DY68" i="12" s="1"/>
  <c r="DZ68" i="12" s="1"/>
  <c r="EH68" i="12" s="1"/>
  <c r="DZ36" i="12"/>
  <c r="EH36" i="12" s="1"/>
  <c r="EF36" i="12"/>
  <c r="EG36" i="12" s="1"/>
  <c r="EF49" i="12"/>
  <c r="EG49" i="12" s="1"/>
  <c r="DZ49" i="12"/>
  <c r="EH49" i="12" s="1"/>
  <c r="DZ31" i="12"/>
  <c r="EH31" i="12" s="1"/>
  <c r="EF31" i="12"/>
  <c r="EG31" i="12" s="1"/>
  <c r="DZ105" i="12"/>
  <c r="EH105" i="12" s="1"/>
  <c r="EF105" i="12"/>
  <c r="EG105" i="12" s="1"/>
  <c r="DZ127" i="12"/>
  <c r="EH127" i="12" s="1"/>
  <c r="EF127" i="12"/>
  <c r="EG127" i="12" s="1"/>
  <c r="DZ80" i="12"/>
  <c r="EH80" i="12" s="1"/>
  <c r="EF80" i="12"/>
  <c r="EG80" i="12" s="1"/>
  <c r="DZ205" i="12"/>
  <c r="EH205" i="12" s="1"/>
  <c r="EF205" i="12"/>
  <c r="EG205" i="12" s="1"/>
  <c r="DZ59" i="12"/>
  <c r="EH59" i="12" s="1"/>
  <c r="EF59" i="12"/>
  <c r="EG59" i="12" s="1"/>
  <c r="DZ171" i="12"/>
  <c r="EH171" i="12" s="1"/>
  <c r="EF171" i="12"/>
  <c r="EG171" i="12" s="1"/>
  <c r="DZ35" i="12"/>
  <c r="EH35" i="12" s="1"/>
  <c r="EF35" i="12"/>
  <c r="EG35" i="12" s="1"/>
  <c r="DX224" i="12"/>
  <c r="DZ121" i="12"/>
  <c r="EH121" i="12" s="1"/>
  <c r="EF121" i="12"/>
  <c r="EG121" i="12" s="1"/>
  <c r="DX55" i="12"/>
  <c r="DX71" i="12"/>
  <c r="DZ239" i="12"/>
  <c r="EH239" i="12" s="1"/>
  <c r="EF239" i="12"/>
  <c r="EG239" i="12" s="1"/>
  <c r="DZ228" i="12"/>
  <c r="EH228" i="12" s="1"/>
  <c r="EF228" i="12"/>
  <c r="EG228" i="12" s="1"/>
  <c r="DZ143" i="12"/>
  <c r="EH143" i="12" s="1"/>
  <c r="EF143" i="12"/>
  <c r="EG143" i="12" s="1"/>
  <c r="DX179" i="12"/>
  <c r="DT244" i="12"/>
  <c r="DZ34" i="12"/>
  <c r="EH34" i="12" s="1"/>
  <c r="EF34" i="12"/>
  <c r="EG34" i="12" s="1"/>
  <c r="DZ168" i="12"/>
  <c r="EH168" i="12" s="1"/>
  <c r="EF168" i="12"/>
  <c r="EG168" i="12" s="1"/>
  <c r="DX210" i="12"/>
  <c r="DZ147" i="12"/>
  <c r="EH147" i="12" s="1"/>
  <c r="EF147" i="12"/>
  <c r="DZ37" i="12"/>
  <c r="EH37" i="12" s="1"/>
  <c r="EF37" i="12"/>
  <c r="EG37" i="12" s="1"/>
  <c r="EF46" i="12"/>
  <c r="EG46" i="12" s="1"/>
  <c r="DZ46" i="12"/>
  <c r="EH46" i="12" s="1"/>
  <c r="DZ140" i="12"/>
  <c r="EH140" i="12" s="1"/>
  <c r="EF140" i="12"/>
  <c r="EG140" i="12" s="1"/>
  <c r="EF47" i="12"/>
  <c r="EG47" i="12" s="1"/>
  <c r="DZ47" i="12"/>
  <c r="EH47" i="12" s="1"/>
  <c r="DX103" i="12"/>
  <c r="AD244" i="12"/>
  <c r="DX5" i="12"/>
  <c r="DZ126" i="12"/>
  <c r="EH126" i="12" s="1"/>
  <c r="EF126" i="12"/>
  <c r="EG126" i="12" s="1"/>
  <c r="EF90" i="12"/>
  <c r="DY90" i="12" s="1"/>
  <c r="DZ90" i="12" s="1"/>
  <c r="EH90" i="12" s="1"/>
  <c r="EF57" i="12"/>
  <c r="DY57" i="12" s="1"/>
  <c r="C52" i="11" s="1"/>
  <c r="EF190" i="12"/>
  <c r="DY190" i="12" s="1"/>
  <c r="DZ190" i="12" s="1"/>
  <c r="EH190" i="12" s="1"/>
  <c r="DZ33" i="12"/>
  <c r="EH33" i="12" s="1"/>
  <c r="EF33" i="12"/>
  <c r="EG33" i="12" s="1"/>
  <c r="DZ229" i="12"/>
  <c r="EH229" i="12" s="1"/>
  <c r="DZ163" i="12"/>
  <c r="EH163" i="12" s="1"/>
  <c r="DZ149" i="12"/>
  <c r="EH149" i="12" s="1"/>
  <c r="EF149" i="12"/>
  <c r="EG149" i="12" s="1"/>
  <c r="EF43" i="12"/>
  <c r="EG43" i="12" s="1"/>
  <c r="DZ43" i="12"/>
  <c r="EH43" i="12" s="1"/>
  <c r="DL244" i="12"/>
  <c r="DZ131" i="12"/>
  <c r="EH131" i="12" s="1"/>
  <c r="EF131" i="12"/>
  <c r="EG131" i="12" s="1"/>
  <c r="DZ242" i="12"/>
  <c r="EH242" i="12" s="1"/>
  <c r="DZ209" i="12"/>
  <c r="EH209" i="12" s="1"/>
  <c r="EF209" i="12"/>
  <c r="EG209" i="12" s="1"/>
  <c r="DZ157" i="12" l="1"/>
  <c r="EH157" i="12" s="1"/>
  <c r="DZ18" i="12"/>
  <c r="EH18" i="12" s="1"/>
  <c r="EF238" i="12"/>
  <c r="EG238" i="12" s="1"/>
  <c r="DZ188" i="12"/>
  <c r="EH188" i="12" s="1"/>
  <c r="EF87" i="12"/>
  <c r="EG87" i="12" s="1"/>
  <c r="DZ94" i="12"/>
  <c r="EH94" i="12" s="1"/>
  <c r="DZ215" i="12"/>
  <c r="EH215" i="12" s="1"/>
  <c r="EF58" i="12"/>
  <c r="EG58" i="12" s="1"/>
  <c r="EF219" i="12"/>
  <c r="EG219" i="12" s="1"/>
  <c r="DZ62" i="12"/>
  <c r="EH62" i="12" s="1"/>
  <c r="EF110" i="12"/>
  <c r="EG110" i="12" s="1"/>
  <c r="EF177" i="12"/>
  <c r="EG177" i="12" s="1"/>
  <c r="DZ13" i="12"/>
  <c r="EH13" i="12" s="1"/>
  <c r="EF41" i="12"/>
  <c r="EG41" i="12" s="1"/>
  <c r="DZ30" i="12"/>
  <c r="EH30" i="12" s="1"/>
  <c r="EF183" i="12"/>
  <c r="EG183" i="12" s="1"/>
  <c r="DZ115" i="12"/>
  <c r="EH115" i="12" s="1"/>
  <c r="DZ8" i="12"/>
  <c r="EH8" i="12" s="1"/>
  <c r="DZ75" i="12"/>
  <c r="EH75" i="12" s="1"/>
  <c r="EF27" i="12"/>
  <c r="EF167" i="12"/>
  <c r="EG167" i="12" s="1"/>
  <c r="DZ162" i="12"/>
  <c r="EH162" i="12" s="1"/>
  <c r="EF221" i="12"/>
  <c r="EG221" i="12" s="1"/>
  <c r="EF19" i="12"/>
  <c r="EG19" i="12" s="1"/>
  <c r="DZ128" i="12"/>
  <c r="EH128" i="12" s="1"/>
  <c r="DZ170" i="12"/>
  <c r="EH170" i="12" s="1"/>
  <c r="EF155" i="12"/>
  <c r="EG155" i="12" s="1"/>
  <c r="EF160" i="12"/>
  <c r="EG160" i="12" s="1"/>
  <c r="EF16" i="12"/>
  <c r="EF17" i="12"/>
  <c r="EG17" i="12" s="1"/>
  <c r="DZ234" i="12"/>
  <c r="EH234" i="12" s="1"/>
  <c r="DZ124" i="12"/>
  <c r="EH124" i="12" s="1"/>
  <c r="EF136" i="12"/>
  <c r="EG136" i="12" s="1"/>
  <c r="EF38" i="12"/>
  <c r="EG38" i="12" s="1"/>
  <c r="EF137" i="12"/>
  <c r="EG137" i="12" s="1"/>
  <c r="DZ182" i="12"/>
  <c r="EH182" i="12" s="1"/>
  <c r="EF198" i="12"/>
  <c r="EG198" i="12" s="1"/>
  <c r="EF150" i="12"/>
  <c r="EG150" i="12" s="1"/>
  <c r="EF161" i="12"/>
  <c r="EG161" i="12" s="1"/>
  <c r="DZ83" i="12"/>
  <c r="EH83" i="12" s="1"/>
  <c r="EF231" i="12"/>
  <c r="EG231" i="12" s="1"/>
  <c r="EF60" i="12"/>
  <c r="EG60" i="12" s="1"/>
  <c r="EF7" i="12"/>
  <c r="EG7" i="12" s="1"/>
  <c r="EF200" i="12"/>
  <c r="EG200" i="12" s="1"/>
  <c r="EF23" i="12"/>
  <c r="EG23" i="12" s="1"/>
  <c r="DZ152" i="12"/>
  <c r="EH152" i="12" s="1"/>
  <c r="EF10" i="12"/>
  <c r="EG10" i="12" s="1"/>
  <c r="EF135" i="12"/>
  <c r="EG135" i="12" s="1"/>
  <c r="EF67" i="12"/>
  <c r="EG67" i="12" s="1"/>
  <c r="EF72" i="12"/>
  <c r="EG72" i="12" s="1"/>
  <c r="EF9" i="12"/>
  <c r="EG9" i="12" s="1"/>
  <c r="EF222" i="12"/>
  <c r="EG222" i="12" s="1"/>
  <c r="DZ223" i="12"/>
  <c r="EH223" i="12" s="1"/>
  <c r="DZ148" i="12"/>
  <c r="EH148" i="12" s="1"/>
  <c r="EF202" i="12"/>
  <c r="EG202" i="12" s="1"/>
  <c r="EF84" i="12"/>
  <c r="EG84" i="12" s="1"/>
  <c r="EF112" i="12"/>
  <c r="EG112" i="12" s="1"/>
  <c r="EF25" i="12"/>
  <c r="EG25" i="12" s="1"/>
  <c r="EF213" i="12"/>
  <c r="EG213" i="12" s="1"/>
  <c r="DZ114" i="12"/>
  <c r="EH114" i="12" s="1"/>
  <c r="EF102" i="12"/>
  <c r="EG102" i="12" s="1"/>
  <c r="DZ201" i="12"/>
  <c r="EH201" i="12" s="1"/>
  <c r="EF217" i="12"/>
  <c r="EG217" i="12" s="1"/>
  <c r="EF156" i="12"/>
  <c r="EG156" i="12" s="1"/>
  <c r="DZ15" i="12"/>
  <c r="EH15" i="12" s="1"/>
  <c r="EF64" i="12"/>
  <c r="EF191" i="12"/>
  <c r="EG191" i="12" s="1"/>
  <c r="DZ130" i="12"/>
  <c r="EH130" i="12" s="1"/>
  <c r="DZ243" i="12"/>
  <c r="EH243" i="12" s="1"/>
  <c r="EF22" i="12"/>
  <c r="EG22" i="12" s="1"/>
  <c r="EF151" i="12"/>
  <c r="EG151" i="12" s="1"/>
  <c r="EF122" i="12"/>
  <c r="EG122" i="12" s="1"/>
  <c r="EF237" i="12"/>
  <c r="EG237" i="12" s="1"/>
  <c r="DZ208" i="12"/>
  <c r="EH208" i="12" s="1"/>
  <c r="EF44" i="12"/>
  <c r="EG44" i="12" s="1"/>
  <c r="DZ144" i="12"/>
  <c r="EH144" i="12" s="1"/>
  <c r="EF173" i="12"/>
  <c r="EG173" i="12" s="1"/>
  <c r="DZ12" i="12"/>
  <c r="EH12" i="12" s="1"/>
  <c r="DZ187" i="12"/>
  <c r="EH187" i="12" s="1"/>
  <c r="EF61" i="12"/>
  <c r="EG61" i="12" s="1"/>
  <c r="EF164" i="12"/>
  <c r="EG164" i="12" s="1"/>
  <c r="EF63" i="12"/>
  <c r="EG63" i="12" s="1"/>
  <c r="EF6" i="12"/>
  <c r="EG6" i="12" s="1"/>
  <c r="EF92" i="12"/>
  <c r="EG92" i="12" s="1"/>
  <c r="DZ226" i="12"/>
  <c r="EH226" i="12" s="1"/>
  <c r="DZ123" i="12"/>
  <c r="EH123" i="12" s="1"/>
  <c r="DZ40" i="12"/>
  <c r="EH40" i="12" s="1"/>
  <c r="DZ134" i="12"/>
  <c r="EH134" i="12" s="1"/>
  <c r="EF235" i="12"/>
  <c r="EG235" i="12" s="1"/>
  <c r="EF82" i="12"/>
  <c r="EG82" i="12" s="1"/>
  <c r="EF141" i="12"/>
  <c r="EG141" i="12" s="1"/>
  <c r="EF184" i="12"/>
  <c r="EG184" i="12" s="1"/>
  <c r="DZ199" i="12"/>
  <c r="EH199" i="12" s="1"/>
  <c r="EF138" i="12"/>
  <c r="EG138" i="12" s="1"/>
  <c r="EF66" i="12"/>
  <c r="EG66" i="12" s="1"/>
  <c r="EF159" i="12"/>
  <c r="EG159" i="12" s="1"/>
  <c r="DZ42" i="12"/>
  <c r="EH42" i="12" s="1"/>
  <c r="EF91" i="12"/>
  <c r="EG91" i="12" s="1"/>
  <c r="DZ48" i="12"/>
  <c r="EH48" i="12" s="1"/>
  <c r="EF158" i="12"/>
  <c r="EG158" i="12" s="1"/>
  <c r="EF51" i="12"/>
  <c r="EG51" i="12" s="1"/>
  <c r="DZ99" i="12"/>
  <c r="EH99" i="12" s="1"/>
  <c r="DZ166" i="12"/>
  <c r="EH166" i="12" s="1"/>
  <c r="DZ57" i="12"/>
  <c r="EH57" i="12" s="1"/>
  <c r="DZ220" i="12"/>
  <c r="EH220" i="12" s="1"/>
  <c r="DZ86" i="12"/>
  <c r="EH86" i="12" s="1"/>
  <c r="EF216" i="12"/>
  <c r="EG216" i="12" s="1"/>
  <c r="DZ218" i="12"/>
  <c r="EH218" i="12" s="1"/>
  <c r="EF172" i="12"/>
  <c r="EG172" i="12" s="1"/>
  <c r="EF225" i="12"/>
  <c r="EG225" i="12" s="1"/>
  <c r="EF24" i="12"/>
  <c r="EG24" i="12" s="1"/>
  <c r="EF108" i="12"/>
  <c r="EG108" i="12" s="1"/>
  <c r="EF104" i="12"/>
  <c r="EG104" i="12" s="1"/>
  <c r="DZ133" i="12"/>
  <c r="EH133" i="12" s="1"/>
  <c r="EF241" i="12"/>
  <c r="EG241" i="12" s="1"/>
  <c r="EF214" i="12"/>
  <c r="EG214" i="12" s="1"/>
  <c r="DZ93" i="12"/>
  <c r="EH93" i="12" s="1"/>
  <c r="EF179" i="12"/>
  <c r="DY179" i="12" s="1"/>
  <c r="DZ179" i="12" s="1"/>
  <c r="EH179" i="12" s="1"/>
  <c r="DZ55" i="12"/>
  <c r="EH55" i="12" s="1"/>
  <c r="EF55" i="12"/>
  <c r="EG55" i="12" s="1"/>
  <c r="DX244" i="12"/>
  <c r="DZ5" i="12"/>
  <c r="EF5" i="12"/>
  <c r="DZ103" i="12"/>
  <c r="EH103" i="12" s="1"/>
  <c r="EF103" i="12"/>
  <c r="EG103" i="12" s="1"/>
  <c r="DZ210" i="12"/>
  <c r="EH210" i="12" s="1"/>
  <c r="EF210" i="12"/>
  <c r="EG210" i="12" s="1"/>
  <c r="DZ71" i="12"/>
  <c r="EH71" i="12" s="1"/>
  <c r="EF71" i="12"/>
  <c r="EG71" i="12" s="1"/>
  <c r="DZ224" i="12"/>
  <c r="EH224" i="12" s="1"/>
  <c r="EF224" i="12"/>
  <c r="EG224" i="12" s="1"/>
  <c r="DY244" i="12" l="1"/>
  <c r="DZ244" i="12"/>
  <c r="EH5" i="12"/>
  <c r="EH244" i="12" s="1"/>
  <c r="EF244" i="12"/>
  <c r="EG5" i="12"/>
  <c r="B77" i="8" l="1"/>
  <c r="U3" i="8"/>
  <c r="F32" i="8"/>
  <c r="C60" i="8" l="1"/>
  <c r="C56" i="8"/>
  <c r="C50" i="8"/>
  <c r="C47" i="8"/>
  <c r="C39" i="8" l="1"/>
  <c r="C35" i="8"/>
  <c r="C29" i="8"/>
  <c r="C25" i="8"/>
  <c r="C21" i="8"/>
  <c r="B80" i="8" l="1"/>
  <c r="C79" i="8"/>
  <c r="C78" i="8"/>
  <c r="C77" i="8"/>
  <c r="C16" i="8"/>
  <c r="C80" i="8" l="1"/>
  <c r="F26" i="8"/>
  <c r="F20" i="8"/>
  <c r="F23" i="8"/>
  <c r="F17" i="8"/>
  <c r="F38" i="8" s="1"/>
  <c r="F14" i="8"/>
  <c r="F7" i="8"/>
  <c r="A39" i="1"/>
  <c r="F39" i="8" l="1"/>
  <c r="I25" i="8"/>
  <c r="I63" i="8"/>
  <c r="I50" i="8"/>
  <c r="I67" i="8"/>
  <c r="I28" i="8"/>
  <c r="I21" i="8"/>
  <c r="I8" i="8"/>
  <c r="R4" i="8"/>
  <c r="L3" i="8" l="1"/>
  <c r="L4" i="8" s="1"/>
  <c r="O3" i="8"/>
  <c r="O4" i="8" s="1"/>
  <c r="C2" i="8"/>
  <c r="C5" i="8" l="1"/>
  <c r="C63" i="8" s="1"/>
  <c r="D1025" i="5" l="1"/>
  <c r="D1024" i="5"/>
  <c r="D1023" i="5"/>
  <c r="D1022" i="5"/>
  <c r="AY244" i="1" l="1"/>
  <c r="AX244" i="1"/>
  <c r="AW244" i="1"/>
  <c r="H244" i="1"/>
  <c r="G244" i="1"/>
  <c r="F244" i="1"/>
  <c r="E244" i="1"/>
  <c r="D244" i="1"/>
  <c r="BO243" i="1"/>
  <c r="BN243" i="1"/>
  <c r="BL243" i="1"/>
  <c r="BK243" i="1"/>
  <c r="BJ243" i="1"/>
  <c r="BI243" i="1"/>
  <c r="AV243" i="1"/>
  <c r="AT243" i="1"/>
  <c r="AP243" i="1"/>
  <c r="AI243" i="1"/>
  <c r="BM243" i="1" s="1"/>
  <c r="AD243" i="1"/>
  <c r="AC243" i="1"/>
  <c r="C243" i="1"/>
  <c r="BP243" i="1" s="1"/>
  <c r="BO242" i="1"/>
  <c r="BL242" i="1"/>
  <c r="BK242" i="1"/>
  <c r="BJ242" i="1"/>
  <c r="BI242" i="1"/>
  <c r="AV242" i="1"/>
  <c r="AI242" i="1"/>
  <c r="BM242" i="1" s="1"/>
  <c r="AD242" i="1"/>
  <c r="AC242" i="1"/>
  <c r="C242" i="1"/>
  <c r="BN242" i="1" s="1"/>
  <c r="BO241" i="1"/>
  <c r="BM241" i="1"/>
  <c r="BL241" i="1"/>
  <c r="BK241" i="1"/>
  <c r="BJ241" i="1"/>
  <c r="BI241" i="1"/>
  <c r="AV241" i="1"/>
  <c r="AI241" i="1"/>
  <c r="AD241" i="1"/>
  <c r="AC241" i="1"/>
  <c r="C241" i="1"/>
  <c r="BP241" i="1" s="1"/>
  <c r="BP240" i="1"/>
  <c r="BL240" i="1"/>
  <c r="BK240" i="1"/>
  <c r="BJ240" i="1"/>
  <c r="BI240" i="1"/>
  <c r="AV240" i="1"/>
  <c r="AI240" i="1"/>
  <c r="BM240" i="1" s="1"/>
  <c r="AD240" i="1"/>
  <c r="AC240" i="1"/>
  <c r="C240" i="1"/>
  <c r="BP239" i="1"/>
  <c r="BN239" i="1"/>
  <c r="BM239" i="1"/>
  <c r="BL239" i="1"/>
  <c r="BJ239" i="1"/>
  <c r="BI239" i="1"/>
  <c r="AV239" i="1"/>
  <c r="AD239" i="1"/>
  <c r="AC239" i="1"/>
  <c r="C239" i="1"/>
  <c r="BO239" i="1" s="1"/>
  <c r="BP238" i="1"/>
  <c r="BJ238" i="1"/>
  <c r="BI238" i="1"/>
  <c r="AV238" i="1"/>
  <c r="AI238" i="1"/>
  <c r="AD238" i="1"/>
  <c r="AC238" i="1"/>
  <c r="C238" i="1"/>
  <c r="BO237" i="1"/>
  <c r="BK237" i="1"/>
  <c r="BJ237" i="1"/>
  <c r="AV237" i="1"/>
  <c r="AI237" i="1"/>
  <c r="BM237" i="1" s="1"/>
  <c r="AD237" i="1"/>
  <c r="AC237" i="1"/>
  <c r="C237" i="1"/>
  <c r="BP237" i="1" s="1"/>
  <c r="BP236" i="1"/>
  <c r="BJ236" i="1"/>
  <c r="BI236" i="1"/>
  <c r="AV236" i="1"/>
  <c r="AI236" i="1"/>
  <c r="AD236" i="1"/>
  <c r="AC236" i="1"/>
  <c r="C236" i="1"/>
  <c r="BL236" i="1" s="1"/>
  <c r="BP235" i="1"/>
  <c r="BJ235" i="1"/>
  <c r="BI235" i="1"/>
  <c r="AV235" i="1"/>
  <c r="AI235" i="1"/>
  <c r="BM235" i="1" s="1"/>
  <c r="AD235" i="1"/>
  <c r="AC235" i="1"/>
  <c r="C235" i="1"/>
  <c r="BO234" i="1"/>
  <c r="BJ234" i="1"/>
  <c r="BI234" i="1"/>
  <c r="AV234" i="1"/>
  <c r="AI234" i="1"/>
  <c r="BM234" i="1" s="1"/>
  <c r="AD234" i="1"/>
  <c r="AC234" i="1"/>
  <c r="C234" i="1"/>
  <c r="BP234" i="1" s="1"/>
  <c r="BP233" i="1"/>
  <c r="BM233" i="1"/>
  <c r="BL233" i="1"/>
  <c r="BK233" i="1"/>
  <c r="BJ233" i="1"/>
  <c r="BI233" i="1"/>
  <c r="AV233" i="1"/>
  <c r="AI233" i="1"/>
  <c r="AD233" i="1"/>
  <c r="AC233" i="1"/>
  <c r="C233" i="1"/>
  <c r="BN233" i="1" s="1"/>
  <c r="BP232" i="1"/>
  <c r="BL232" i="1"/>
  <c r="BJ232" i="1"/>
  <c r="BI232" i="1"/>
  <c r="AV232" i="1"/>
  <c r="AI232" i="1"/>
  <c r="AD232" i="1"/>
  <c r="AC232" i="1"/>
  <c r="C232" i="1"/>
  <c r="BK232" i="1" s="1"/>
  <c r="BP231" i="1"/>
  <c r="BL231" i="1"/>
  <c r="BJ231" i="1"/>
  <c r="BI231" i="1"/>
  <c r="AV231" i="1"/>
  <c r="AI231" i="1"/>
  <c r="BM231" i="1" s="1"/>
  <c r="AD231" i="1"/>
  <c r="AC231" i="1"/>
  <c r="C231" i="1"/>
  <c r="BN231" i="1" s="1"/>
  <c r="BO230" i="1"/>
  <c r="BJ230" i="1"/>
  <c r="AV230" i="1"/>
  <c r="AI230" i="1"/>
  <c r="AD230" i="1"/>
  <c r="AC230" i="1"/>
  <c r="C230" i="1"/>
  <c r="BN230" i="1" s="1"/>
  <c r="BP229" i="1"/>
  <c r="BJ229" i="1"/>
  <c r="BI229" i="1"/>
  <c r="AV229" i="1"/>
  <c r="AI229" i="1"/>
  <c r="AD229" i="1"/>
  <c r="AC229" i="1"/>
  <c r="C229" i="1"/>
  <c r="BL229" i="1" s="1"/>
  <c r="BP228" i="1"/>
  <c r="BJ228" i="1"/>
  <c r="BI228" i="1"/>
  <c r="AV228" i="1"/>
  <c r="AI228" i="1"/>
  <c r="AD228" i="1"/>
  <c r="AC228" i="1"/>
  <c r="C228" i="1"/>
  <c r="BL228" i="1" s="1"/>
  <c r="BO227" i="1"/>
  <c r="BJ227" i="1"/>
  <c r="AV227" i="1"/>
  <c r="AI227" i="1"/>
  <c r="BM227" i="1" s="1"/>
  <c r="AD227" i="1"/>
  <c r="AC227" i="1"/>
  <c r="C227" i="1"/>
  <c r="BO226" i="1"/>
  <c r="BJ226" i="1"/>
  <c r="AV226" i="1"/>
  <c r="AI226" i="1"/>
  <c r="AD226" i="1"/>
  <c r="AC226" i="1"/>
  <c r="C226" i="1"/>
  <c r="BP226" i="1" s="1"/>
  <c r="BO225" i="1"/>
  <c r="BJ225" i="1"/>
  <c r="AV225" i="1"/>
  <c r="AI225" i="1"/>
  <c r="BM225" i="1" s="1"/>
  <c r="AD225" i="1"/>
  <c r="AC225" i="1"/>
  <c r="C225" i="1"/>
  <c r="BP224" i="1"/>
  <c r="BJ224" i="1"/>
  <c r="BI224" i="1"/>
  <c r="AV224" i="1"/>
  <c r="AI224" i="1"/>
  <c r="AD224" i="1"/>
  <c r="AC224" i="1"/>
  <c r="C224" i="1"/>
  <c r="BL224" i="1" s="1"/>
  <c r="BO223" i="1"/>
  <c r="BJ223" i="1"/>
  <c r="BI223" i="1"/>
  <c r="AV223" i="1"/>
  <c r="AI223" i="1"/>
  <c r="AD223" i="1"/>
  <c r="AC223" i="1"/>
  <c r="C223" i="1"/>
  <c r="BP223" i="1" s="1"/>
  <c r="BP222" i="1"/>
  <c r="BI222" i="1"/>
  <c r="AV222" i="1"/>
  <c r="AI222" i="1"/>
  <c r="AD222" i="1"/>
  <c r="AC222" i="1"/>
  <c r="C222" i="1"/>
  <c r="BO221" i="1"/>
  <c r="BJ221" i="1"/>
  <c r="AV221" i="1"/>
  <c r="AI221" i="1"/>
  <c r="AD221" i="1"/>
  <c r="AC221" i="1"/>
  <c r="C221" i="1"/>
  <c r="BP221" i="1" s="1"/>
  <c r="BO220" i="1"/>
  <c r="BJ220" i="1"/>
  <c r="AV220" i="1"/>
  <c r="AI220" i="1"/>
  <c r="AD220" i="1"/>
  <c r="AC220" i="1"/>
  <c r="C220" i="1"/>
  <c r="BN220" i="1" s="1"/>
  <c r="BP219" i="1"/>
  <c r="BI219" i="1"/>
  <c r="AV219" i="1"/>
  <c r="AI219" i="1"/>
  <c r="AD219" i="1"/>
  <c r="AC219" i="1"/>
  <c r="C219" i="1"/>
  <c r="BL219" i="1" s="1"/>
  <c r="BO218" i="1"/>
  <c r="BL218" i="1"/>
  <c r="BJ218" i="1"/>
  <c r="BI218" i="1"/>
  <c r="AV218" i="1"/>
  <c r="AI218" i="1"/>
  <c r="AD218" i="1"/>
  <c r="AC218" i="1"/>
  <c r="C218" i="1"/>
  <c r="BP218" i="1" s="1"/>
  <c r="BP217" i="1"/>
  <c r="BM217" i="1"/>
  <c r="BJ217" i="1"/>
  <c r="BI217" i="1"/>
  <c r="AV217" i="1"/>
  <c r="AI217" i="1"/>
  <c r="AD217" i="1"/>
  <c r="AC217" i="1"/>
  <c r="C217" i="1"/>
  <c r="BP216" i="1"/>
  <c r="BJ216" i="1"/>
  <c r="BI216" i="1"/>
  <c r="AV216" i="1"/>
  <c r="AI216" i="1"/>
  <c r="AD216" i="1"/>
  <c r="AC216" i="1"/>
  <c r="C216" i="1"/>
  <c r="BL216" i="1" s="1"/>
  <c r="BP215" i="1"/>
  <c r="BJ215" i="1"/>
  <c r="BI215" i="1"/>
  <c r="AV215" i="1"/>
  <c r="AI215" i="1"/>
  <c r="BM215" i="1" s="1"/>
  <c r="AD215" i="1"/>
  <c r="AC215" i="1"/>
  <c r="C215" i="1"/>
  <c r="BL215" i="1" s="1"/>
  <c r="BP214" i="1"/>
  <c r="BJ214" i="1"/>
  <c r="BI214" i="1"/>
  <c r="AV214" i="1"/>
  <c r="AI214" i="1"/>
  <c r="AD214" i="1"/>
  <c r="AC214" i="1"/>
  <c r="C214" i="1"/>
  <c r="BL214" i="1" s="1"/>
  <c r="BP213" i="1"/>
  <c r="BJ213" i="1"/>
  <c r="BI213" i="1"/>
  <c r="AV213" i="1"/>
  <c r="AI213" i="1"/>
  <c r="BM213" i="1" s="1"/>
  <c r="AD213" i="1"/>
  <c r="AC213" i="1"/>
  <c r="C213" i="1"/>
  <c r="BP212" i="1"/>
  <c r="BJ212" i="1"/>
  <c r="BI212" i="1"/>
  <c r="AV212" i="1"/>
  <c r="AI212" i="1"/>
  <c r="AD212" i="1"/>
  <c r="AC212" i="1"/>
  <c r="C212" i="1"/>
  <c r="BL212" i="1" s="1"/>
  <c r="BP211" i="1"/>
  <c r="BK211" i="1"/>
  <c r="BJ211" i="1"/>
  <c r="BI211" i="1"/>
  <c r="AV211" i="1"/>
  <c r="AI211" i="1"/>
  <c r="BM211" i="1" s="1"/>
  <c r="AD211" i="1"/>
  <c r="AC211" i="1"/>
  <c r="C211" i="1"/>
  <c r="BL211" i="1" s="1"/>
  <c r="BP210" i="1"/>
  <c r="BJ210" i="1"/>
  <c r="BI210" i="1"/>
  <c r="AV210" i="1"/>
  <c r="AI210" i="1"/>
  <c r="AD210" i="1"/>
  <c r="AC210" i="1"/>
  <c r="C210" i="1"/>
  <c r="BL210" i="1" s="1"/>
  <c r="BO209" i="1"/>
  <c r="BK209" i="1"/>
  <c r="BJ209" i="1"/>
  <c r="AV209" i="1"/>
  <c r="AI209" i="1"/>
  <c r="AD209" i="1"/>
  <c r="AC209" i="1"/>
  <c r="C209" i="1"/>
  <c r="BP209" i="1" s="1"/>
  <c r="BP208" i="1"/>
  <c r="BJ208" i="1"/>
  <c r="BI208" i="1"/>
  <c r="AV208" i="1"/>
  <c r="AI208" i="1"/>
  <c r="AD208" i="1"/>
  <c r="AC208" i="1"/>
  <c r="C208" i="1"/>
  <c r="BL208" i="1" s="1"/>
  <c r="BP207" i="1"/>
  <c r="BI207" i="1"/>
  <c r="AV207" i="1"/>
  <c r="AI207" i="1"/>
  <c r="AD207" i="1"/>
  <c r="AC207" i="1"/>
  <c r="C207" i="1"/>
  <c r="BO207" i="1" s="1"/>
  <c r="BP206" i="1"/>
  <c r="BK206" i="1"/>
  <c r="BI206" i="1"/>
  <c r="AV206" i="1"/>
  <c r="AI206" i="1"/>
  <c r="BM206" i="1" s="1"/>
  <c r="AD206" i="1"/>
  <c r="AC206" i="1"/>
  <c r="C206" i="1"/>
  <c r="BL206" i="1" s="1"/>
  <c r="BP205" i="1"/>
  <c r="BJ205" i="1"/>
  <c r="BI205" i="1"/>
  <c r="AV205" i="1"/>
  <c r="AI205" i="1"/>
  <c r="BM205" i="1" s="1"/>
  <c r="AD205" i="1"/>
  <c r="AC205" i="1"/>
  <c r="C205" i="1"/>
  <c r="BL205" i="1" s="1"/>
  <c r="BP204" i="1"/>
  <c r="BK204" i="1"/>
  <c r="BJ204" i="1"/>
  <c r="BI204" i="1"/>
  <c r="AV204" i="1"/>
  <c r="AI204" i="1"/>
  <c r="BM204" i="1" s="1"/>
  <c r="AD204" i="1"/>
  <c r="AC204" i="1"/>
  <c r="C204" i="1"/>
  <c r="BL204" i="1" s="1"/>
  <c r="BP203" i="1"/>
  <c r="BJ203" i="1"/>
  <c r="BI203" i="1"/>
  <c r="AV203" i="1"/>
  <c r="AI203" i="1"/>
  <c r="AD203" i="1"/>
  <c r="AC203" i="1"/>
  <c r="C203" i="1"/>
  <c r="BP202" i="1"/>
  <c r="BJ202" i="1"/>
  <c r="BI202" i="1"/>
  <c r="AV202" i="1"/>
  <c r="AI202" i="1"/>
  <c r="AD202" i="1"/>
  <c r="AC202" i="1"/>
  <c r="C202" i="1"/>
  <c r="BL202" i="1" s="1"/>
  <c r="BP201" i="1"/>
  <c r="BJ201" i="1"/>
  <c r="BI201" i="1"/>
  <c r="AV201" i="1"/>
  <c r="AI201" i="1"/>
  <c r="AD201" i="1"/>
  <c r="AC201" i="1"/>
  <c r="C201" i="1"/>
  <c r="BL201" i="1" s="1"/>
  <c r="BP200" i="1"/>
  <c r="BJ200" i="1"/>
  <c r="BI200" i="1"/>
  <c r="AV200" i="1"/>
  <c r="AI200" i="1"/>
  <c r="BM200" i="1" s="1"/>
  <c r="AD200" i="1"/>
  <c r="AC200" i="1"/>
  <c r="C200" i="1"/>
  <c r="BL200" i="1" s="1"/>
  <c r="BP199" i="1"/>
  <c r="BJ199" i="1"/>
  <c r="BI199" i="1"/>
  <c r="AV199" i="1"/>
  <c r="AI199" i="1"/>
  <c r="AD199" i="1"/>
  <c r="AC199" i="1"/>
  <c r="C199" i="1"/>
  <c r="BO198" i="1"/>
  <c r="BJ198" i="1"/>
  <c r="AV198" i="1"/>
  <c r="AI198" i="1"/>
  <c r="AD198" i="1"/>
  <c r="AC198" i="1"/>
  <c r="C198" i="1"/>
  <c r="BP198" i="1" s="1"/>
  <c r="BO197" i="1"/>
  <c r="BM197" i="1"/>
  <c r="BJ197" i="1"/>
  <c r="AV197" i="1"/>
  <c r="AI197" i="1"/>
  <c r="AD197" i="1"/>
  <c r="AC197" i="1"/>
  <c r="C197" i="1"/>
  <c r="BP196" i="1"/>
  <c r="BK196" i="1"/>
  <c r="BI196" i="1"/>
  <c r="AV196" i="1"/>
  <c r="AI196" i="1"/>
  <c r="BM196" i="1" s="1"/>
  <c r="AD196" i="1"/>
  <c r="AC196" i="1"/>
  <c r="C196" i="1"/>
  <c r="BL196" i="1" s="1"/>
  <c r="BP195" i="1"/>
  <c r="BK195" i="1"/>
  <c r="BI195" i="1"/>
  <c r="AV195" i="1"/>
  <c r="AI195" i="1"/>
  <c r="BM195" i="1" s="1"/>
  <c r="AD195" i="1"/>
  <c r="AC195" i="1"/>
  <c r="C195" i="1"/>
  <c r="BL195" i="1" s="1"/>
  <c r="BP194" i="1"/>
  <c r="BN194" i="1"/>
  <c r="BI194" i="1"/>
  <c r="AV194" i="1"/>
  <c r="AI194" i="1"/>
  <c r="AD194" i="1"/>
  <c r="AC194" i="1"/>
  <c r="C194" i="1"/>
  <c r="BP193" i="1"/>
  <c r="BK193" i="1"/>
  <c r="BI193" i="1"/>
  <c r="AV193" i="1"/>
  <c r="AI193" i="1"/>
  <c r="BM193" i="1" s="1"/>
  <c r="AD193" i="1"/>
  <c r="AC193" i="1"/>
  <c r="C193" i="1"/>
  <c r="BL193" i="1" s="1"/>
  <c r="BP192" i="1"/>
  <c r="BK192" i="1"/>
  <c r="BI192" i="1"/>
  <c r="AV192" i="1"/>
  <c r="AI192" i="1"/>
  <c r="AD192" i="1"/>
  <c r="AC192" i="1"/>
  <c r="C192" i="1"/>
  <c r="BL192" i="1" s="1"/>
  <c r="BP191" i="1"/>
  <c r="BI191" i="1"/>
  <c r="AV191" i="1"/>
  <c r="AI191" i="1"/>
  <c r="BM191" i="1" s="1"/>
  <c r="AD191" i="1"/>
  <c r="AC191" i="1"/>
  <c r="C191" i="1"/>
  <c r="BL191" i="1" s="1"/>
  <c r="BP190" i="1"/>
  <c r="BJ190" i="1"/>
  <c r="BI190" i="1"/>
  <c r="AV190" i="1"/>
  <c r="AI190" i="1"/>
  <c r="AD190" i="1"/>
  <c r="AC190" i="1"/>
  <c r="C190" i="1"/>
  <c r="BL190" i="1" s="1"/>
  <c r="BP189" i="1"/>
  <c r="BI189" i="1"/>
  <c r="AV189" i="1"/>
  <c r="AI189" i="1"/>
  <c r="AD189" i="1"/>
  <c r="AC189" i="1"/>
  <c r="C189" i="1"/>
  <c r="BP188" i="1"/>
  <c r="BI188" i="1"/>
  <c r="AV188" i="1"/>
  <c r="AI188" i="1"/>
  <c r="AD188" i="1"/>
  <c r="AC188" i="1"/>
  <c r="C188" i="1"/>
  <c r="BL188" i="1" s="1"/>
  <c r="BP187" i="1"/>
  <c r="BI187" i="1"/>
  <c r="AV187" i="1"/>
  <c r="AI187" i="1"/>
  <c r="AD187" i="1"/>
  <c r="AC187" i="1"/>
  <c r="C187" i="1"/>
  <c r="BL187" i="1" s="1"/>
  <c r="BO186" i="1"/>
  <c r="BJ186" i="1"/>
  <c r="AV186" i="1"/>
  <c r="AI186" i="1"/>
  <c r="AD186" i="1"/>
  <c r="AC186" i="1"/>
  <c r="C186" i="1"/>
  <c r="BP186" i="1" s="1"/>
  <c r="BP185" i="1"/>
  <c r="BI185" i="1"/>
  <c r="AV185" i="1"/>
  <c r="AI185" i="1"/>
  <c r="AD185" i="1"/>
  <c r="AC185" i="1"/>
  <c r="C185" i="1"/>
  <c r="BL185" i="1" s="1"/>
  <c r="BP184" i="1"/>
  <c r="BI184" i="1"/>
  <c r="AV184" i="1"/>
  <c r="AI184" i="1"/>
  <c r="AD184" i="1"/>
  <c r="AC184" i="1"/>
  <c r="C184" i="1"/>
  <c r="BO183" i="1"/>
  <c r="BJ183" i="1"/>
  <c r="AV183" i="1"/>
  <c r="AI183" i="1"/>
  <c r="BM183" i="1" s="1"/>
  <c r="AD183" i="1"/>
  <c r="AC183" i="1"/>
  <c r="C183" i="1"/>
  <c r="BP183" i="1" s="1"/>
  <c r="BO182" i="1"/>
  <c r="BJ182" i="1"/>
  <c r="AV182" i="1"/>
  <c r="AI182" i="1"/>
  <c r="AD182" i="1"/>
  <c r="AC182" i="1"/>
  <c r="C182" i="1"/>
  <c r="BP182" i="1" s="1"/>
  <c r="BO181" i="1"/>
  <c r="BJ181" i="1"/>
  <c r="AV181" i="1"/>
  <c r="AI181" i="1"/>
  <c r="BM181" i="1" s="1"/>
  <c r="AD181" i="1"/>
  <c r="AC181" i="1"/>
  <c r="C181" i="1"/>
  <c r="BP181" i="1" s="1"/>
  <c r="BO180" i="1"/>
  <c r="BJ180" i="1"/>
  <c r="AV180" i="1"/>
  <c r="AI180" i="1"/>
  <c r="AD180" i="1"/>
  <c r="AC180" i="1"/>
  <c r="C180" i="1"/>
  <c r="BO179" i="1"/>
  <c r="BJ179" i="1"/>
  <c r="AV179" i="1"/>
  <c r="AI179" i="1"/>
  <c r="AD179" i="1"/>
  <c r="AC179" i="1"/>
  <c r="C179" i="1"/>
  <c r="BN179" i="1" s="1"/>
  <c r="BO178" i="1"/>
  <c r="BJ178" i="1"/>
  <c r="AV178" i="1"/>
  <c r="AI178" i="1"/>
  <c r="AD178" i="1"/>
  <c r="AC178" i="1"/>
  <c r="C178" i="1"/>
  <c r="BL178" i="1" s="1"/>
  <c r="BO177" i="1"/>
  <c r="BJ177" i="1"/>
  <c r="AV177" i="1"/>
  <c r="AI177" i="1"/>
  <c r="AD177" i="1"/>
  <c r="AC177" i="1"/>
  <c r="C177" i="1"/>
  <c r="BN177" i="1" s="1"/>
  <c r="BP176" i="1"/>
  <c r="BI176" i="1"/>
  <c r="AV176" i="1"/>
  <c r="AI176" i="1"/>
  <c r="AD176" i="1"/>
  <c r="AC176" i="1"/>
  <c r="C176" i="1"/>
  <c r="BL176" i="1" s="1"/>
  <c r="BP175" i="1"/>
  <c r="BI175" i="1"/>
  <c r="AV175" i="1"/>
  <c r="AI175" i="1"/>
  <c r="AD175" i="1"/>
  <c r="AC175" i="1"/>
  <c r="C175" i="1"/>
  <c r="BO174" i="1"/>
  <c r="BJ174" i="1"/>
  <c r="BI174" i="1"/>
  <c r="AV174" i="1"/>
  <c r="AI174" i="1"/>
  <c r="AD174" i="1"/>
  <c r="AC174" i="1"/>
  <c r="C174" i="1"/>
  <c r="BO173" i="1"/>
  <c r="BJ173" i="1"/>
  <c r="BI173" i="1"/>
  <c r="AV173" i="1"/>
  <c r="AI173" i="1"/>
  <c r="AD173" i="1"/>
  <c r="AC173" i="1"/>
  <c r="C173" i="1"/>
  <c r="BN173" i="1" s="1"/>
  <c r="BO172" i="1"/>
  <c r="BJ172" i="1"/>
  <c r="AV172" i="1"/>
  <c r="AI172" i="1"/>
  <c r="AD172" i="1"/>
  <c r="AC172" i="1"/>
  <c r="C172" i="1"/>
  <c r="BL172" i="1" s="1"/>
  <c r="BP171" i="1"/>
  <c r="BI171" i="1"/>
  <c r="AV171" i="1"/>
  <c r="AI171" i="1"/>
  <c r="AD171" i="1"/>
  <c r="AC171" i="1"/>
  <c r="C171" i="1"/>
  <c r="BP170" i="1"/>
  <c r="BI170" i="1"/>
  <c r="AV170" i="1"/>
  <c r="AI170" i="1"/>
  <c r="AD170" i="1"/>
  <c r="AC170" i="1"/>
  <c r="C170" i="1"/>
  <c r="BL170" i="1" s="1"/>
  <c r="BO169" i="1"/>
  <c r="BJ169" i="1"/>
  <c r="AV169" i="1"/>
  <c r="AI169" i="1"/>
  <c r="AD169" i="1"/>
  <c r="AC169" i="1"/>
  <c r="C169" i="1"/>
  <c r="BP168" i="1"/>
  <c r="BL168" i="1"/>
  <c r="BJ168" i="1"/>
  <c r="BI168" i="1"/>
  <c r="AV168" i="1"/>
  <c r="AI168" i="1"/>
  <c r="AD168" i="1"/>
  <c r="AC168" i="1"/>
  <c r="C168" i="1"/>
  <c r="BP167" i="1"/>
  <c r="BJ167" i="1"/>
  <c r="BI167" i="1"/>
  <c r="AV167" i="1"/>
  <c r="AI167" i="1"/>
  <c r="AD167" i="1"/>
  <c r="AC167" i="1"/>
  <c r="C167" i="1"/>
  <c r="BM167" i="1" s="1"/>
  <c r="BP166" i="1"/>
  <c r="BJ166" i="1"/>
  <c r="BI166" i="1"/>
  <c r="AV166" i="1"/>
  <c r="AI166" i="1"/>
  <c r="AD166" i="1"/>
  <c r="AC166" i="1"/>
  <c r="C166" i="1"/>
  <c r="BL166" i="1" s="1"/>
  <c r="BP165" i="1"/>
  <c r="BN165" i="1"/>
  <c r="BJ165" i="1"/>
  <c r="BI165" i="1"/>
  <c r="AV165" i="1"/>
  <c r="AI165" i="1"/>
  <c r="AD165" i="1"/>
  <c r="AC165" i="1"/>
  <c r="C165" i="1"/>
  <c r="BP164" i="1"/>
  <c r="BJ164" i="1"/>
  <c r="BI164" i="1"/>
  <c r="AV164" i="1"/>
  <c r="AI164" i="1"/>
  <c r="AD164" i="1"/>
  <c r="AC164" i="1"/>
  <c r="C164" i="1"/>
  <c r="BP163" i="1"/>
  <c r="BJ163" i="1"/>
  <c r="BI163" i="1"/>
  <c r="AV163" i="1"/>
  <c r="AI163" i="1"/>
  <c r="AD163" i="1"/>
  <c r="AC163" i="1"/>
  <c r="C163" i="1"/>
  <c r="BO162" i="1"/>
  <c r="BJ162" i="1"/>
  <c r="AV162" i="1"/>
  <c r="AI162" i="1"/>
  <c r="AD162" i="1"/>
  <c r="AC162" i="1"/>
  <c r="C162" i="1"/>
  <c r="BL162" i="1" s="1"/>
  <c r="BP161" i="1"/>
  <c r="BJ161" i="1"/>
  <c r="BI161" i="1"/>
  <c r="AV161" i="1"/>
  <c r="AI161" i="1"/>
  <c r="AD161" i="1"/>
  <c r="AC161" i="1"/>
  <c r="C161" i="1"/>
  <c r="BN161" i="1" s="1"/>
  <c r="BP160" i="1"/>
  <c r="BJ160" i="1"/>
  <c r="BI160" i="1"/>
  <c r="AV160" i="1"/>
  <c r="AI160" i="1"/>
  <c r="AD160" i="1"/>
  <c r="AC160" i="1"/>
  <c r="C160" i="1"/>
  <c r="BL160" i="1" s="1"/>
  <c r="BP159" i="1"/>
  <c r="BN159" i="1"/>
  <c r="BJ159" i="1"/>
  <c r="BI159" i="1"/>
  <c r="AV159" i="1"/>
  <c r="AI159" i="1"/>
  <c r="AD159" i="1"/>
  <c r="AC159" i="1"/>
  <c r="C159" i="1"/>
  <c r="BP158" i="1"/>
  <c r="BJ158" i="1"/>
  <c r="BI158" i="1"/>
  <c r="AV158" i="1"/>
  <c r="AI158" i="1"/>
  <c r="AD158" i="1"/>
  <c r="AC158" i="1"/>
  <c r="C158" i="1"/>
  <c r="BL158" i="1" s="1"/>
  <c r="BP157" i="1"/>
  <c r="BJ157" i="1"/>
  <c r="BI157" i="1"/>
  <c r="AV157" i="1"/>
  <c r="AI157" i="1"/>
  <c r="AD157" i="1"/>
  <c r="AC157" i="1"/>
  <c r="C157" i="1"/>
  <c r="BP156" i="1"/>
  <c r="BJ156" i="1"/>
  <c r="BI156" i="1"/>
  <c r="AV156" i="1"/>
  <c r="AI156" i="1"/>
  <c r="AD156" i="1"/>
  <c r="AC156" i="1"/>
  <c r="C156" i="1"/>
  <c r="BL156" i="1" s="1"/>
  <c r="BP155" i="1"/>
  <c r="BJ155" i="1"/>
  <c r="BI155" i="1"/>
  <c r="AV155" i="1"/>
  <c r="AI155" i="1"/>
  <c r="AD155" i="1"/>
  <c r="AC155" i="1"/>
  <c r="C155" i="1"/>
  <c r="BN155" i="1" s="1"/>
  <c r="BP154" i="1"/>
  <c r="BJ154" i="1"/>
  <c r="BI154" i="1"/>
  <c r="AV154" i="1"/>
  <c r="AI154" i="1"/>
  <c r="AD154" i="1"/>
  <c r="AC154" i="1"/>
  <c r="C154" i="1"/>
  <c r="BL154" i="1" s="1"/>
  <c r="BP153" i="1"/>
  <c r="BJ153" i="1"/>
  <c r="BI153" i="1"/>
  <c r="AV153" i="1"/>
  <c r="AI153" i="1"/>
  <c r="AD153" i="1"/>
  <c r="AC153" i="1"/>
  <c r="C153" i="1"/>
  <c r="BN153" i="1" s="1"/>
  <c r="BP152" i="1"/>
  <c r="BJ152" i="1"/>
  <c r="BI152" i="1"/>
  <c r="AV152" i="1"/>
  <c r="AI152" i="1"/>
  <c r="AD152" i="1"/>
  <c r="AC152" i="1"/>
  <c r="C152" i="1"/>
  <c r="BL152" i="1" s="1"/>
  <c r="BP151" i="1"/>
  <c r="BJ151" i="1"/>
  <c r="BI151" i="1"/>
  <c r="AV151" i="1"/>
  <c r="AI151" i="1"/>
  <c r="AD151" i="1"/>
  <c r="AC151" i="1"/>
  <c r="C151" i="1"/>
  <c r="BN151" i="1" s="1"/>
  <c r="BP150" i="1"/>
  <c r="BJ150" i="1"/>
  <c r="BI150" i="1"/>
  <c r="AV150" i="1"/>
  <c r="AI150" i="1"/>
  <c r="AD150" i="1"/>
  <c r="AC150" i="1"/>
  <c r="C150" i="1"/>
  <c r="BL150" i="1" s="1"/>
  <c r="BP149" i="1"/>
  <c r="BJ149" i="1"/>
  <c r="BI149" i="1"/>
  <c r="AV149" i="1"/>
  <c r="AI149" i="1"/>
  <c r="AD149" i="1"/>
  <c r="AC149" i="1"/>
  <c r="C149" i="1"/>
  <c r="BP148" i="1"/>
  <c r="BJ148" i="1"/>
  <c r="BI148" i="1"/>
  <c r="AV148" i="1"/>
  <c r="AI148" i="1"/>
  <c r="AD148" i="1"/>
  <c r="AC148" i="1"/>
  <c r="C148" i="1"/>
  <c r="BL148" i="1" s="1"/>
  <c r="BP147" i="1"/>
  <c r="BI147" i="1"/>
  <c r="AV147" i="1"/>
  <c r="AI147" i="1"/>
  <c r="AD147" i="1"/>
  <c r="AC147" i="1"/>
  <c r="C147" i="1"/>
  <c r="BP146" i="1"/>
  <c r="BI146" i="1"/>
  <c r="AV146" i="1"/>
  <c r="AI146" i="1"/>
  <c r="AD146" i="1"/>
  <c r="AC146" i="1"/>
  <c r="C146" i="1"/>
  <c r="BL146" i="1" s="1"/>
  <c r="BP145" i="1"/>
  <c r="BI145" i="1"/>
  <c r="AV145" i="1"/>
  <c r="AI145" i="1"/>
  <c r="AD145" i="1"/>
  <c r="AC145" i="1"/>
  <c r="C145" i="1"/>
  <c r="BP144" i="1"/>
  <c r="BI144" i="1"/>
  <c r="AV144" i="1"/>
  <c r="AI144" i="1"/>
  <c r="AD144" i="1"/>
  <c r="AC144" i="1"/>
  <c r="C144" i="1"/>
  <c r="BP143" i="1"/>
  <c r="BI143" i="1"/>
  <c r="AV143" i="1"/>
  <c r="AI143" i="1"/>
  <c r="AD143" i="1"/>
  <c r="AC143" i="1"/>
  <c r="C143" i="1"/>
  <c r="BP142" i="1"/>
  <c r="BJ142" i="1"/>
  <c r="BI142" i="1"/>
  <c r="AV142" i="1"/>
  <c r="AI142" i="1"/>
  <c r="AD142" i="1"/>
  <c r="AC142" i="1"/>
  <c r="C142" i="1"/>
  <c r="BL142" i="1" s="1"/>
  <c r="BP141" i="1"/>
  <c r="BI141" i="1"/>
  <c r="AV141" i="1"/>
  <c r="AI141" i="1"/>
  <c r="AD141" i="1"/>
  <c r="AC141" i="1"/>
  <c r="C141" i="1"/>
  <c r="BM141" i="1" s="1"/>
  <c r="BP140" i="1"/>
  <c r="BI140" i="1"/>
  <c r="AV140" i="1"/>
  <c r="AI140" i="1"/>
  <c r="AD140" i="1"/>
  <c r="AC140" i="1"/>
  <c r="C140" i="1"/>
  <c r="BL140" i="1" s="1"/>
  <c r="BP139" i="1"/>
  <c r="BI139" i="1"/>
  <c r="AV139" i="1"/>
  <c r="AI139" i="1"/>
  <c r="AD139" i="1"/>
  <c r="AC139" i="1"/>
  <c r="C139" i="1"/>
  <c r="BM139" i="1" s="1"/>
  <c r="BO138" i="1"/>
  <c r="BK138" i="1"/>
  <c r="BJ138" i="1"/>
  <c r="AV138" i="1"/>
  <c r="AI138" i="1"/>
  <c r="AD138" i="1"/>
  <c r="AC138" i="1"/>
  <c r="C138" i="1"/>
  <c r="BI138" i="1" s="1"/>
  <c r="BP137" i="1"/>
  <c r="BI137" i="1"/>
  <c r="AV137" i="1"/>
  <c r="AI137" i="1"/>
  <c r="AD137" i="1"/>
  <c r="AC137" i="1"/>
  <c r="C137" i="1"/>
  <c r="BP136" i="1"/>
  <c r="BK136" i="1"/>
  <c r="BJ136" i="1"/>
  <c r="BI136" i="1"/>
  <c r="AV136" i="1"/>
  <c r="AI136" i="1"/>
  <c r="BM136" i="1" s="1"/>
  <c r="AD136" i="1"/>
  <c r="AC136" i="1"/>
  <c r="C136" i="1"/>
  <c r="BL136" i="1" s="1"/>
  <c r="BP135" i="1"/>
  <c r="BI135" i="1"/>
  <c r="AV135" i="1"/>
  <c r="AI135" i="1"/>
  <c r="AD135" i="1"/>
  <c r="AC135" i="1"/>
  <c r="C135" i="1"/>
  <c r="BN135" i="1" s="1"/>
  <c r="BP134" i="1"/>
  <c r="BJ134" i="1"/>
  <c r="BI134" i="1"/>
  <c r="AV134" i="1"/>
  <c r="AI134" i="1"/>
  <c r="AD134" i="1"/>
  <c r="AC134" i="1"/>
  <c r="C134" i="1"/>
  <c r="BN134" i="1" s="1"/>
  <c r="BP133" i="1"/>
  <c r="BI133" i="1"/>
  <c r="AV133" i="1"/>
  <c r="AI133" i="1"/>
  <c r="AD133" i="1"/>
  <c r="AC133" i="1"/>
  <c r="C133" i="1"/>
  <c r="BN133" i="1" s="1"/>
  <c r="BP132" i="1"/>
  <c r="BI132" i="1"/>
  <c r="AV132" i="1"/>
  <c r="AI132" i="1"/>
  <c r="AD132" i="1"/>
  <c r="AC132" i="1"/>
  <c r="C132" i="1"/>
  <c r="BL132" i="1" s="1"/>
  <c r="BP131" i="1"/>
  <c r="BL131" i="1"/>
  <c r="BJ131" i="1"/>
  <c r="BI131" i="1"/>
  <c r="AV131" i="1"/>
  <c r="AI131" i="1"/>
  <c r="AD131" i="1"/>
  <c r="AC131" i="1"/>
  <c r="C131" i="1"/>
  <c r="BN131" i="1" s="1"/>
  <c r="BP130" i="1"/>
  <c r="BJ130" i="1"/>
  <c r="BI130" i="1"/>
  <c r="AV130" i="1"/>
  <c r="AI130" i="1"/>
  <c r="AD130" i="1"/>
  <c r="AC130" i="1"/>
  <c r="C130" i="1"/>
  <c r="BL130" i="1" s="1"/>
  <c r="BP129" i="1"/>
  <c r="BJ129" i="1"/>
  <c r="BI129" i="1"/>
  <c r="AV129" i="1"/>
  <c r="AI129" i="1"/>
  <c r="AD129" i="1"/>
  <c r="AC129" i="1"/>
  <c r="C129" i="1"/>
  <c r="BL129" i="1" s="1"/>
  <c r="BP128" i="1"/>
  <c r="BK128" i="1"/>
  <c r="BJ128" i="1"/>
  <c r="BI128" i="1"/>
  <c r="AV128" i="1"/>
  <c r="AI128" i="1"/>
  <c r="BM128" i="1" s="1"/>
  <c r="AD128" i="1"/>
  <c r="AC128" i="1"/>
  <c r="C128" i="1"/>
  <c r="BL128" i="1" s="1"/>
  <c r="BP127" i="1"/>
  <c r="BJ127" i="1"/>
  <c r="BI127" i="1"/>
  <c r="AV127" i="1"/>
  <c r="AI127" i="1"/>
  <c r="AD127" i="1"/>
  <c r="AC127" i="1"/>
  <c r="C127" i="1"/>
  <c r="BN127" i="1" s="1"/>
  <c r="BO126" i="1"/>
  <c r="BJ126" i="1"/>
  <c r="AV126" i="1"/>
  <c r="AI126" i="1"/>
  <c r="AD126" i="1"/>
  <c r="AC126" i="1"/>
  <c r="C126" i="1"/>
  <c r="BI126" i="1" s="1"/>
  <c r="BP125" i="1"/>
  <c r="BN125" i="1"/>
  <c r="BJ125" i="1"/>
  <c r="BI125" i="1"/>
  <c r="AV125" i="1"/>
  <c r="AI125" i="1"/>
  <c r="AD125" i="1"/>
  <c r="AC125" i="1"/>
  <c r="C125" i="1"/>
  <c r="BL125" i="1" s="1"/>
  <c r="BP124" i="1"/>
  <c r="BJ124" i="1"/>
  <c r="BI124" i="1"/>
  <c r="AV124" i="1"/>
  <c r="AI124" i="1"/>
  <c r="AD124" i="1"/>
  <c r="AC124" i="1"/>
  <c r="C124" i="1"/>
  <c r="BL124" i="1" s="1"/>
  <c r="BP123" i="1"/>
  <c r="BJ123" i="1"/>
  <c r="BI123" i="1"/>
  <c r="AV123" i="1"/>
  <c r="AI123" i="1"/>
  <c r="AD123" i="1"/>
  <c r="AC123" i="1"/>
  <c r="C123" i="1"/>
  <c r="BL123" i="1" s="1"/>
  <c r="BP122" i="1"/>
  <c r="BO122" i="1"/>
  <c r="BJ122" i="1"/>
  <c r="BI122" i="1"/>
  <c r="AV122" i="1"/>
  <c r="AI122" i="1"/>
  <c r="AD122" i="1"/>
  <c r="AC122" i="1"/>
  <c r="C122" i="1"/>
  <c r="BP121" i="1"/>
  <c r="BJ121" i="1"/>
  <c r="BI121" i="1"/>
  <c r="AV121" i="1"/>
  <c r="AI121" i="1"/>
  <c r="AD121" i="1"/>
  <c r="AC121" i="1"/>
  <c r="C121" i="1"/>
  <c r="BL121" i="1" s="1"/>
  <c r="BP120" i="1"/>
  <c r="BN120" i="1"/>
  <c r="BJ120" i="1"/>
  <c r="BI120" i="1"/>
  <c r="AV120" i="1"/>
  <c r="AI120" i="1"/>
  <c r="AD120" i="1"/>
  <c r="AC120" i="1"/>
  <c r="C120" i="1"/>
  <c r="BL120" i="1" s="1"/>
  <c r="BP119" i="1"/>
  <c r="BJ119" i="1"/>
  <c r="BI119" i="1"/>
  <c r="AV119" i="1"/>
  <c r="AI119" i="1"/>
  <c r="BM119" i="1" s="1"/>
  <c r="AD119" i="1"/>
  <c r="AC119" i="1"/>
  <c r="C119" i="1"/>
  <c r="BO119" i="1" s="1"/>
  <c r="BP118" i="1"/>
  <c r="BI118" i="1"/>
  <c r="AV118" i="1"/>
  <c r="AI118" i="1"/>
  <c r="AD118" i="1"/>
  <c r="AC118" i="1"/>
  <c r="C118" i="1"/>
  <c r="BL118" i="1" s="1"/>
  <c r="BP117" i="1"/>
  <c r="BI117" i="1"/>
  <c r="AV117" i="1"/>
  <c r="AI117" i="1"/>
  <c r="AD117" i="1"/>
  <c r="AC117" i="1"/>
  <c r="C117" i="1"/>
  <c r="BP116" i="1"/>
  <c r="BI116" i="1"/>
  <c r="AV116" i="1"/>
  <c r="AI116" i="1"/>
  <c r="AD116" i="1"/>
  <c r="AC116" i="1"/>
  <c r="C116" i="1"/>
  <c r="BL116" i="1" s="1"/>
  <c r="BP115" i="1"/>
  <c r="BI115" i="1"/>
  <c r="AV115" i="1"/>
  <c r="AI115" i="1"/>
  <c r="AD115" i="1"/>
  <c r="AC115" i="1"/>
  <c r="C115" i="1"/>
  <c r="BL115" i="1" s="1"/>
  <c r="BP114" i="1"/>
  <c r="BI114" i="1"/>
  <c r="AV114" i="1"/>
  <c r="AI114" i="1"/>
  <c r="BM114" i="1" s="1"/>
  <c r="AD114" i="1"/>
  <c r="AC114" i="1"/>
  <c r="C114" i="1"/>
  <c r="BL114" i="1" s="1"/>
  <c r="BP113" i="1"/>
  <c r="BJ113" i="1"/>
  <c r="BI113" i="1"/>
  <c r="AV113" i="1"/>
  <c r="AI113" i="1"/>
  <c r="AD113" i="1"/>
  <c r="AC113" i="1"/>
  <c r="C113" i="1"/>
  <c r="BL113" i="1" s="1"/>
  <c r="BP112" i="1"/>
  <c r="BJ112" i="1"/>
  <c r="BI112" i="1"/>
  <c r="AV112" i="1"/>
  <c r="AI112" i="1"/>
  <c r="BM112" i="1" s="1"/>
  <c r="AD112" i="1"/>
  <c r="AC112" i="1"/>
  <c r="C112" i="1"/>
  <c r="BL112" i="1" s="1"/>
  <c r="BP111" i="1"/>
  <c r="BJ111" i="1"/>
  <c r="BI111" i="1"/>
  <c r="AV111" i="1"/>
  <c r="AI111" i="1"/>
  <c r="AD111" i="1"/>
  <c r="AC111" i="1"/>
  <c r="C111" i="1"/>
  <c r="BL111" i="1" s="1"/>
  <c r="BP110" i="1"/>
  <c r="BJ110" i="1"/>
  <c r="BI110" i="1"/>
  <c r="AV110" i="1"/>
  <c r="AI110" i="1"/>
  <c r="BM110" i="1" s="1"/>
  <c r="AD110" i="1"/>
  <c r="AC110" i="1"/>
  <c r="C110" i="1"/>
  <c r="BL110" i="1" s="1"/>
  <c r="BP109" i="1"/>
  <c r="BJ109" i="1"/>
  <c r="BI109" i="1"/>
  <c r="AV109" i="1"/>
  <c r="AI109" i="1"/>
  <c r="BM109" i="1" s="1"/>
  <c r="AD109" i="1"/>
  <c r="AC109" i="1"/>
  <c r="C109" i="1"/>
  <c r="BL109" i="1" s="1"/>
  <c r="BP108" i="1"/>
  <c r="BJ108" i="1"/>
  <c r="BI108" i="1"/>
  <c r="AV108" i="1"/>
  <c r="AI108" i="1"/>
  <c r="BM108" i="1" s="1"/>
  <c r="AD108" i="1"/>
  <c r="AC108" i="1"/>
  <c r="C108" i="1"/>
  <c r="BL108" i="1" s="1"/>
  <c r="BP107" i="1"/>
  <c r="BJ107" i="1"/>
  <c r="BI107" i="1"/>
  <c r="AV107" i="1"/>
  <c r="AI107" i="1"/>
  <c r="BM107" i="1" s="1"/>
  <c r="AD107" i="1"/>
  <c r="AC107" i="1"/>
  <c r="C107" i="1"/>
  <c r="BL107" i="1" s="1"/>
  <c r="BP106" i="1"/>
  <c r="BJ106" i="1"/>
  <c r="BI106" i="1"/>
  <c r="AV106" i="1"/>
  <c r="AI106" i="1"/>
  <c r="BM106" i="1" s="1"/>
  <c r="AD106" i="1"/>
  <c r="AC106" i="1"/>
  <c r="C106" i="1"/>
  <c r="BL106" i="1" s="1"/>
  <c r="BP105" i="1"/>
  <c r="BJ105" i="1"/>
  <c r="BI105" i="1"/>
  <c r="AV105" i="1"/>
  <c r="AI105" i="1"/>
  <c r="AD105" i="1"/>
  <c r="AC105" i="1"/>
  <c r="C105" i="1"/>
  <c r="BL105" i="1" s="1"/>
  <c r="BP104" i="1"/>
  <c r="BI104" i="1"/>
  <c r="AV104" i="1"/>
  <c r="AI104" i="1"/>
  <c r="AD104" i="1"/>
  <c r="AC104" i="1"/>
  <c r="C104" i="1"/>
  <c r="BL104" i="1" s="1"/>
  <c r="BP103" i="1"/>
  <c r="BO103" i="1"/>
  <c r="BJ103" i="1"/>
  <c r="BI103" i="1"/>
  <c r="AV103" i="1"/>
  <c r="AI103" i="1"/>
  <c r="BM103" i="1" s="1"/>
  <c r="AD103" i="1"/>
  <c r="AC103" i="1"/>
  <c r="C103" i="1"/>
  <c r="BL103" i="1" s="1"/>
  <c r="BP102" i="1"/>
  <c r="BJ102" i="1"/>
  <c r="BI102" i="1"/>
  <c r="AV102" i="1"/>
  <c r="AI102" i="1"/>
  <c r="BM102" i="1" s="1"/>
  <c r="AD102" i="1"/>
  <c r="AC102" i="1"/>
  <c r="C102" i="1"/>
  <c r="BL102" i="1" s="1"/>
  <c r="BO101" i="1"/>
  <c r="BN101" i="1"/>
  <c r="BJ101" i="1"/>
  <c r="AV101" i="1"/>
  <c r="AI101" i="1"/>
  <c r="AD101" i="1"/>
  <c r="AC101" i="1"/>
  <c r="C101" i="1"/>
  <c r="BP100" i="1"/>
  <c r="BI100" i="1"/>
  <c r="AV100" i="1"/>
  <c r="AI100" i="1"/>
  <c r="AD100" i="1"/>
  <c r="AC100" i="1"/>
  <c r="C100" i="1"/>
  <c r="BP99" i="1"/>
  <c r="BI99" i="1"/>
  <c r="AV99" i="1"/>
  <c r="AI99" i="1"/>
  <c r="AD99" i="1"/>
  <c r="AC99" i="1"/>
  <c r="C99" i="1"/>
  <c r="BL99" i="1" s="1"/>
  <c r="BP98" i="1"/>
  <c r="BI98" i="1"/>
  <c r="AV98" i="1"/>
  <c r="AI98" i="1"/>
  <c r="AD98" i="1"/>
  <c r="AC98" i="1"/>
  <c r="C98" i="1"/>
  <c r="BL98" i="1" s="1"/>
  <c r="BP97" i="1"/>
  <c r="BI97" i="1"/>
  <c r="AV97" i="1"/>
  <c r="AI97" i="1"/>
  <c r="BM97" i="1" s="1"/>
  <c r="AD97" i="1"/>
  <c r="AC97" i="1"/>
  <c r="C97" i="1"/>
  <c r="BL97" i="1" s="1"/>
  <c r="BP96" i="1"/>
  <c r="BI96" i="1"/>
  <c r="AV96" i="1"/>
  <c r="AI96" i="1"/>
  <c r="AD96" i="1"/>
  <c r="AC96" i="1"/>
  <c r="C96" i="1"/>
  <c r="BP95" i="1"/>
  <c r="BI95" i="1"/>
  <c r="AV95" i="1"/>
  <c r="AI95" i="1"/>
  <c r="AD95" i="1"/>
  <c r="AC95" i="1"/>
  <c r="C95" i="1"/>
  <c r="BL95" i="1" s="1"/>
  <c r="BP94" i="1"/>
  <c r="BJ94" i="1"/>
  <c r="BI94" i="1"/>
  <c r="AV94" i="1"/>
  <c r="AI94" i="1"/>
  <c r="AD94" i="1"/>
  <c r="AC94" i="1"/>
  <c r="C94" i="1"/>
  <c r="BL94" i="1" s="1"/>
  <c r="BP93" i="1"/>
  <c r="BK93" i="1"/>
  <c r="BJ93" i="1"/>
  <c r="BI93" i="1"/>
  <c r="AV93" i="1"/>
  <c r="AI93" i="1"/>
  <c r="BM93" i="1" s="1"/>
  <c r="AD93" i="1"/>
  <c r="AC93" i="1"/>
  <c r="C93" i="1"/>
  <c r="BL93" i="1" s="1"/>
  <c r="BP92" i="1"/>
  <c r="BJ92" i="1"/>
  <c r="BI92" i="1"/>
  <c r="AV92" i="1"/>
  <c r="AI92" i="1"/>
  <c r="AD92" i="1"/>
  <c r="AC92" i="1"/>
  <c r="C92" i="1"/>
  <c r="BK92" i="1" s="1"/>
  <c r="BP91" i="1"/>
  <c r="BJ91" i="1"/>
  <c r="BI91" i="1"/>
  <c r="AV91" i="1"/>
  <c r="AI91" i="1"/>
  <c r="AD91" i="1"/>
  <c r="AC91" i="1"/>
  <c r="C91" i="1"/>
  <c r="BK91" i="1" s="1"/>
  <c r="BP90" i="1"/>
  <c r="BI90" i="1"/>
  <c r="AV90" i="1"/>
  <c r="AI90" i="1"/>
  <c r="AD90" i="1"/>
  <c r="AC90" i="1"/>
  <c r="C90" i="1"/>
  <c r="BP89" i="1"/>
  <c r="BK89" i="1"/>
  <c r="BJ89" i="1"/>
  <c r="BI89" i="1"/>
  <c r="AV89" i="1"/>
  <c r="AI89" i="1"/>
  <c r="BM89" i="1" s="1"/>
  <c r="AD89" i="1"/>
  <c r="AC89" i="1"/>
  <c r="C89" i="1"/>
  <c r="BO89" i="1" s="1"/>
  <c r="BP88" i="1"/>
  <c r="BO88" i="1"/>
  <c r="BI88" i="1"/>
  <c r="AV88" i="1"/>
  <c r="AI88" i="1"/>
  <c r="AD88" i="1"/>
  <c r="AC88" i="1"/>
  <c r="C88" i="1"/>
  <c r="BL88" i="1" s="1"/>
  <c r="BP87" i="1"/>
  <c r="BJ87" i="1"/>
  <c r="BI87" i="1"/>
  <c r="AV87" i="1"/>
  <c r="AI87" i="1"/>
  <c r="AD87" i="1"/>
  <c r="AC87" i="1"/>
  <c r="C87" i="1"/>
  <c r="BL87" i="1" s="1"/>
  <c r="BP86" i="1"/>
  <c r="BK86" i="1"/>
  <c r="BJ86" i="1"/>
  <c r="BI86" i="1"/>
  <c r="AV86" i="1"/>
  <c r="AI86" i="1"/>
  <c r="BM86" i="1" s="1"/>
  <c r="AD86" i="1"/>
  <c r="AC86" i="1"/>
  <c r="C86" i="1"/>
  <c r="BN86" i="1" s="1"/>
  <c r="BP85" i="1"/>
  <c r="BJ85" i="1"/>
  <c r="BI85" i="1"/>
  <c r="AV85" i="1"/>
  <c r="AI85" i="1"/>
  <c r="BM85" i="1" s="1"/>
  <c r="AD85" i="1"/>
  <c r="AC85" i="1"/>
  <c r="C85" i="1"/>
  <c r="BL85" i="1" s="1"/>
  <c r="BO84" i="1"/>
  <c r="BJ84" i="1"/>
  <c r="AV84" i="1"/>
  <c r="AI84" i="1"/>
  <c r="BM84" i="1" s="1"/>
  <c r="AD84" i="1"/>
  <c r="AC84" i="1"/>
  <c r="C84" i="1"/>
  <c r="BN84" i="1" s="1"/>
  <c r="BP83" i="1"/>
  <c r="BI83" i="1"/>
  <c r="AV83" i="1"/>
  <c r="AI83" i="1"/>
  <c r="AD83" i="1"/>
  <c r="AC83" i="1"/>
  <c r="C83" i="1"/>
  <c r="BL83" i="1" s="1"/>
  <c r="BP82" i="1"/>
  <c r="BK82" i="1"/>
  <c r="BJ82" i="1"/>
  <c r="BI82" i="1"/>
  <c r="AV82" i="1"/>
  <c r="AI82" i="1"/>
  <c r="BM82" i="1" s="1"/>
  <c r="AD82" i="1"/>
  <c r="AC82" i="1"/>
  <c r="C82" i="1"/>
  <c r="BN82" i="1" s="1"/>
  <c r="BP81" i="1"/>
  <c r="BJ81" i="1"/>
  <c r="BI81" i="1"/>
  <c r="AV81" i="1"/>
  <c r="AI81" i="1"/>
  <c r="AD81" i="1"/>
  <c r="AC81" i="1"/>
  <c r="C81" i="1"/>
  <c r="BO80" i="1"/>
  <c r="BJ80" i="1"/>
  <c r="AV80" i="1"/>
  <c r="AI80" i="1"/>
  <c r="AD80" i="1"/>
  <c r="AC80" i="1"/>
  <c r="C80" i="1"/>
  <c r="BP80" i="1" s="1"/>
  <c r="BP79" i="1"/>
  <c r="BJ79" i="1"/>
  <c r="BI79" i="1"/>
  <c r="AV79" i="1"/>
  <c r="AI79" i="1"/>
  <c r="AD79" i="1"/>
  <c r="AC79" i="1"/>
  <c r="C79" i="1"/>
  <c r="BP78" i="1"/>
  <c r="BI78" i="1"/>
  <c r="AV78" i="1"/>
  <c r="AI78" i="1"/>
  <c r="AD78" i="1"/>
  <c r="AC78" i="1"/>
  <c r="C78" i="1"/>
  <c r="BL78" i="1" s="1"/>
  <c r="BP77" i="1"/>
  <c r="BI77" i="1"/>
  <c r="AV77" i="1"/>
  <c r="AI77" i="1"/>
  <c r="AD77" i="1"/>
  <c r="AC77" i="1"/>
  <c r="C77" i="1"/>
  <c r="BL77" i="1" s="1"/>
  <c r="BP76" i="1"/>
  <c r="BI76" i="1"/>
  <c r="AV76" i="1"/>
  <c r="AI76" i="1"/>
  <c r="BM76" i="1" s="1"/>
  <c r="AD76" i="1"/>
  <c r="AC76" i="1"/>
  <c r="C76" i="1"/>
  <c r="BL76" i="1" s="1"/>
  <c r="BP75" i="1"/>
  <c r="BI75" i="1"/>
  <c r="AV75" i="1"/>
  <c r="AI75" i="1"/>
  <c r="AD75" i="1"/>
  <c r="AC75" i="1"/>
  <c r="C75" i="1"/>
  <c r="BP74" i="1"/>
  <c r="BJ74" i="1"/>
  <c r="BI74" i="1"/>
  <c r="AV74" i="1"/>
  <c r="AI74" i="1"/>
  <c r="BM74" i="1" s="1"/>
  <c r="AD74" i="1"/>
  <c r="AC74" i="1"/>
  <c r="C74" i="1"/>
  <c r="BL74" i="1" s="1"/>
  <c r="BP73" i="1"/>
  <c r="BL73" i="1"/>
  <c r="BI73" i="1"/>
  <c r="AV73" i="1"/>
  <c r="AI73" i="1"/>
  <c r="AD73" i="1"/>
  <c r="AC73" i="1"/>
  <c r="C73" i="1"/>
  <c r="BP72" i="1"/>
  <c r="BI72" i="1"/>
  <c r="AV72" i="1"/>
  <c r="AI72" i="1"/>
  <c r="BM72" i="1" s="1"/>
  <c r="AD72" i="1"/>
  <c r="AC72" i="1"/>
  <c r="C72" i="1"/>
  <c r="BL72" i="1" s="1"/>
  <c r="BO71" i="1"/>
  <c r="BJ71" i="1"/>
  <c r="AV71" i="1"/>
  <c r="AI71" i="1"/>
  <c r="AD71" i="1"/>
  <c r="AC71" i="1"/>
  <c r="C71" i="1"/>
  <c r="BL71" i="1" s="1"/>
  <c r="BP70" i="1"/>
  <c r="BI70" i="1"/>
  <c r="AV70" i="1"/>
  <c r="AI70" i="1"/>
  <c r="BM70" i="1" s="1"/>
  <c r="AD70" i="1"/>
  <c r="AC70" i="1"/>
  <c r="C70" i="1"/>
  <c r="BL70" i="1" s="1"/>
  <c r="BP69" i="1"/>
  <c r="BI69" i="1"/>
  <c r="AV69" i="1"/>
  <c r="AI69" i="1"/>
  <c r="AD69" i="1"/>
  <c r="AC69" i="1"/>
  <c r="C69" i="1"/>
  <c r="BL69" i="1" s="1"/>
  <c r="BP68" i="1"/>
  <c r="BI68" i="1"/>
  <c r="AV68" i="1"/>
  <c r="AI68" i="1"/>
  <c r="BM68" i="1" s="1"/>
  <c r="AD68" i="1"/>
  <c r="AC68" i="1"/>
  <c r="C68" i="1"/>
  <c r="BL68" i="1" s="1"/>
  <c r="BP67" i="1"/>
  <c r="BI67" i="1"/>
  <c r="AV67" i="1"/>
  <c r="AI67" i="1"/>
  <c r="AD67" i="1"/>
  <c r="AC67" i="1"/>
  <c r="C67" i="1"/>
  <c r="BL67" i="1" s="1"/>
  <c r="BP66" i="1"/>
  <c r="BI66" i="1"/>
  <c r="AV66" i="1"/>
  <c r="AI66" i="1"/>
  <c r="BM66" i="1" s="1"/>
  <c r="AD66" i="1"/>
  <c r="AC66" i="1"/>
  <c r="C66" i="1"/>
  <c r="BL66" i="1" s="1"/>
  <c r="BP65" i="1"/>
  <c r="BI65" i="1"/>
  <c r="AV65" i="1"/>
  <c r="AI65" i="1"/>
  <c r="AD65" i="1"/>
  <c r="AC65" i="1"/>
  <c r="C65" i="1"/>
  <c r="BL65" i="1" s="1"/>
  <c r="BO64" i="1"/>
  <c r="BJ64" i="1"/>
  <c r="AV64" i="1"/>
  <c r="AI64" i="1"/>
  <c r="BM64" i="1" s="1"/>
  <c r="AD64" i="1"/>
  <c r="AC64" i="1"/>
  <c r="C64" i="1"/>
  <c r="BP64" i="1" s="1"/>
  <c r="BO63" i="1"/>
  <c r="BJ63" i="1"/>
  <c r="AV63" i="1"/>
  <c r="AI63" i="1"/>
  <c r="AD63" i="1"/>
  <c r="AC63" i="1"/>
  <c r="C63" i="1"/>
  <c r="BL63" i="1" s="1"/>
  <c r="BO62" i="1"/>
  <c r="BJ62" i="1"/>
  <c r="AV62" i="1"/>
  <c r="AI62" i="1"/>
  <c r="BM62" i="1" s="1"/>
  <c r="AD62" i="1"/>
  <c r="AC62" i="1"/>
  <c r="C62" i="1"/>
  <c r="BP62" i="1" s="1"/>
  <c r="BO61" i="1"/>
  <c r="BJ61" i="1"/>
  <c r="AV61" i="1"/>
  <c r="AI61" i="1"/>
  <c r="AD61" i="1"/>
  <c r="AC61" i="1"/>
  <c r="C61" i="1"/>
  <c r="BL61" i="1" s="1"/>
  <c r="BP60" i="1"/>
  <c r="BJ60" i="1"/>
  <c r="BI60" i="1"/>
  <c r="AV60" i="1"/>
  <c r="AI60" i="1"/>
  <c r="BM60" i="1" s="1"/>
  <c r="AD60" i="1"/>
  <c r="AC60" i="1"/>
  <c r="C60" i="1"/>
  <c r="BL60" i="1" s="1"/>
  <c r="BO59" i="1"/>
  <c r="BJ59" i="1"/>
  <c r="AV59" i="1"/>
  <c r="AI59" i="1"/>
  <c r="AD59" i="1"/>
  <c r="AC59" i="1"/>
  <c r="C59" i="1"/>
  <c r="BL59" i="1" s="1"/>
  <c r="BP58" i="1"/>
  <c r="BJ58" i="1"/>
  <c r="BI58" i="1"/>
  <c r="AV58" i="1"/>
  <c r="AI58" i="1"/>
  <c r="BM58" i="1" s="1"/>
  <c r="AD58" i="1"/>
  <c r="AC58" i="1"/>
  <c r="C58" i="1"/>
  <c r="BL58" i="1" s="1"/>
  <c r="BO57" i="1"/>
  <c r="BL57" i="1"/>
  <c r="BJ57" i="1"/>
  <c r="AV57" i="1"/>
  <c r="AI57" i="1"/>
  <c r="BM57" i="1" s="1"/>
  <c r="AD57" i="1"/>
  <c r="AC57" i="1"/>
  <c r="C57" i="1"/>
  <c r="BO56" i="1"/>
  <c r="BJ56" i="1"/>
  <c r="BI56" i="1"/>
  <c r="AV56" i="1"/>
  <c r="AI56" i="1"/>
  <c r="BM56" i="1" s="1"/>
  <c r="AD56" i="1"/>
  <c r="AC56" i="1"/>
  <c r="C56" i="1"/>
  <c r="BP56" i="1" s="1"/>
  <c r="BP55" i="1"/>
  <c r="BI55" i="1"/>
  <c r="AV55" i="1"/>
  <c r="AI55" i="1"/>
  <c r="AD55" i="1"/>
  <c r="AC55" i="1"/>
  <c r="C55" i="1"/>
  <c r="BL55" i="1" s="1"/>
  <c r="BP54" i="1"/>
  <c r="BI54" i="1"/>
  <c r="AV54" i="1"/>
  <c r="AI54" i="1"/>
  <c r="AD54" i="1"/>
  <c r="AC54" i="1"/>
  <c r="C54" i="1"/>
  <c r="BL54" i="1" s="1"/>
  <c r="BP53" i="1"/>
  <c r="BL53" i="1"/>
  <c r="BJ53" i="1"/>
  <c r="BI53" i="1"/>
  <c r="AV53" i="1"/>
  <c r="AI53" i="1"/>
  <c r="AD53" i="1"/>
  <c r="AC53" i="1"/>
  <c r="C53" i="1"/>
  <c r="BP52" i="1"/>
  <c r="BL52" i="1"/>
  <c r="BJ52" i="1"/>
  <c r="BI52" i="1"/>
  <c r="AV52" i="1"/>
  <c r="AI52" i="1"/>
  <c r="BM52" i="1" s="1"/>
  <c r="AD52" i="1"/>
  <c r="AC52" i="1"/>
  <c r="C52" i="1"/>
  <c r="BO52" i="1" s="1"/>
  <c r="BP51" i="1"/>
  <c r="BJ51" i="1"/>
  <c r="BI51" i="1"/>
  <c r="AV51" i="1"/>
  <c r="AI51" i="1"/>
  <c r="AD51" i="1"/>
  <c r="AC51" i="1"/>
  <c r="C51" i="1"/>
  <c r="BP50" i="1"/>
  <c r="BL50" i="1"/>
  <c r="BJ50" i="1"/>
  <c r="BI50" i="1"/>
  <c r="AV50" i="1"/>
  <c r="AI50" i="1"/>
  <c r="AD50" i="1"/>
  <c r="AC50" i="1"/>
  <c r="C50" i="1"/>
  <c r="BO50" i="1" s="1"/>
  <c r="BP49" i="1"/>
  <c r="BL49" i="1"/>
  <c r="BJ49" i="1"/>
  <c r="BI49" i="1"/>
  <c r="AV49" i="1"/>
  <c r="AI49" i="1"/>
  <c r="AD49" i="1"/>
  <c r="AC49" i="1"/>
  <c r="C49" i="1"/>
  <c r="BP48" i="1"/>
  <c r="BL48" i="1"/>
  <c r="BJ48" i="1"/>
  <c r="BI48" i="1"/>
  <c r="AV48" i="1"/>
  <c r="AI48" i="1"/>
  <c r="AD48" i="1"/>
  <c r="AC48" i="1"/>
  <c r="C48" i="1"/>
  <c r="BO48" i="1" s="1"/>
  <c r="BP47" i="1"/>
  <c r="BL47" i="1"/>
  <c r="BJ47" i="1"/>
  <c r="BI47" i="1"/>
  <c r="AV47" i="1"/>
  <c r="AI47" i="1"/>
  <c r="AD47" i="1"/>
  <c r="AC47" i="1"/>
  <c r="C47" i="1"/>
  <c r="BP46" i="1"/>
  <c r="BL46" i="1"/>
  <c r="BJ46" i="1"/>
  <c r="BI46" i="1"/>
  <c r="AV46" i="1"/>
  <c r="AI46" i="1"/>
  <c r="AD46" i="1"/>
  <c r="AC46" i="1"/>
  <c r="C46" i="1"/>
  <c r="BO46" i="1" s="1"/>
  <c r="BP45" i="1"/>
  <c r="BJ45" i="1"/>
  <c r="BI45" i="1"/>
  <c r="AV45" i="1"/>
  <c r="AI45" i="1"/>
  <c r="AD45" i="1"/>
  <c r="AC45" i="1"/>
  <c r="C45" i="1"/>
  <c r="BO44" i="1"/>
  <c r="BJ44" i="1"/>
  <c r="AV44" i="1"/>
  <c r="AI44" i="1"/>
  <c r="BM44" i="1" s="1"/>
  <c r="AD44" i="1"/>
  <c r="AC44" i="1"/>
  <c r="C44" i="1"/>
  <c r="BP44" i="1" s="1"/>
  <c r="BP43" i="1"/>
  <c r="BI43" i="1"/>
  <c r="AV43" i="1"/>
  <c r="AI43" i="1"/>
  <c r="AD43" i="1"/>
  <c r="AC43" i="1"/>
  <c r="C43" i="1"/>
  <c r="BL43" i="1" s="1"/>
  <c r="BP42" i="1"/>
  <c r="BI42" i="1"/>
  <c r="AV42" i="1"/>
  <c r="AI42" i="1"/>
  <c r="BM42" i="1" s="1"/>
  <c r="AD42" i="1"/>
  <c r="AC42" i="1"/>
  <c r="C42" i="1"/>
  <c r="BL42" i="1" s="1"/>
  <c r="BP41" i="1"/>
  <c r="BI41" i="1"/>
  <c r="AV41" i="1"/>
  <c r="AI41" i="1"/>
  <c r="AD41" i="1"/>
  <c r="AC41" i="1"/>
  <c r="C41" i="1"/>
  <c r="BP40" i="1"/>
  <c r="BJ40" i="1"/>
  <c r="BI40" i="1"/>
  <c r="AV40" i="1"/>
  <c r="AI40" i="1"/>
  <c r="BM40" i="1" s="1"/>
  <c r="AD40" i="1"/>
  <c r="AC40" i="1"/>
  <c r="C40" i="1"/>
  <c r="BL40" i="1" s="1"/>
  <c r="BP39" i="1"/>
  <c r="BL39" i="1"/>
  <c r="BI39" i="1"/>
  <c r="AV39" i="1"/>
  <c r="AI39" i="1"/>
  <c r="AD39" i="1"/>
  <c r="AC39" i="1"/>
  <c r="C39" i="1"/>
  <c r="BO38" i="1"/>
  <c r="BL38" i="1"/>
  <c r="BJ38" i="1"/>
  <c r="BI38" i="1"/>
  <c r="AV38" i="1"/>
  <c r="AI38" i="1"/>
  <c r="AD38" i="1"/>
  <c r="AC38" i="1"/>
  <c r="C38" i="1"/>
  <c r="BP38" i="1" s="1"/>
  <c r="BO37" i="1"/>
  <c r="BL37" i="1"/>
  <c r="BJ37" i="1"/>
  <c r="BI37" i="1"/>
  <c r="AV37" i="1"/>
  <c r="AI37" i="1"/>
  <c r="BM37" i="1" s="1"/>
  <c r="AD37" i="1"/>
  <c r="AC37" i="1"/>
  <c r="C37" i="1"/>
  <c r="BP37" i="1" s="1"/>
  <c r="BO36" i="1"/>
  <c r="BL36" i="1"/>
  <c r="BJ36" i="1"/>
  <c r="BI36" i="1"/>
  <c r="AV36" i="1"/>
  <c r="AI36" i="1"/>
  <c r="BM36" i="1" s="1"/>
  <c r="AD36" i="1"/>
  <c r="AC36" i="1"/>
  <c r="C36" i="1"/>
  <c r="BP36" i="1" s="1"/>
  <c r="BO35" i="1"/>
  <c r="BL35" i="1"/>
  <c r="BJ35" i="1"/>
  <c r="AV35" i="1"/>
  <c r="AI35" i="1"/>
  <c r="BM35" i="1" s="1"/>
  <c r="AD35" i="1"/>
  <c r="AC35" i="1"/>
  <c r="C35" i="1"/>
  <c r="BP34" i="1"/>
  <c r="BL34" i="1"/>
  <c r="BJ34" i="1"/>
  <c r="BI34" i="1"/>
  <c r="AV34" i="1"/>
  <c r="AI34" i="1"/>
  <c r="AD34" i="1"/>
  <c r="AC34" i="1"/>
  <c r="C34" i="1"/>
  <c r="BM34" i="1" s="1"/>
  <c r="BP33" i="1"/>
  <c r="BL33" i="1"/>
  <c r="BJ33" i="1"/>
  <c r="BI33" i="1"/>
  <c r="AV33" i="1"/>
  <c r="AI33" i="1"/>
  <c r="AD33" i="1"/>
  <c r="AC33" i="1"/>
  <c r="C33" i="1"/>
  <c r="BP32" i="1"/>
  <c r="BL32" i="1"/>
  <c r="BJ32" i="1"/>
  <c r="BI32" i="1"/>
  <c r="AV32" i="1"/>
  <c r="AI32" i="1"/>
  <c r="AD32" i="1"/>
  <c r="AC32" i="1"/>
  <c r="C32" i="1"/>
  <c r="BO31" i="1"/>
  <c r="BJ31" i="1"/>
  <c r="AV31" i="1"/>
  <c r="AI31" i="1"/>
  <c r="AD31" i="1"/>
  <c r="AC31" i="1"/>
  <c r="C31" i="1"/>
  <c r="BL31" i="1" s="1"/>
  <c r="BP30" i="1"/>
  <c r="BI30" i="1"/>
  <c r="AV30" i="1"/>
  <c r="AI30" i="1"/>
  <c r="AD30" i="1"/>
  <c r="AC30" i="1"/>
  <c r="C30" i="1"/>
  <c r="BN30" i="1" s="1"/>
  <c r="BP29" i="1"/>
  <c r="BI29" i="1"/>
  <c r="AV29" i="1"/>
  <c r="AI29" i="1"/>
  <c r="AD29" i="1"/>
  <c r="AC29" i="1"/>
  <c r="C29" i="1"/>
  <c r="BL29" i="1" s="1"/>
  <c r="BO28" i="1"/>
  <c r="BJ28" i="1"/>
  <c r="AV28" i="1"/>
  <c r="AI28" i="1"/>
  <c r="AD28" i="1"/>
  <c r="AC28" i="1"/>
  <c r="C28" i="1"/>
  <c r="BN28" i="1" s="1"/>
  <c r="BP27" i="1"/>
  <c r="BI27" i="1"/>
  <c r="AV27" i="1"/>
  <c r="AI27" i="1"/>
  <c r="AD27" i="1"/>
  <c r="AC27" i="1"/>
  <c r="C27" i="1"/>
  <c r="BL27" i="1" s="1"/>
  <c r="BP26" i="1"/>
  <c r="BI26" i="1"/>
  <c r="AV26" i="1"/>
  <c r="AI26" i="1"/>
  <c r="AD26" i="1"/>
  <c r="AC26" i="1"/>
  <c r="C26" i="1"/>
  <c r="BP25" i="1"/>
  <c r="BL25" i="1"/>
  <c r="BK25" i="1"/>
  <c r="BJ25" i="1"/>
  <c r="BI25" i="1"/>
  <c r="AV25" i="1"/>
  <c r="AI25" i="1"/>
  <c r="BM25" i="1" s="1"/>
  <c r="AD25" i="1"/>
  <c r="AC25" i="1"/>
  <c r="C25" i="1"/>
  <c r="BP24" i="1"/>
  <c r="BN24" i="1"/>
  <c r="BM24" i="1"/>
  <c r="BL24" i="1"/>
  <c r="BK24" i="1"/>
  <c r="BJ24" i="1"/>
  <c r="BI24" i="1"/>
  <c r="AV24" i="1"/>
  <c r="AI24" i="1"/>
  <c r="AD24" i="1"/>
  <c r="AC24" i="1"/>
  <c r="C24" i="1"/>
  <c r="BO24" i="1" s="1"/>
  <c r="BP23" i="1"/>
  <c r="BJ23" i="1"/>
  <c r="BI23" i="1"/>
  <c r="AV23" i="1"/>
  <c r="AI23" i="1"/>
  <c r="AD23" i="1"/>
  <c r="AC23" i="1"/>
  <c r="C23" i="1"/>
  <c r="BL23" i="1" s="1"/>
  <c r="BP22" i="1"/>
  <c r="BJ22" i="1"/>
  <c r="BI22" i="1"/>
  <c r="AV22" i="1"/>
  <c r="AI22" i="1"/>
  <c r="AD22" i="1"/>
  <c r="AC22" i="1"/>
  <c r="C22" i="1"/>
  <c r="BN22" i="1" s="1"/>
  <c r="BP21" i="1"/>
  <c r="BJ21" i="1"/>
  <c r="BI21" i="1"/>
  <c r="AV21" i="1"/>
  <c r="AI21" i="1"/>
  <c r="AD21" i="1"/>
  <c r="AC21" i="1"/>
  <c r="C21" i="1"/>
  <c r="BP20" i="1"/>
  <c r="BJ20" i="1"/>
  <c r="BI20" i="1"/>
  <c r="AV20" i="1"/>
  <c r="AI20" i="1"/>
  <c r="AD20" i="1"/>
  <c r="AC20" i="1"/>
  <c r="C20" i="1"/>
  <c r="BM20" i="1" s="1"/>
  <c r="BP19" i="1"/>
  <c r="BJ19" i="1"/>
  <c r="BI19" i="1"/>
  <c r="AV19" i="1"/>
  <c r="AI19" i="1"/>
  <c r="AD19" i="1"/>
  <c r="AC19" i="1"/>
  <c r="C19" i="1"/>
  <c r="BL19" i="1" s="1"/>
  <c r="BP18" i="1"/>
  <c r="BJ18" i="1"/>
  <c r="BI18" i="1"/>
  <c r="AV18" i="1"/>
  <c r="AI18" i="1"/>
  <c r="AD18" i="1"/>
  <c r="AC18" i="1"/>
  <c r="C18" i="1"/>
  <c r="BM18" i="1" s="1"/>
  <c r="BP17" i="1"/>
  <c r="BJ17" i="1"/>
  <c r="BI17" i="1"/>
  <c r="AV17" i="1"/>
  <c r="AI17" i="1"/>
  <c r="AD17" i="1"/>
  <c r="AC17" i="1"/>
  <c r="C17" i="1"/>
  <c r="BP16" i="1"/>
  <c r="BN16" i="1"/>
  <c r="BI16" i="1"/>
  <c r="AV16" i="1"/>
  <c r="AI16" i="1"/>
  <c r="AD16" i="1"/>
  <c r="AC16" i="1"/>
  <c r="C16" i="1"/>
  <c r="BJ16" i="1" s="1"/>
  <c r="BP15" i="1"/>
  <c r="BI15" i="1"/>
  <c r="AV15" i="1"/>
  <c r="AI15" i="1"/>
  <c r="AD15" i="1"/>
  <c r="AC15" i="1"/>
  <c r="C15" i="1"/>
  <c r="BL15" i="1" s="1"/>
  <c r="BP14" i="1"/>
  <c r="BN14" i="1"/>
  <c r="BI14" i="1"/>
  <c r="AV14" i="1"/>
  <c r="AI14" i="1"/>
  <c r="AD14" i="1"/>
  <c r="AC14" i="1"/>
  <c r="C14" i="1"/>
  <c r="BJ14" i="1" s="1"/>
  <c r="BP13" i="1"/>
  <c r="BJ13" i="1"/>
  <c r="BI13" i="1"/>
  <c r="AV13" i="1"/>
  <c r="AI13" i="1"/>
  <c r="AD13" i="1"/>
  <c r="AC13" i="1"/>
  <c r="C13" i="1"/>
  <c r="BL13" i="1" s="1"/>
  <c r="BP12" i="1"/>
  <c r="BJ12" i="1"/>
  <c r="BI12" i="1"/>
  <c r="AV12" i="1"/>
  <c r="AI12" i="1"/>
  <c r="AD12" i="1"/>
  <c r="AC12" i="1"/>
  <c r="C12" i="1"/>
  <c r="BM12" i="1" s="1"/>
  <c r="BP11" i="1"/>
  <c r="BJ11" i="1"/>
  <c r="BI11" i="1"/>
  <c r="AV11" i="1"/>
  <c r="AI11" i="1"/>
  <c r="AD11" i="1"/>
  <c r="AC11" i="1"/>
  <c r="C11" i="1"/>
  <c r="BL11" i="1" s="1"/>
  <c r="BP10" i="1"/>
  <c r="BJ10" i="1"/>
  <c r="BI10" i="1"/>
  <c r="AV10" i="1"/>
  <c r="AI10" i="1"/>
  <c r="AD10" i="1"/>
  <c r="AC10" i="1"/>
  <c r="C10" i="1"/>
  <c r="BL10" i="1" s="1"/>
  <c r="BP9" i="1"/>
  <c r="BJ9" i="1"/>
  <c r="BI9" i="1"/>
  <c r="AV9" i="1"/>
  <c r="AI9" i="1"/>
  <c r="AD9" i="1"/>
  <c r="AC9" i="1"/>
  <c r="C9" i="1"/>
  <c r="BP8" i="1"/>
  <c r="BJ8" i="1"/>
  <c r="BI8" i="1"/>
  <c r="AV8" i="1"/>
  <c r="AI8" i="1"/>
  <c r="AD8" i="1"/>
  <c r="AC8" i="1"/>
  <c r="C8" i="1"/>
  <c r="BP7" i="1"/>
  <c r="BJ7" i="1"/>
  <c r="BI7" i="1"/>
  <c r="AV7" i="1"/>
  <c r="AI7" i="1"/>
  <c r="AD7" i="1"/>
  <c r="AC7" i="1"/>
  <c r="C7" i="1"/>
  <c r="BK7" i="1" s="1"/>
  <c r="BP6" i="1"/>
  <c r="BJ6" i="1"/>
  <c r="BI6" i="1"/>
  <c r="AV6" i="1"/>
  <c r="AI6" i="1"/>
  <c r="AD6" i="1"/>
  <c r="AC6" i="1"/>
  <c r="C6" i="1"/>
  <c r="BN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P5" i="1"/>
  <c r="BJ5" i="1"/>
  <c r="BI5" i="1"/>
  <c r="AV5" i="1"/>
  <c r="AI5" i="1"/>
  <c r="AD5" i="1"/>
  <c r="AC5" i="1"/>
  <c r="C5" i="1"/>
  <c r="BK5" i="1" s="1"/>
  <c r="BN232" i="1" l="1"/>
  <c r="BM26" i="1"/>
  <c r="BN52" i="1"/>
  <c r="BK85" i="1"/>
  <c r="BO87" i="1"/>
  <c r="BN93" i="1"/>
  <c r="BM116" i="1"/>
  <c r="BN124" i="1"/>
  <c r="BO128" i="1"/>
  <c r="BO136" i="1"/>
  <c r="BM175" i="1"/>
  <c r="BI182" i="1"/>
  <c r="BM192" i="1"/>
  <c r="BO192" i="1"/>
  <c r="BK200" i="1"/>
  <c r="BO204" i="1"/>
  <c r="BM209" i="1"/>
  <c r="BM210" i="1"/>
  <c r="BO210" i="1"/>
  <c r="BM214" i="1"/>
  <c r="BO214" i="1"/>
  <c r="BM218" i="1"/>
  <c r="BM223" i="1"/>
  <c r="BK223" i="1"/>
  <c r="BO232" i="1"/>
  <c r="BO233" i="1"/>
  <c r="BN87" i="1"/>
  <c r="BO115" i="1"/>
  <c r="BJ30" i="1"/>
  <c r="BJ54" i="1"/>
  <c r="BJ78" i="1"/>
  <c r="BO93" i="1"/>
  <c r="BJ95" i="1"/>
  <c r="BK99" i="1"/>
  <c r="BM104" i="1"/>
  <c r="BJ115" i="1"/>
  <c r="BK126" i="1"/>
  <c r="BO132" i="1"/>
  <c r="BJ133" i="1"/>
  <c r="BK185" i="1"/>
  <c r="BK186" i="1"/>
  <c r="BK187" i="1"/>
  <c r="BK188" i="1"/>
  <c r="BO200" i="1"/>
  <c r="BK215" i="1"/>
  <c r="BN218" i="1"/>
  <c r="BK219" i="1"/>
  <c r="BM224" i="1"/>
  <c r="BK224" i="1"/>
  <c r="BM229" i="1"/>
  <c r="BK229" i="1"/>
  <c r="BO231" i="1"/>
  <c r="BI237" i="1"/>
  <c r="BO95" i="1"/>
  <c r="BM10" i="1"/>
  <c r="BM13" i="1"/>
  <c r="BN36" i="1"/>
  <c r="BM54" i="1"/>
  <c r="BM78" i="1"/>
  <c r="BM80" i="1"/>
  <c r="BM87" i="1"/>
  <c r="BK87" i="1"/>
  <c r="BM91" i="1"/>
  <c r="BM95" i="1"/>
  <c r="BK95" i="1"/>
  <c r="BK97" i="1"/>
  <c r="BM99" i="1"/>
  <c r="BM105" i="1"/>
  <c r="BK105" i="1"/>
  <c r="BM115" i="1"/>
  <c r="BK115" i="1"/>
  <c r="BM118" i="1"/>
  <c r="BN121" i="1"/>
  <c r="BL127" i="1"/>
  <c r="BM132" i="1"/>
  <c r="BL135" i="1"/>
  <c r="BJ175" i="1"/>
  <c r="BM182" i="1"/>
  <c r="BN182" i="1"/>
  <c r="BK183" i="1"/>
  <c r="BM185" i="1"/>
  <c r="BM186" i="1"/>
  <c r="BM187" i="1"/>
  <c r="BM188" i="1"/>
  <c r="BM201" i="1"/>
  <c r="BM202" i="1"/>
  <c r="BK202" i="1"/>
  <c r="BM212" i="1"/>
  <c r="BK212" i="1"/>
  <c r="BM216" i="1"/>
  <c r="BK216" i="1"/>
  <c r="BM219" i="1"/>
  <c r="BM221" i="1"/>
  <c r="BK231" i="1"/>
  <c r="BM232" i="1"/>
  <c r="BO236" i="1"/>
  <c r="BN5" i="1"/>
  <c r="BN10" i="1"/>
  <c r="BM14" i="1"/>
  <c r="BM16" i="1"/>
  <c r="BN18" i="1"/>
  <c r="BJ26" i="1"/>
  <c r="BN40" i="1"/>
  <c r="BI44" i="1"/>
  <c r="BN54" i="1"/>
  <c r="BN60" i="1"/>
  <c r="BI64" i="1"/>
  <c r="BM65" i="1"/>
  <c r="BJ68" i="1"/>
  <c r="BN70" i="1"/>
  <c r="BN76" i="1"/>
  <c r="BN80" i="1"/>
  <c r="BM83" i="1"/>
  <c r="BL117" i="1"/>
  <c r="BK117" i="1"/>
  <c r="BJ117" i="1"/>
  <c r="BO117" i="1"/>
  <c r="BL137" i="1"/>
  <c r="BJ137" i="1"/>
  <c r="BL144" i="1"/>
  <c r="BJ144" i="1"/>
  <c r="BM163" i="1"/>
  <c r="BN163" i="1"/>
  <c r="BM171" i="1"/>
  <c r="BN171" i="1"/>
  <c r="BJ171" i="1"/>
  <c r="BP180" i="1"/>
  <c r="BK180" i="1"/>
  <c r="BI180" i="1"/>
  <c r="BL184" i="1"/>
  <c r="BK184" i="1"/>
  <c r="BJ184" i="1"/>
  <c r="BO184" i="1"/>
  <c r="BL189" i="1"/>
  <c r="BK189" i="1"/>
  <c r="BL199" i="1"/>
  <c r="BK199" i="1"/>
  <c r="BO199" i="1"/>
  <c r="BL203" i="1"/>
  <c r="BK203" i="1"/>
  <c r="BO203" i="1"/>
  <c r="BL222" i="1"/>
  <c r="BK222" i="1"/>
  <c r="BJ222" i="1"/>
  <c r="BO222" i="1"/>
  <c r="BL238" i="1"/>
  <c r="BK238" i="1"/>
  <c r="BO238" i="1"/>
  <c r="BN12" i="1"/>
  <c r="BN20" i="1"/>
  <c r="BN26" i="1"/>
  <c r="BM38" i="1"/>
  <c r="BN42" i="1"/>
  <c r="BM46" i="1"/>
  <c r="BM48" i="1"/>
  <c r="BM50" i="1"/>
  <c r="BN56" i="1"/>
  <c r="BN62" i="1"/>
  <c r="BN66" i="1"/>
  <c r="BN72" i="1"/>
  <c r="BI80" i="1"/>
  <c r="BN83" i="1"/>
  <c r="BI84" i="1"/>
  <c r="BO86" i="1"/>
  <c r="BL91" i="1"/>
  <c r="BO91" i="1"/>
  <c r="BN91" i="1"/>
  <c r="BL122" i="1"/>
  <c r="BN122" i="1"/>
  <c r="BL134" i="1"/>
  <c r="BK134" i="1"/>
  <c r="BO134" i="1"/>
  <c r="BL194" i="1"/>
  <c r="BK194" i="1"/>
  <c r="BJ194" i="1"/>
  <c r="BO194" i="1"/>
  <c r="BP197" i="1"/>
  <c r="BK197" i="1"/>
  <c r="BI197" i="1"/>
  <c r="BP220" i="1"/>
  <c r="BK220" i="1"/>
  <c r="BI220" i="1"/>
  <c r="BP227" i="1"/>
  <c r="BK227" i="1"/>
  <c r="BI227" i="1"/>
  <c r="BL235" i="1"/>
  <c r="BK235" i="1"/>
  <c r="BO235" i="1"/>
  <c r="BN34" i="1"/>
  <c r="BN38" i="1"/>
  <c r="BN46" i="1"/>
  <c r="BN48" i="1"/>
  <c r="BN50" i="1"/>
  <c r="BI62" i="1"/>
  <c r="BN68" i="1"/>
  <c r="BJ70" i="1"/>
  <c r="BJ76" i="1"/>
  <c r="BN78" i="1"/>
  <c r="BM81" i="1"/>
  <c r="BO82" i="1"/>
  <c r="BJ83" i="1"/>
  <c r="BO83" i="1"/>
  <c r="BN85" i="1"/>
  <c r="BM90" i="1"/>
  <c r="BM92" i="1"/>
  <c r="BP101" i="1"/>
  <c r="BK101" i="1"/>
  <c r="BI101" i="1"/>
  <c r="BN117" i="1"/>
  <c r="BN129" i="1"/>
  <c r="BN137" i="1"/>
  <c r="BM169" i="1"/>
  <c r="BN169" i="1"/>
  <c r="BN180" i="1"/>
  <c r="BN184" i="1"/>
  <c r="BO189" i="1"/>
  <c r="BM207" i="1"/>
  <c r="BL213" i="1"/>
  <c r="BK213" i="1"/>
  <c r="BO213" i="1"/>
  <c r="BL217" i="1"/>
  <c r="BK217" i="1"/>
  <c r="BO217" i="1"/>
  <c r="BN222" i="1"/>
  <c r="BP225" i="1"/>
  <c r="BK225" i="1"/>
  <c r="BI225" i="1"/>
  <c r="BP230" i="1"/>
  <c r="BK230" i="1"/>
  <c r="BI230" i="1"/>
  <c r="BM22" i="1"/>
  <c r="BM28" i="1"/>
  <c r="BM30" i="1"/>
  <c r="BM32" i="1"/>
  <c r="BN32" i="1"/>
  <c r="BJ42" i="1"/>
  <c r="BN44" i="1"/>
  <c r="BN58" i="1"/>
  <c r="BN64" i="1"/>
  <c r="BJ66" i="1"/>
  <c r="BM69" i="1"/>
  <c r="BJ72" i="1"/>
  <c r="BN74" i="1"/>
  <c r="BK83" i="1"/>
  <c r="BO85" i="1"/>
  <c r="BL89" i="1"/>
  <c r="BN89" i="1"/>
  <c r="BN92" i="1"/>
  <c r="BO92" i="1"/>
  <c r="BM98" i="1"/>
  <c r="BM100" i="1"/>
  <c r="BL100" i="1"/>
  <c r="BM189" i="1"/>
  <c r="BM199" i="1"/>
  <c r="BM203" i="1"/>
  <c r="BL207" i="1"/>
  <c r="BK207" i="1"/>
  <c r="BN238" i="1"/>
  <c r="BN97" i="1"/>
  <c r="BN99" i="1"/>
  <c r="BK107" i="1"/>
  <c r="BK109" i="1"/>
  <c r="BM111" i="1"/>
  <c r="BK111" i="1"/>
  <c r="BM113" i="1"/>
  <c r="BK113" i="1"/>
  <c r="BN115" i="1"/>
  <c r="BO120" i="1"/>
  <c r="BN123" i="1"/>
  <c r="BN128" i="1"/>
  <c r="BM130" i="1"/>
  <c r="BK130" i="1"/>
  <c r="BJ132" i="1"/>
  <c r="BL133" i="1"/>
  <c r="BJ135" i="1"/>
  <c r="BN136" i="1"/>
  <c r="BM138" i="1"/>
  <c r="BL138" i="1"/>
  <c r="BJ146" i="1"/>
  <c r="BM165" i="1"/>
  <c r="BN167" i="1"/>
  <c r="BM173" i="1"/>
  <c r="BN175" i="1"/>
  <c r="BK181" i="1"/>
  <c r="BN186" i="1"/>
  <c r="BN188" i="1"/>
  <c r="BM190" i="1"/>
  <c r="BK190" i="1"/>
  <c r="BO191" i="1"/>
  <c r="BJ192" i="1"/>
  <c r="BN196" i="1"/>
  <c r="BM198" i="1"/>
  <c r="BK198" i="1"/>
  <c r="BK201" i="1"/>
  <c r="BN202" i="1"/>
  <c r="BK205" i="1"/>
  <c r="BN206" i="1"/>
  <c r="BM208" i="1"/>
  <c r="BK208" i="1"/>
  <c r="BN212" i="1"/>
  <c r="BN216" i="1"/>
  <c r="BK221" i="1"/>
  <c r="BN224" i="1"/>
  <c r="BM226" i="1"/>
  <c r="BK226" i="1"/>
  <c r="BM228" i="1"/>
  <c r="BK228" i="1"/>
  <c r="BK234" i="1"/>
  <c r="BN241" i="1"/>
  <c r="BO97" i="1"/>
  <c r="BO99" i="1"/>
  <c r="BK103" i="1"/>
  <c r="BN105" i="1"/>
  <c r="BN107" i="1"/>
  <c r="BN109" i="1"/>
  <c r="BN111" i="1"/>
  <c r="BN113" i="1"/>
  <c r="BK119" i="1"/>
  <c r="BP126" i="1"/>
  <c r="BN130" i="1"/>
  <c r="BK132" i="1"/>
  <c r="BM177" i="1"/>
  <c r="BK182" i="1"/>
  <c r="BI186" i="1"/>
  <c r="BO188" i="1"/>
  <c r="BN190" i="1"/>
  <c r="BO193" i="1"/>
  <c r="BO196" i="1"/>
  <c r="BN198" i="1"/>
  <c r="BO202" i="1"/>
  <c r="BO206" i="1"/>
  <c r="BN208" i="1"/>
  <c r="BI209" i="1"/>
  <c r="BK210" i="1"/>
  <c r="BO212" i="1"/>
  <c r="BK214" i="1"/>
  <c r="BO216" i="1"/>
  <c r="BK218" i="1"/>
  <c r="BO219" i="1"/>
  <c r="BO224" i="1"/>
  <c r="BN226" i="1"/>
  <c r="BN228" i="1"/>
  <c r="BO229" i="1"/>
  <c r="BN234" i="1"/>
  <c r="BM236" i="1"/>
  <c r="BK236" i="1"/>
  <c r="BN95" i="1"/>
  <c r="BJ97" i="1"/>
  <c r="BJ99" i="1"/>
  <c r="BM101" i="1"/>
  <c r="BN103" i="1"/>
  <c r="BO105" i="1"/>
  <c r="BO107" i="1"/>
  <c r="BO109" i="1"/>
  <c r="BO111" i="1"/>
  <c r="BO113" i="1"/>
  <c r="BM117" i="1"/>
  <c r="BN119" i="1"/>
  <c r="BO124" i="1"/>
  <c r="BO130" i="1"/>
  <c r="BN132" i="1"/>
  <c r="BM134" i="1"/>
  <c r="BP138" i="1"/>
  <c r="BM170" i="1"/>
  <c r="BM180" i="1"/>
  <c r="BI181" i="1"/>
  <c r="BI183" i="1"/>
  <c r="BM184" i="1"/>
  <c r="BO185" i="1"/>
  <c r="BO187" i="1"/>
  <c r="BJ188" i="1"/>
  <c r="BO190" i="1"/>
  <c r="BK191" i="1"/>
  <c r="BN192" i="1"/>
  <c r="BM194" i="1"/>
  <c r="BO195" i="1"/>
  <c r="BJ196" i="1"/>
  <c r="BI198" i="1"/>
  <c r="BN200" i="1"/>
  <c r="BO201" i="1"/>
  <c r="BN204" i="1"/>
  <c r="BO205" i="1"/>
  <c r="BJ206" i="1"/>
  <c r="BO208" i="1"/>
  <c r="BN210" i="1"/>
  <c r="BO211" i="1"/>
  <c r="BN214" i="1"/>
  <c r="BO215" i="1"/>
  <c r="BM220" i="1"/>
  <c r="BI221" i="1"/>
  <c r="BM222" i="1"/>
  <c r="BI226" i="1"/>
  <c r="BO228" i="1"/>
  <c r="BM230" i="1"/>
  <c r="BN236" i="1"/>
  <c r="BM238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38" i="1"/>
  <c r="BM6" i="1"/>
  <c r="BO8" i="1"/>
  <c r="BK8" i="1"/>
  <c r="BO9" i="1"/>
  <c r="BK9" i="1"/>
  <c r="BN9" i="1"/>
  <c r="BO21" i="1"/>
  <c r="BK21" i="1"/>
  <c r="BN21" i="1"/>
  <c r="BO41" i="1"/>
  <c r="BK41" i="1"/>
  <c r="BN41" i="1"/>
  <c r="BJ41" i="1"/>
  <c r="BO51" i="1"/>
  <c r="BK51" i="1"/>
  <c r="BN51" i="1"/>
  <c r="BP59" i="1"/>
  <c r="BM145" i="1"/>
  <c r="BO145" i="1"/>
  <c r="BK145" i="1"/>
  <c r="BL145" i="1"/>
  <c r="BJ145" i="1"/>
  <c r="BN145" i="1"/>
  <c r="BO5" i="1"/>
  <c r="BN7" i="1"/>
  <c r="BN8" i="1"/>
  <c r="BO13" i="1"/>
  <c r="BK13" i="1"/>
  <c r="BN13" i="1"/>
  <c r="BM19" i="1"/>
  <c r="BM23" i="1"/>
  <c r="BM27" i="1"/>
  <c r="BM29" i="1"/>
  <c r="BM33" i="1"/>
  <c r="BK35" i="1"/>
  <c r="BN35" i="1"/>
  <c r="BI35" i="1"/>
  <c r="BP35" i="1"/>
  <c r="BK37" i="1"/>
  <c r="BN37" i="1"/>
  <c r="BM39" i="1"/>
  <c r="BM43" i="1"/>
  <c r="BK57" i="1"/>
  <c r="BN57" i="1"/>
  <c r="BI57" i="1"/>
  <c r="BP57" i="1"/>
  <c r="BM63" i="1"/>
  <c r="BO65" i="1"/>
  <c r="BK65" i="1"/>
  <c r="BN65" i="1"/>
  <c r="BJ65" i="1"/>
  <c r="BO69" i="1"/>
  <c r="BK69" i="1"/>
  <c r="BN69" i="1"/>
  <c r="BJ69" i="1"/>
  <c r="BM73" i="1"/>
  <c r="BM77" i="1"/>
  <c r="BM143" i="1"/>
  <c r="BO143" i="1"/>
  <c r="BK143" i="1"/>
  <c r="BL143" i="1"/>
  <c r="BJ143" i="1"/>
  <c r="BN143" i="1"/>
  <c r="BO17" i="1"/>
  <c r="BK17" i="1"/>
  <c r="BN17" i="1"/>
  <c r="BO75" i="1"/>
  <c r="BK75" i="1"/>
  <c r="BN75" i="1"/>
  <c r="BJ75" i="1"/>
  <c r="BO79" i="1"/>
  <c r="BK79" i="1"/>
  <c r="BN79" i="1"/>
  <c r="BM5" i="1"/>
  <c r="BO7" i="1"/>
  <c r="BM11" i="1"/>
  <c r="BM15" i="1"/>
  <c r="BO19" i="1"/>
  <c r="BK19" i="1"/>
  <c r="BN19" i="1"/>
  <c r="BO23" i="1"/>
  <c r="BK23" i="1"/>
  <c r="BN23" i="1"/>
  <c r="BO27" i="1"/>
  <c r="BK27" i="1"/>
  <c r="BN27" i="1"/>
  <c r="BJ27" i="1"/>
  <c r="BO29" i="1"/>
  <c r="BK29" i="1"/>
  <c r="BN29" i="1"/>
  <c r="BJ29" i="1"/>
  <c r="BM31" i="1"/>
  <c r="BO33" i="1"/>
  <c r="BK33" i="1"/>
  <c r="BN33" i="1"/>
  <c r="BO39" i="1"/>
  <c r="BK39" i="1"/>
  <c r="BN39" i="1"/>
  <c r="BJ39" i="1"/>
  <c r="BL41" i="1"/>
  <c r="BO43" i="1"/>
  <c r="BK43" i="1"/>
  <c r="BN43" i="1"/>
  <c r="BJ43" i="1"/>
  <c r="BM55" i="1"/>
  <c r="BM61" i="1"/>
  <c r="BK63" i="1"/>
  <c r="BN63" i="1"/>
  <c r="BI63" i="1"/>
  <c r="BP63" i="1"/>
  <c r="BM67" i="1"/>
  <c r="BM71" i="1"/>
  <c r="BO73" i="1"/>
  <c r="BK73" i="1"/>
  <c r="BN73" i="1"/>
  <c r="BJ73" i="1"/>
  <c r="BL75" i="1"/>
  <c r="BO77" i="1"/>
  <c r="BK77" i="1"/>
  <c r="BN77" i="1"/>
  <c r="BJ77" i="1"/>
  <c r="BO96" i="1"/>
  <c r="BK96" i="1"/>
  <c r="BN96" i="1"/>
  <c r="BJ96" i="1"/>
  <c r="BM96" i="1"/>
  <c r="BL96" i="1"/>
  <c r="BM149" i="1"/>
  <c r="BO149" i="1"/>
  <c r="BK149" i="1"/>
  <c r="BL149" i="1"/>
  <c r="BN149" i="1"/>
  <c r="BO6" i="1"/>
  <c r="BK6" i="1"/>
  <c r="BL7" i="1"/>
  <c r="BM8" i="1"/>
  <c r="BO45" i="1"/>
  <c r="BK45" i="1"/>
  <c r="BN45" i="1"/>
  <c r="BO47" i="1"/>
  <c r="BK47" i="1"/>
  <c r="BN47" i="1"/>
  <c r="BO49" i="1"/>
  <c r="BK49" i="1"/>
  <c r="BN49" i="1"/>
  <c r="BO53" i="1"/>
  <c r="BK53" i="1"/>
  <c r="BN53" i="1"/>
  <c r="BK59" i="1"/>
  <c r="BN59" i="1"/>
  <c r="BI59" i="1"/>
  <c r="C244" i="1"/>
  <c r="AV244" i="1"/>
  <c r="BL5" i="1"/>
  <c r="BL6" i="1"/>
  <c r="BM7" i="1"/>
  <c r="BL8" i="1"/>
  <c r="BM9" i="1"/>
  <c r="BL9" i="1"/>
  <c r="BO11" i="1"/>
  <c r="BK11" i="1"/>
  <c r="BN11" i="1"/>
  <c r="BO15" i="1"/>
  <c r="BK15" i="1"/>
  <c r="BN15" i="1"/>
  <c r="BJ15" i="1"/>
  <c r="BM17" i="1"/>
  <c r="BL17" i="1"/>
  <c r="BM21" i="1"/>
  <c r="BL21" i="1"/>
  <c r="BO25" i="1"/>
  <c r="BN25" i="1"/>
  <c r="BK31" i="1"/>
  <c r="BN31" i="1"/>
  <c r="BI31" i="1"/>
  <c r="BP31" i="1"/>
  <c r="BM41" i="1"/>
  <c r="BM45" i="1"/>
  <c r="BL45" i="1"/>
  <c r="BM47" i="1"/>
  <c r="BM49" i="1"/>
  <c r="BM51" i="1"/>
  <c r="BL51" i="1"/>
  <c r="BM53" i="1"/>
  <c r="BO55" i="1"/>
  <c r="BK55" i="1"/>
  <c r="BN55" i="1"/>
  <c r="BJ55" i="1"/>
  <c r="BM59" i="1"/>
  <c r="BK61" i="1"/>
  <c r="BN61" i="1"/>
  <c r="BI61" i="1"/>
  <c r="BP61" i="1"/>
  <c r="BO67" i="1"/>
  <c r="BK67" i="1"/>
  <c r="BN67" i="1"/>
  <c r="BJ67" i="1"/>
  <c r="BK71" i="1"/>
  <c r="BN71" i="1"/>
  <c r="BI71" i="1"/>
  <c r="BP71" i="1"/>
  <c r="BM75" i="1"/>
  <c r="BM79" i="1"/>
  <c r="BL79" i="1"/>
  <c r="BL81" i="1"/>
  <c r="BK81" i="1"/>
  <c r="BO81" i="1"/>
  <c r="BN81" i="1"/>
  <c r="BN90" i="1"/>
  <c r="BJ90" i="1"/>
  <c r="BL90" i="1"/>
  <c r="BK90" i="1"/>
  <c r="BO90" i="1"/>
  <c r="BM147" i="1"/>
  <c r="BO147" i="1"/>
  <c r="BK147" i="1"/>
  <c r="BL147" i="1"/>
  <c r="BJ147" i="1"/>
  <c r="BN147" i="1"/>
  <c r="BM157" i="1"/>
  <c r="BO157" i="1"/>
  <c r="BK157" i="1"/>
  <c r="BL157" i="1"/>
  <c r="BO164" i="1"/>
  <c r="BK164" i="1"/>
  <c r="BN164" i="1"/>
  <c r="BL164" i="1"/>
  <c r="BK10" i="1"/>
  <c r="BO10" i="1"/>
  <c r="BK12" i="1"/>
  <c r="BO12" i="1"/>
  <c r="BK14" i="1"/>
  <c r="BO14" i="1"/>
  <c r="BK16" i="1"/>
  <c r="BO16" i="1"/>
  <c r="BK18" i="1"/>
  <c r="BO18" i="1"/>
  <c r="BK20" i="1"/>
  <c r="BO20" i="1"/>
  <c r="BK22" i="1"/>
  <c r="BO22" i="1"/>
  <c r="BK26" i="1"/>
  <c r="BO26" i="1"/>
  <c r="BK28" i="1"/>
  <c r="BK30" i="1"/>
  <c r="BO30" i="1"/>
  <c r="BK32" i="1"/>
  <c r="BO32" i="1"/>
  <c r="BK34" i="1"/>
  <c r="BO34" i="1"/>
  <c r="BK36" i="1"/>
  <c r="BK38" i="1"/>
  <c r="BK40" i="1"/>
  <c r="BO40" i="1"/>
  <c r="BK42" i="1"/>
  <c r="BO42" i="1"/>
  <c r="BK44" i="1"/>
  <c r="BK46" i="1"/>
  <c r="BK48" i="1"/>
  <c r="BK50" i="1"/>
  <c r="BK52" i="1"/>
  <c r="BK54" i="1"/>
  <c r="BO54" i="1"/>
  <c r="BK56" i="1"/>
  <c r="BK58" i="1"/>
  <c r="BO58" i="1"/>
  <c r="BK60" i="1"/>
  <c r="BO60" i="1"/>
  <c r="BK62" i="1"/>
  <c r="BK64" i="1"/>
  <c r="BK66" i="1"/>
  <c r="BO66" i="1"/>
  <c r="BK68" i="1"/>
  <c r="BO68" i="1"/>
  <c r="BK70" i="1"/>
  <c r="BO70" i="1"/>
  <c r="BK72" i="1"/>
  <c r="BO72" i="1"/>
  <c r="BK74" i="1"/>
  <c r="BO74" i="1"/>
  <c r="BK76" i="1"/>
  <c r="BO76" i="1"/>
  <c r="BK78" i="1"/>
  <c r="BO78" i="1"/>
  <c r="BK80" i="1"/>
  <c r="BL82" i="1"/>
  <c r="BL86" i="1"/>
  <c r="BK88" i="1"/>
  <c r="BL92" i="1"/>
  <c r="BO98" i="1"/>
  <c r="BK98" i="1"/>
  <c r="BN98" i="1"/>
  <c r="BJ98" i="1"/>
  <c r="BM151" i="1"/>
  <c r="BO151" i="1"/>
  <c r="BK151" i="1"/>
  <c r="BL151" i="1"/>
  <c r="BM159" i="1"/>
  <c r="BO159" i="1"/>
  <c r="BK159" i="1"/>
  <c r="BL159" i="1"/>
  <c r="BK174" i="1"/>
  <c r="BN174" i="1"/>
  <c r="BL174" i="1"/>
  <c r="BP174" i="1"/>
  <c r="BL12" i="1"/>
  <c r="BL14" i="1"/>
  <c r="BL16" i="1"/>
  <c r="BL18" i="1"/>
  <c r="BL20" i="1"/>
  <c r="BL22" i="1"/>
  <c r="BL26" i="1"/>
  <c r="BL28" i="1"/>
  <c r="BP28" i="1"/>
  <c r="BL30" i="1"/>
  <c r="BL44" i="1"/>
  <c r="BL56" i="1"/>
  <c r="BL62" i="1"/>
  <c r="BL64" i="1"/>
  <c r="BL80" i="1"/>
  <c r="BK84" i="1"/>
  <c r="BP84" i="1"/>
  <c r="BO94" i="1"/>
  <c r="BK94" i="1"/>
  <c r="BN94" i="1"/>
  <c r="BM94" i="1"/>
  <c r="BO100" i="1"/>
  <c r="BK100" i="1"/>
  <c r="BN100" i="1"/>
  <c r="BJ100" i="1"/>
  <c r="BM153" i="1"/>
  <c r="BO153" i="1"/>
  <c r="BK153" i="1"/>
  <c r="BL153" i="1"/>
  <c r="BM161" i="1"/>
  <c r="BO161" i="1"/>
  <c r="BK161" i="1"/>
  <c r="BL161" i="1"/>
  <c r="BO168" i="1"/>
  <c r="BK168" i="1"/>
  <c r="BN168" i="1"/>
  <c r="BI28" i="1"/>
  <c r="BL84" i="1"/>
  <c r="BN88" i="1"/>
  <c r="BJ88" i="1"/>
  <c r="BM88" i="1"/>
  <c r="BO139" i="1"/>
  <c r="BK139" i="1"/>
  <c r="BL139" i="1"/>
  <c r="BJ139" i="1"/>
  <c r="BN139" i="1"/>
  <c r="BK140" i="1"/>
  <c r="BO140" i="1"/>
  <c r="BJ140" i="1"/>
  <c r="BN140" i="1"/>
  <c r="BO141" i="1"/>
  <c r="BK141" i="1"/>
  <c r="BL141" i="1"/>
  <c r="BJ141" i="1"/>
  <c r="BN141" i="1"/>
  <c r="BK142" i="1"/>
  <c r="BO142" i="1"/>
  <c r="BN142" i="1"/>
  <c r="BM155" i="1"/>
  <c r="BO155" i="1"/>
  <c r="BK155" i="1"/>
  <c r="BL155" i="1"/>
  <c r="BN157" i="1"/>
  <c r="BL101" i="1"/>
  <c r="BN102" i="1"/>
  <c r="BJ104" i="1"/>
  <c r="BN104" i="1"/>
  <c r="BN106" i="1"/>
  <c r="BN108" i="1"/>
  <c r="BN110" i="1"/>
  <c r="BN112" i="1"/>
  <c r="BJ114" i="1"/>
  <c r="BN114" i="1"/>
  <c r="BJ116" i="1"/>
  <c r="BN116" i="1"/>
  <c r="BJ118" i="1"/>
  <c r="BN118" i="1"/>
  <c r="BL119" i="1"/>
  <c r="BM120" i="1"/>
  <c r="BK120" i="1"/>
  <c r="BM122" i="1"/>
  <c r="BK122" i="1"/>
  <c r="BM124" i="1"/>
  <c r="BK124" i="1"/>
  <c r="BM126" i="1"/>
  <c r="BL126" i="1"/>
  <c r="BO127" i="1"/>
  <c r="BK127" i="1"/>
  <c r="BM127" i="1"/>
  <c r="BO129" i="1"/>
  <c r="BK129" i="1"/>
  <c r="BM129" i="1"/>
  <c r="BO131" i="1"/>
  <c r="BK131" i="1"/>
  <c r="BM131" i="1"/>
  <c r="BO133" i="1"/>
  <c r="BK133" i="1"/>
  <c r="BM133" i="1"/>
  <c r="BO135" i="1"/>
  <c r="BK135" i="1"/>
  <c r="BM135" i="1"/>
  <c r="BO137" i="1"/>
  <c r="BK137" i="1"/>
  <c r="BM137" i="1"/>
  <c r="BN138" i="1"/>
  <c r="BM144" i="1"/>
  <c r="BM146" i="1"/>
  <c r="BM148" i="1"/>
  <c r="BM150" i="1"/>
  <c r="BM152" i="1"/>
  <c r="BM154" i="1"/>
  <c r="BM156" i="1"/>
  <c r="BM158" i="1"/>
  <c r="BM160" i="1"/>
  <c r="BM162" i="1"/>
  <c r="BM166" i="1"/>
  <c r="BO170" i="1"/>
  <c r="BK170" i="1"/>
  <c r="BN170" i="1"/>
  <c r="BJ170" i="1"/>
  <c r="BM172" i="1"/>
  <c r="BK102" i="1"/>
  <c r="BO102" i="1"/>
  <c r="BK104" i="1"/>
  <c r="BO104" i="1"/>
  <c r="BK106" i="1"/>
  <c r="BO106" i="1"/>
  <c r="BK108" i="1"/>
  <c r="BO108" i="1"/>
  <c r="BK110" i="1"/>
  <c r="BO110" i="1"/>
  <c r="BK112" i="1"/>
  <c r="BO112" i="1"/>
  <c r="BK114" i="1"/>
  <c r="BO114" i="1"/>
  <c r="BK116" i="1"/>
  <c r="BO116" i="1"/>
  <c r="BK118" i="1"/>
  <c r="BO118" i="1"/>
  <c r="BO121" i="1"/>
  <c r="BK121" i="1"/>
  <c r="BM121" i="1"/>
  <c r="BO123" i="1"/>
  <c r="BK123" i="1"/>
  <c r="BM123" i="1"/>
  <c r="BO125" i="1"/>
  <c r="BK125" i="1"/>
  <c r="BM125" i="1"/>
  <c r="BN126" i="1"/>
  <c r="BO144" i="1"/>
  <c r="BK144" i="1"/>
  <c r="BN144" i="1"/>
  <c r="BO146" i="1"/>
  <c r="BK146" i="1"/>
  <c r="BN146" i="1"/>
  <c r="BO148" i="1"/>
  <c r="BK148" i="1"/>
  <c r="BN148" i="1"/>
  <c r="BO150" i="1"/>
  <c r="BK150" i="1"/>
  <c r="BN150" i="1"/>
  <c r="BO152" i="1"/>
  <c r="BK152" i="1"/>
  <c r="BN152" i="1"/>
  <c r="BO154" i="1"/>
  <c r="BK154" i="1"/>
  <c r="BN154" i="1"/>
  <c r="BO156" i="1"/>
  <c r="BK156" i="1"/>
  <c r="BN156" i="1"/>
  <c r="BO158" i="1"/>
  <c r="BK158" i="1"/>
  <c r="BN158" i="1"/>
  <c r="BO160" i="1"/>
  <c r="BK160" i="1"/>
  <c r="BN160" i="1"/>
  <c r="BK162" i="1"/>
  <c r="BN162" i="1"/>
  <c r="BI162" i="1"/>
  <c r="BP162" i="1"/>
  <c r="BO166" i="1"/>
  <c r="BK166" i="1"/>
  <c r="BN166" i="1"/>
  <c r="BK172" i="1"/>
  <c r="BN172" i="1"/>
  <c r="BI172" i="1"/>
  <c r="BP172" i="1"/>
  <c r="BM176" i="1"/>
  <c r="BM178" i="1"/>
  <c r="BM140" i="1"/>
  <c r="BM142" i="1"/>
  <c r="BM164" i="1"/>
  <c r="BM168" i="1"/>
  <c r="BM174" i="1"/>
  <c r="BO176" i="1"/>
  <c r="BK176" i="1"/>
  <c r="BN176" i="1"/>
  <c r="BJ176" i="1"/>
  <c r="BK178" i="1"/>
  <c r="BN178" i="1"/>
  <c r="BI178" i="1"/>
  <c r="BP178" i="1"/>
  <c r="BK163" i="1"/>
  <c r="BO163" i="1"/>
  <c r="BK165" i="1"/>
  <c r="BO165" i="1"/>
  <c r="BK167" i="1"/>
  <c r="BO167" i="1"/>
  <c r="BK169" i="1"/>
  <c r="BK171" i="1"/>
  <c r="BO171" i="1"/>
  <c r="BK173" i="1"/>
  <c r="BK175" i="1"/>
  <c r="BO175" i="1"/>
  <c r="BK177" i="1"/>
  <c r="BK179" i="1"/>
  <c r="BP179" i="1"/>
  <c r="BO240" i="1"/>
  <c r="BN240" i="1"/>
  <c r="BP242" i="1"/>
  <c r="BL163" i="1"/>
  <c r="BL165" i="1"/>
  <c r="BL167" i="1"/>
  <c r="BL169" i="1"/>
  <c r="BP169" i="1"/>
  <c r="BL171" i="1"/>
  <c r="BL173" i="1"/>
  <c r="BP173" i="1"/>
  <c r="BL175" i="1"/>
  <c r="BL177" i="1"/>
  <c r="BP177" i="1"/>
  <c r="BL179" i="1"/>
  <c r="BI169" i="1"/>
  <c r="BI177" i="1"/>
  <c r="BI179" i="1"/>
  <c r="BM179" i="1"/>
  <c r="BL180" i="1"/>
  <c r="BN181" i="1"/>
  <c r="BL182" i="1"/>
  <c r="BN183" i="1"/>
  <c r="BJ185" i="1"/>
  <c r="BN185" i="1"/>
  <c r="BL186" i="1"/>
  <c r="BJ187" i="1"/>
  <c r="BN187" i="1"/>
  <c r="BJ189" i="1"/>
  <c r="BN189" i="1"/>
  <c r="BJ191" i="1"/>
  <c r="BN191" i="1"/>
  <c r="BJ193" i="1"/>
  <c r="BN193" i="1"/>
  <c r="BJ195" i="1"/>
  <c r="BN195" i="1"/>
  <c r="BN197" i="1"/>
  <c r="BL198" i="1"/>
  <c r="BN199" i="1"/>
  <c r="BN201" i="1"/>
  <c r="BN203" i="1"/>
  <c r="BN205" i="1"/>
  <c r="BJ207" i="1"/>
  <c r="BN207" i="1"/>
  <c r="BN209" i="1"/>
  <c r="BN211" i="1"/>
  <c r="BN213" i="1"/>
  <c r="BN215" i="1"/>
  <c r="BN217" i="1"/>
  <c r="BJ219" i="1"/>
  <c r="BN219" i="1"/>
  <c r="BL220" i="1"/>
  <c r="BN221" i="1"/>
  <c r="BN223" i="1"/>
  <c r="BN225" i="1"/>
  <c r="BL226" i="1"/>
  <c r="BN227" i="1"/>
  <c r="BN229" i="1"/>
  <c r="BL230" i="1"/>
  <c r="BL234" i="1"/>
  <c r="BN235" i="1"/>
  <c r="BN237" i="1"/>
  <c r="BK239" i="1"/>
  <c r="BL181" i="1"/>
  <c r="BL183" i="1"/>
  <c r="BL197" i="1"/>
  <c r="BL209" i="1"/>
  <c r="BL221" i="1"/>
  <c r="BL223" i="1"/>
  <c r="BL225" i="1"/>
  <c r="BL227" i="1"/>
  <c r="BL237" i="1"/>
  <c r="D36" i="11" l="1"/>
  <c r="D34" i="11"/>
  <c r="D40" i="11"/>
  <c r="D28" i="11"/>
  <c r="D25" i="11"/>
  <c r="D30" i="11"/>
  <c r="D26" i="11"/>
  <c r="D21" i="11"/>
  <c r="D29" i="11"/>
  <c r="D24" i="11"/>
  <c r="D23" i="11"/>
  <c r="D22" i="11"/>
  <c r="D19" i="11"/>
  <c r="D17" i="11"/>
  <c r="D27" i="11"/>
  <c r="D20" i="11"/>
  <c r="D18" i="11"/>
  <c r="D15" i="11"/>
  <c r="D41" i="11"/>
  <c r="D38" i="11"/>
  <c r="D42" i="11"/>
  <c r="D49" i="11"/>
  <c r="D35" i="11"/>
  <c r="D39" i="11"/>
  <c r="D37" i="11"/>
  <c r="D51" i="11"/>
  <c r="BI244" i="1"/>
  <c r="BP244" i="1"/>
  <c r="BJ244" i="1"/>
  <c r="BN244" i="1"/>
  <c r="BK244" i="1"/>
  <c r="BL244" i="1"/>
  <c r="BM244" i="1"/>
  <c r="BO244" i="1"/>
  <c r="D52" i="11" l="1"/>
  <c r="D16" i="11"/>
  <c r="D33" i="11"/>
  <c r="D43" i="11"/>
  <c r="D45" i="11"/>
  <c r="D44" i="11"/>
  <c r="D48" i="11"/>
  <c r="D47" i="11"/>
  <c r="D46" i="11"/>
  <c r="C32" i="11" l="1"/>
  <c r="D32" i="11" s="1"/>
  <c r="D50" i="11"/>
  <c r="D31" i="11" l="1"/>
  <c r="C14" i="11"/>
  <c r="C13" i="11" l="1"/>
  <c r="D13" i="11" s="1"/>
  <c r="D14" i="11"/>
  <c r="R5" i="8"/>
</calcChain>
</file>

<file path=xl/sharedStrings.xml><?xml version="1.0" encoding="utf-8"?>
<sst xmlns="http://schemas.openxmlformats.org/spreadsheetml/2006/main" count="6792" uniqueCount="1038">
  <si>
    <t>№ п/п</t>
  </si>
  <si>
    <t>Адрес</t>
  </si>
  <si>
    <t>Общая площадь МКД, м2</t>
  </si>
  <si>
    <t>в т.ч.</t>
  </si>
  <si>
    <t>Площадь МОП, м2</t>
  </si>
  <si>
    <t>Лифты</t>
  </si>
  <si>
    <t>ИТП / ОДПУ (Отопление)</t>
  </si>
  <si>
    <t>Газовое отопление</t>
  </si>
  <si>
    <t>Водонагреватели</t>
  </si>
  <si>
    <t>ЖЭУ</t>
  </si>
  <si>
    <t>Вид благоустройства</t>
  </si>
  <si>
    <t>Размер платы на содержание ж/ф, руб./м2 (2пг 2022)</t>
  </si>
  <si>
    <t>Нормативы ОДН</t>
  </si>
  <si>
    <t>Нормативы</t>
  </si>
  <si>
    <t>Тарифы</t>
  </si>
  <si>
    <t>Санитарное содержание ж/ф и придомовых территорий, руб.</t>
  </si>
  <si>
    <t>площадь жилых помещений, м2</t>
  </si>
  <si>
    <t>площадь нежилых помещений, м2</t>
  </si>
  <si>
    <t>количество лифтов, шт.</t>
  </si>
  <si>
    <t>грузоподъёмность, кг</t>
  </si>
  <si>
    <t>Текущий ремонт ОИ МКД</t>
  </si>
  <si>
    <t>Содержание ОИ МКД</t>
  </si>
  <si>
    <t>Работы по управлению МКД</t>
  </si>
  <si>
    <t>Уборка придомовой территории</t>
  </si>
  <si>
    <t>Уборка лестничных клеток</t>
  </si>
  <si>
    <t>Обслуживание МП</t>
  </si>
  <si>
    <t>Обслуживание и содержание лифтов</t>
  </si>
  <si>
    <t>Обслуживание газового хозяйства</t>
  </si>
  <si>
    <t>Холодное в/с</t>
  </si>
  <si>
    <t>Горячее в/с</t>
  </si>
  <si>
    <t>Водоотведение</t>
  </si>
  <si>
    <t>Электроснабжение</t>
  </si>
  <si>
    <t>Отопление</t>
  </si>
  <si>
    <t>Газоснабжение</t>
  </si>
  <si>
    <t>Холодное в/с 2023</t>
  </si>
  <si>
    <t>Горячее в/с 2023</t>
  </si>
  <si>
    <t>Водоотведение 2023</t>
  </si>
  <si>
    <t>Отопление 2023</t>
  </si>
  <si>
    <t>Газоснабжение 2023</t>
  </si>
  <si>
    <t>Электроснабжение 2023</t>
  </si>
  <si>
    <t>Всего, руб./мес.</t>
  </si>
  <si>
    <t>носитель</t>
  </si>
  <si>
    <t>энергия</t>
  </si>
  <si>
    <t>газ</t>
  </si>
  <si>
    <t>отопление</t>
  </si>
  <si>
    <t>стоимость за 1м3</t>
  </si>
  <si>
    <t>Уборка придомовой территории (руб./мес.)</t>
  </si>
  <si>
    <t>Уборка лестничных клеток (руб./мес.)</t>
  </si>
  <si>
    <t>Обслуживание МП (руб./мес.)</t>
  </si>
  <si>
    <t>Заметки</t>
  </si>
  <si>
    <t>РСО по поставке коммунальных ресурсов</t>
  </si>
  <si>
    <t>Площадь МКД по видам благоустройства, м2</t>
  </si>
  <si>
    <t>пас.</t>
  </si>
  <si>
    <t>гр.</t>
  </si>
  <si>
    <t>м3/м2МОП</t>
  </si>
  <si>
    <t>Гкал/м3/м2МОП</t>
  </si>
  <si>
    <t>кВт*ч / м2МОП</t>
  </si>
  <si>
    <t>м3/чел.</t>
  </si>
  <si>
    <t>Гкал/м3</t>
  </si>
  <si>
    <t>м3/чел</t>
  </si>
  <si>
    <t>Гкал/м2</t>
  </si>
  <si>
    <t>м3/м2</t>
  </si>
  <si>
    <t>руб./м3</t>
  </si>
  <si>
    <t>руб./Гкал</t>
  </si>
  <si>
    <t>руб./м3 ГВС</t>
  </si>
  <si>
    <t>руб./кВт*ч</t>
  </si>
  <si>
    <t>Горячее в/с (носитель)</t>
  </si>
  <si>
    <t>Горячее в/с (энергия)</t>
  </si>
  <si>
    <t>МКД с газом</t>
  </si>
  <si>
    <t>МКД без газа</t>
  </si>
  <si>
    <t>г.Одинцово, 1-я Вокзальная, 41</t>
  </si>
  <si>
    <t>нет</t>
  </si>
  <si>
    <t>-</t>
  </si>
  <si>
    <t>ЖЭУ-6,7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</si>
  <si>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</si>
  <si>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</si>
  <si>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</si>
  <si>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</si>
  <si>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</si>
  <si>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</si>
  <si>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</si>
  <si>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</si>
  <si>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</si>
  <si>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ОДПУ</t>
  </si>
  <si>
    <t>г.Одинцово, Баковская, 4</t>
  </si>
  <si>
    <t>г.Одинцово, Баковская, 8</t>
  </si>
  <si>
    <t>г.Одинцово, БЗРИ, 1</t>
  </si>
  <si>
    <t>ООО "БЗ"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</si>
  <si>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</si>
  <si>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</si>
  <si>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</si>
  <si>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</si>
  <si>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</si>
  <si>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</si>
  <si>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Буденовское шоссе, 9</t>
  </si>
  <si>
    <t>ЖЭУ-13</t>
  </si>
  <si>
    <t>г.Одинцово, Буденовское шоссе, 11</t>
  </si>
  <si>
    <t>г.Одинцово, бульвар маршала Крылова, 1</t>
  </si>
  <si>
    <t>ЖЭУ-5</t>
  </si>
  <si>
    <t>г.Одинцово, бульвар маршала Крылова, 3</t>
  </si>
  <si>
    <t>г.Одинцово, бульвар маршала Крылова, 27</t>
  </si>
  <si>
    <t>г.Одинцово, Верхне-Пролетарская, 1 корп.1</t>
  </si>
  <si>
    <t>ЖЭУ-8</t>
  </si>
  <si>
    <t>г.Одинцово, Верхне-Пролетарская, 1 корп.2</t>
  </si>
  <si>
    <t>г.Одинцово, Верхне-Пролетарская, 3</t>
  </si>
  <si>
    <t>г.Одинцово, Верхне-Пролетарская, 29</t>
  </si>
  <si>
    <t>да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</si>
  <si>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</si>
  <si>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</si>
  <si>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</si>
  <si>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</si>
  <si>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газ в балонах</t>
  </si>
  <si>
    <t>ОАО "ВЗОИ"</t>
  </si>
  <si>
    <t>г.Одинцово, Верхне-Пролетарская, 45</t>
  </si>
  <si>
    <t>г.Одинцово, Верхне-Пролетарская, 67</t>
  </si>
  <si>
    <t>нет уборки МОП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</si>
  <si>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</si>
  <si>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</si>
  <si>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</si>
  <si>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</si>
  <si>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</si>
  <si>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</si>
  <si>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</si>
  <si>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</si>
  <si>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4</t>
  </si>
  <si>
    <t>г.Одинцово, Глазынинская, 10</t>
  </si>
  <si>
    <t>г.Одинцово, Глазынинская, 12</t>
  </si>
  <si>
    <t>г.Одинцово, Глазынинская, 14</t>
  </si>
  <si>
    <t>г.Одинцово, Глазынинская, 20</t>
  </si>
  <si>
    <t>г.Одинцово, Глазынинская, 22</t>
  </si>
  <si>
    <t>г.Одинцово, Глазынинская, 24</t>
  </si>
  <si>
    <t>г.Одинцово, Говорова, 8</t>
  </si>
  <si>
    <t>г.Одинцово, Говорова, 8 А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</si>
  <si>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</si>
  <si>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</si>
  <si>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</si>
  <si>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</si>
  <si>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</si>
  <si>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</si>
  <si>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</si>
  <si>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</si>
  <si>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</si>
  <si>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Любы Новоселовой бульвар, 1</t>
  </si>
  <si>
    <t>ЖЭУ-1,2,3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</si>
  <si>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</si>
  <si>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</si>
  <si>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</si>
  <si>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</si>
  <si>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</si>
  <si>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</si>
  <si>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 к.1</t>
  </si>
  <si>
    <t>г.Одинцово, Любы Новоселовой бульвар, 9 к.2</t>
  </si>
  <si>
    <t>г.Одинцово, Любы Новоселовой бульвар, 10 к.1</t>
  </si>
  <si>
    <t>ИТП ГВС</t>
  </si>
  <si>
    <t>г.Одинцово, Любы Новоселовой бульвар, 10 к.2</t>
  </si>
  <si>
    <t>г.Одинцово, Любы Новоселовой бульвар, 10 А</t>
  </si>
  <si>
    <t>г.Одинцово, Любы Новоселовой бульвар, 11 к.1</t>
  </si>
  <si>
    <t>г.Одинцово, Любы Новоселовой бульвар, 11 к.2</t>
  </si>
  <si>
    <t>г.Одинцово, Любы Новоселовой бульвар, 12</t>
  </si>
  <si>
    <t>г.Одинцово, Любы Новоселовой бульвар, 12 корп.А</t>
  </si>
  <si>
    <t>ИТП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</si>
  <si>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</si>
  <si>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</si>
  <si>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</si>
  <si>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</si>
  <si>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</si>
  <si>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</si>
  <si>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</si>
  <si>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10 к.1</t>
  </si>
  <si>
    <t>г.Одинцово, Маршала Бирюзова, 10 к.2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</si>
  <si>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</si>
  <si>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</si>
  <si>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</si>
  <si>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</si>
  <si>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</si>
  <si>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</si>
  <si>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</si>
  <si>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</si>
  <si>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</si>
  <si>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</si>
  <si>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</si>
  <si>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</si>
  <si>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</si>
  <si>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7 к.1</t>
  </si>
  <si>
    <t>г.Одинцово, Маршала Жукова, 7 к.2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</si>
  <si>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</si>
  <si>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</si>
  <si>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</si>
  <si>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</si>
  <si>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</si>
  <si>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</si>
  <si>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</si>
  <si>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</si>
  <si>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</si>
  <si>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25 к.1</t>
  </si>
  <si>
    <t>г.Одинцово, Маршала Жукова, 25 к.2</t>
  </si>
  <si>
    <t>г.Одинцово, Маршала Жукова, 27 к.1</t>
  </si>
  <si>
    <t>г.Одинцово, Маршала Жукова, 27 к.2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</si>
  <si>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</si>
  <si>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</si>
  <si>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</si>
  <si>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</si>
  <si>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</si>
  <si>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</si>
  <si>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</si>
  <si>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</si>
  <si>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</si>
  <si>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</si>
  <si>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</si>
  <si>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</si>
  <si>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</si>
  <si>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</si>
  <si>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</si>
  <si>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</si>
  <si>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</si>
  <si>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</si>
  <si>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</si>
  <si>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</si>
  <si>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</si>
  <si>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</si>
  <si>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</si>
  <si>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</si>
  <si>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</si>
  <si>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</si>
  <si>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</si>
  <si>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</si>
  <si>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</si>
  <si>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</si>
  <si>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</si>
  <si>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</si>
  <si>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</si>
  <si>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</si>
  <si>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</si>
  <si>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</si>
  <si>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</si>
  <si>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</si>
  <si>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</si>
  <si>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</si>
  <si>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</si>
  <si>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</si>
  <si>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</si>
  <si>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</si>
  <si>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</si>
  <si>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</si>
  <si>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</si>
  <si>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</si>
  <si>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</si>
  <si>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</si>
  <si>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</si>
  <si>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</si>
  <si>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</si>
  <si>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</si>
  <si>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</si>
  <si>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</si>
  <si>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</si>
  <si>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</si>
  <si>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</si>
  <si>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</si>
  <si>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Ново-Спортивная, 16 к.1</t>
  </si>
  <si>
    <t>г.Одинцово, Ново-Спортивная, 16 к.2</t>
  </si>
  <si>
    <t>г.Одинцово, Ново-Спортивная, 18</t>
  </si>
  <si>
    <t>г.Одинцово, Ново-Спортивная, 20</t>
  </si>
  <si>
    <t>г.Одинцово, Садовая, 22 корп.А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</si>
  <si>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</si>
  <si>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</si>
  <si>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</si>
  <si>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</si>
  <si>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</si>
  <si>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</si>
  <si>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</si>
  <si>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</si>
  <si>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</si>
  <si>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</si>
  <si>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</si>
  <si>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</si>
  <si>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</si>
  <si>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</si>
  <si>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</si>
  <si>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</si>
  <si>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</si>
  <si>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</si>
  <si>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</si>
  <si>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</si>
  <si>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</si>
  <si>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</si>
  <si>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</si>
  <si>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62 корп.1</t>
  </si>
  <si>
    <t>г.Одинцово, Северная, 62 корп.2</t>
  </si>
  <si>
    <t>г.Одинцово, Северная, 64</t>
  </si>
  <si>
    <t>г.Одинцово, Советская, 1</t>
  </si>
  <si>
    <t>г.Одинцово, Солнечная, 2а</t>
  </si>
  <si>
    <t>ООО "МНЗ"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</si>
  <si>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</si>
  <si>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</si>
  <si>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</si>
  <si>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</si>
  <si>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</si>
  <si>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</si>
  <si>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</si>
  <si>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</si>
  <si>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</si>
  <si>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30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</si>
  <si>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</si>
  <si>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</si>
  <si>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</si>
  <si>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</si>
  <si>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</si>
  <si>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36</t>
  </si>
  <si>
    <t>г.Одинцово, Чикина, 17</t>
  </si>
  <si>
    <t>п.Огарево, Огарево, 4</t>
  </si>
  <si>
    <t>ЖЭУ-4</t>
  </si>
  <si>
    <t>в/ч №66631</t>
  </si>
  <si>
    <t>ФГАУ "ОК "Р/У ЛОК"</t>
  </si>
  <si>
    <t>ФГАУ "ОК "Рублёво-Успенский ЛОК"</t>
  </si>
  <si>
    <t>п.Огарево, Огарево, 6</t>
  </si>
  <si>
    <t>п.Усово-Тупик, Усово-Тупик, 1</t>
  </si>
  <si>
    <t>ОАО "Барвиха"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</si>
  <si>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</si>
  <si>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</si>
  <si>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</si>
  <si>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</si>
  <si>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ФГУП "Комплекс"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</si>
  <si>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</si>
  <si>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</si>
  <si>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</si>
  <si>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</si>
  <si>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62</t>
  </si>
  <si>
    <t>с.Жаворонки, 7 Советская, 41</t>
  </si>
  <si>
    <t>с.Покровское, Дачная, 17</t>
  </si>
  <si>
    <t>с.Покровское, Дачная, 17а</t>
  </si>
  <si>
    <t>с.Немчиновка, 2  просек, 9</t>
  </si>
  <si>
    <t>X</t>
  </si>
  <si>
    <t>x</t>
  </si>
  <si>
    <t>Всего:</t>
  </si>
  <si>
    <t>Период управления 2022 (прибыло)</t>
  </si>
  <si>
    <t>Период управления 2022 (убыло)</t>
  </si>
  <si>
    <t>Расходы</t>
  </si>
  <si>
    <t>Услуги ЕИРЦ</t>
  </si>
  <si>
    <t>Санитарное содержание МОП и прилегающей территории</t>
  </si>
  <si>
    <t>ВСЕГО РАСХОДОВ, руб.</t>
  </si>
  <si>
    <t>Списание материалов</t>
  </si>
  <si>
    <t>Герметизация и ремонт межпанельных швов</t>
  </si>
  <si>
    <t>Монтажные работы</t>
  </si>
  <si>
    <t>Электромонтажные работы</t>
  </si>
  <si>
    <t>Ремонт фасада</t>
  </si>
  <si>
    <t>Ремонт кровли</t>
  </si>
  <si>
    <t>Ремонт входных групп</t>
  </si>
  <si>
    <t>Установка дверей</t>
  </si>
  <si>
    <t>Ремонт МОП</t>
  </si>
  <si>
    <t>Замена окон</t>
  </si>
  <si>
    <t>Ремонт откосов</t>
  </si>
  <si>
    <t>Пандус</t>
  </si>
  <si>
    <t>Смена и ремонт водосточных труб</t>
  </si>
  <si>
    <t>Ремонт системы ХВС</t>
  </si>
  <si>
    <t>Зарплата ДУ</t>
  </si>
  <si>
    <t>Очистка кровли от снега, наледи и сосулек</t>
  </si>
  <si>
    <t>Проверка вентиляционных и дымоходных каналов</t>
  </si>
  <si>
    <t>Мытьё окон с применением альпинистского снаряжения</t>
  </si>
  <si>
    <t>Дезинфекция подъездов</t>
  </si>
  <si>
    <t>Технологическое присоединение энергопринемающих устройств к электрической сети</t>
  </si>
  <si>
    <t>Услуги по проведению комплексных испытаний электроустановок ВРУ МКД</t>
  </si>
  <si>
    <t>Зарплата АУП</t>
  </si>
  <si>
    <t>Прочие</t>
  </si>
  <si>
    <t>Юридические услуги</t>
  </si>
  <si>
    <t>Услуги по доставке досудебных претензий</t>
  </si>
  <si>
    <t>Услуги по доставке счетов-квитанций</t>
  </si>
  <si>
    <t>Госпошлина</t>
  </si>
  <si>
    <t>Услуги банка</t>
  </si>
  <si>
    <t>Пени, штрафы</t>
  </si>
  <si>
    <t>Обслуживание лифтов</t>
  </si>
  <si>
    <t>Страхование лифтов и др. имущества</t>
  </si>
  <si>
    <t>Списание материалов 25</t>
  </si>
  <si>
    <t>Списание материалов 20.01</t>
  </si>
  <si>
    <t>Списание материалов по ЖЭУ 20.01</t>
  </si>
  <si>
    <t>Герметизация межпанельных швов</t>
  </si>
  <si>
    <t>Герметизация межпанельных швов и ремонт кровли балкона</t>
  </si>
  <si>
    <t>Герметизация примыканий кровли</t>
  </si>
  <si>
    <t>Ремонт кровли козырька</t>
  </si>
  <si>
    <t>Ремонт крыльца</t>
  </si>
  <si>
    <t>Ремонт цоколя</t>
  </si>
  <si>
    <t>Ремонт подъезда</t>
  </si>
  <si>
    <t>Ремонт полов</t>
  </si>
  <si>
    <t>Установка зеркал</t>
  </si>
  <si>
    <t>Замена стеклопакета</t>
  </si>
  <si>
    <t>Ремонт водосточных труб</t>
  </si>
  <si>
    <t>Ремонт вентиляции</t>
  </si>
  <si>
    <t>Прочистка вентиляционных каналов</t>
  </si>
  <si>
    <t>Итого</t>
  </si>
  <si>
    <t>Списание материалов в эксплуат</t>
  </si>
  <si>
    <t>Списание материалов в эксп</t>
  </si>
  <si>
    <t>списание материалов (РСГ)</t>
  </si>
  <si>
    <t>РСГ</t>
  </si>
  <si>
    <t>Страховые взносы</t>
  </si>
  <si>
    <t>Зарплата АУП (домоуправления)</t>
  </si>
  <si>
    <t>Ремонтно-строительная группа</t>
  </si>
  <si>
    <t>Резерв предстоящих расходов (резерв отпусков)</t>
  </si>
  <si>
    <t>Резерв отпусков</t>
  </si>
  <si>
    <t>Телефонные переговоры</t>
  </si>
  <si>
    <t>обучение, консультации</t>
  </si>
  <si>
    <t>списание материалов (ПТБ)</t>
  </si>
  <si>
    <t>Производственно-техническая база ОП</t>
  </si>
  <si>
    <t>Аренда помещений</t>
  </si>
  <si>
    <t>Отдел взыскания задолженности</t>
  </si>
  <si>
    <t>Списание материалов (ЖЭУ общие)</t>
  </si>
  <si>
    <t>ЖЭУ-8-го мкрн. &lt;Розанова И.А.&gt;</t>
  </si>
  <si>
    <t>ЖЭУ-5 &lt;Тодосийчук С.Н.&gt;</t>
  </si>
  <si>
    <t>ЖЭУ-4 ТР</t>
  </si>
  <si>
    <t>ЖЭУ-4 &lt;Минкаилов С.А.&gt;</t>
  </si>
  <si>
    <t xml:space="preserve">ЖЭУ-4 </t>
  </si>
  <si>
    <t>ЖЭУ-13 Лозан В.А.</t>
  </si>
  <si>
    <t xml:space="preserve">ЖЭУ-13 </t>
  </si>
  <si>
    <t>ЖЭУ-1,2,3 мкр  (Березкин А.Ю.)</t>
  </si>
  <si>
    <t>ЖЭУ-1,2,3 мкр  (Баботин Д.А.)</t>
  </si>
  <si>
    <t xml:space="preserve">ЖЭУ 8-го м-на </t>
  </si>
  <si>
    <t xml:space="preserve">ЖЭУ 6,7-го мкр. </t>
  </si>
  <si>
    <t>ЖЭУ 6,7 микр-на &lt;Ушаков А.Н.&gt;</t>
  </si>
  <si>
    <t xml:space="preserve">ЖЭУ 1,2,3-го мкр. </t>
  </si>
  <si>
    <t>Амортизация  ОС</t>
  </si>
  <si>
    <t>БАЗА &lt;Хохлов О.В.&gt;</t>
  </si>
  <si>
    <t>Страхование лифтов и др.имущества</t>
  </si>
  <si>
    <t>ремонт автотранспорта</t>
  </si>
  <si>
    <t>БАЗА &lt;Потапов М.А.&gt;</t>
  </si>
  <si>
    <t>списание материалов (ГСМ)</t>
  </si>
  <si>
    <t>БАЗА</t>
  </si>
  <si>
    <t>АУП</t>
  </si>
  <si>
    <t>Аварийно-диспетчерская служба</t>
  </si>
  <si>
    <t>25</t>
  </si>
  <si>
    <t>Статьи затрат</t>
  </si>
  <si>
    <t>Кредит</t>
  </si>
  <si>
    <t>Дебет</t>
  </si>
  <si>
    <t>Подразделение</t>
  </si>
  <si>
    <t>Сальдо на конец периода</t>
  </si>
  <si>
    <t>Обороты за период</t>
  </si>
  <si>
    <t>Сальдо на начало периода</t>
  </si>
  <si>
    <t>Счет</t>
  </si>
  <si>
    <t>Выводимые данные: БУ (данные бухгалтерского учета)</t>
  </si>
  <si>
    <t>Оборотно-сальдовая ведомость по счету 25 за 2022 г.</t>
  </si>
  <si>
    <t>АО "Управление жилищного хозяйства"</t>
  </si>
  <si>
    <t>Зарплата АУП (управление МУП)</t>
  </si>
  <si>
    <t>Юридический отдел</t>
  </si>
  <si>
    <t>Техническое сопровождение программного обеспечения</t>
  </si>
  <si>
    <t>Прочие расходы</t>
  </si>
  <si>
    <t>Програмное обеспечение</t>
  </si>
  <si>
    <t>почта</t>
  </si>
  <si>
    <t>Консультационные услуги</t>
  </si>
  <si>
    <t xml:space="preserve">Информационные услуги </t>
  </si>
  <si>
    <t>Аренда водонагревателя</t>
  </si>
  <si>
    <t>Абон.плата за услуги по ведению и хранению реестра владельцев именных ценных бумаг</t>
  </si>
  <si>
    <t>Планово-экономический отдел</t>
  </si>
  <si>
    <t>Отдел по благоустройству</t>
  </si>
  <si>
    <t xml:space="preserve">Отдел охраны труда </t>
  </si>
  <si>
    <t>Отдел кадров</t>
  </si>
  <si>
    <t>Услуги онлайн реестр</t>
  </si>
  <si>
    <t>Канцелярия</t>
  </si>
  <si>
    <t>Инженерная служба</t>
  </si>
  <si>
    <t>Бухгалтерия</t>
  </si>
  <si>
    <t>АУП-ТР</t>
  </si>
  <si>
    <t>Амортизация ОС</t>
  </si>
  <si>
    <t>АУП &lt;БУРЛАКОВА Л.А.&gt;</t>
  </si>
  <si>
    <t>юридические услуги</t>
  </si>
  <si>
    <t>Списание материалов (АУП)</t>
  </si>
  <si>
    <t>разъездные расходы</t>
  </si>
  <si>
    <t>нотариальные услуги</t>
  </si>
  <si>
    <t>Командировочные расходы</t>
  </si>
  <si>
    <t>Информационные услуги</t>
  </si>
  <si>
    <t>Взносы на кап. ремонт</t>
  </si>
  <si>
    <t>Аудиторские услуги</t>
  </si>
  <si>
    <t>Абонентский отдел</t>
  </si>
  <si>
    <t>А У П</t>
  </si>
  <si>
    <t xml:space="preserve">Проведение экспертизы </t>
  </si>
  <si>
    <t>Проведение переодического медицинского осмотра</t>
  </si>
  <si>
    <t>Амортизация</t>
  </si>
  <si>
    <t>&lt;...&gt;</t>
  </si>
  <si>
    <t>26</t>
  </si>
  <si>
    <t>Оборотно-сальдовая ведомость по счету 26 за 2022 г.</t>
  </si>
  <si>
    <t>Электроэнергия</t>
  </si>
  <si>
    <t xml:space="preserve">Холодная вода </t>
  </si>
  <si>
    <t>Содержание и текущий ремонт</t>
  </si>
  <si>
    <t>ЖБО</t>
  </si>
  <si>
    <t xml:space="preserve">Горячая вода </t>
  </si>
  <si>
    <t>АГВ и газ</t>
  </si>
  <si>
    <t>Одинцово, Можайское шоссе, 136</t>
  </si>
  <si>
    <t>Одинцово, Можайское шоссе, 132</t>
  </si>
  <si>
    <t>Одинцово, Можайское шоссе, 130</t>
  </si>
  <si>
    <t>Одинцово, Можайское шоссе, 120, ЖЭУ-8</t>
  </si>
  <si>
    <t>Одинцово, Жукова, 1, А</t>
  </si>
  <si>
    <t>Одинцово, Глазынинская, 4</t>
  </si>
  <si>
    <t>Одинцово, Глазынинская, 10</t>
  </si>
  <si>
    <t>Одинцово, Бирюзова, 30, б</t>
  </si>
  <si>
    <t>Одинцово, Бирюзова, 30</t>
  </si>
  <si>
    <t>Одинцово, Бирюзова, 28</t>
  </si>
  <si>
    <t>Одинцово, Бирюзова, 24/2</t>
  </si>
  <si>
    <t>Одинцово, Бирюзова, 24/1</t>
  </si>
  <si>
    <t>БЗРИ, БЗРИ, 5</t>
  </si>
  <si>
    <t>Списание материалов в производство</t>
  </si>
  <si>
    <t xml:space="preserve">Одинцово Всё, весь фонд,      </t>
  </si>
  <si>
    <t>Оплата труда</t>
  </si>
  <si>
    <t>Оплата больничного</t>
  </si>
  <si>
    <t>Взносы в ФСС от НС и ПЗ</t>
  </si>
  <si>
    <t>Ремонтно-строительная группа ТР</t>
  </si>
  <si>
    <t>Резервы предстоящих расходов</t>
  </si>
  <si>
    <t>Транспортный налог</t>
  </si>
  <si>
    <t>Производственно-техническая база ТР</t>
  </si>
  <si>
    <t>Отдел снабжения</t>
  </si>
  <si>
    <t>Отдел закупок</t>
  </si>
  <si>
    <t>Информационно-аналитический отдел</t>
  </si>
  <si>
    <t>Одинцово, Союзная, 4</t>
  </si>
  <si>
    <t>Одинцово, Союзная, 36</t>
  </si>
  <si>
    <t>Одинцово, Союзная, 34</t>
  </si>
  <si>
    <t>Одинцово, Союзная, 30</t>
  </si>
  <si>
    <t>Одинцово, Союзная, 28</t>
  </si>
  <si>
    <t>Одинцово, Союзная, 24</t>
  </si>
  <si>
    <t>Одинцово, Союзная, 10</t>
  </si>
  <si>
    <t>Одинцово, Сосновая, 30</t>
  </si>
  <si>
    <t>Одинцово, Сосновая, 12</t>
  </si>
  <si>
    <t>Одинцово, Солнечная, 9</t>
  </si>
  <si>
    <t>Одинцово, Солнечная, 8, ЖЭУ-7</t>
  </si>
  <si>
    <t>Одинцово, Солнечная, 6</t>
  </si>
  <si>
    <t>Одинцово, Солнечная, 4</t>
  </si>
  <si>
    <t>Одинцово, Солнечная, 3</t>
  </si>
  <si>
    <t>Одинцово, Солнечная, 2а, ЖЭУ-6</t>
  </si>
  <si>
    <t>Одинцово, Солнечная, 24</t>
  </si>
  <si>
    <t>Одинцово, Солнечная, 2</t>
  </si>
  <si>
    <t>Одинцово, Солнечная, 12</t>
  </si>
  <si>
    <t>Одинцово, Солнечная, 10</t>
  </si>
  <si>
    <t>Одинцово, Комсомольская, 9</t>
  </si>
  <si>
    <t>Одинцово, Комсомольская, 7А</t>
  </si>
  <si>
    <t>Одинцово, Комсомольская, 7</t>
  </si>
  <si>
    <t>Одинцово, Комсомольская, 6</t>
  </si>
  <si>
    <t>Одинцово, Комсомольская, 4</t>
  </si>
  <si>
    <t>Одинцово, Комсомольская, 2</t>
  </si>
  <si>
    <t>Одинцово, Глазынинская, 24</t>
  </si>
  <si>
    <t>Одинцово, Глазынинская, 22</t>
  </si>
  <si>
    <t>Одинцово, Глазынинская, 20</t>
  </si>
  <si>
    <t>Одинцово, Глазынинская, 2</t>
  </si>
  <si>
    <t>Одинцово, Глазынинская, 14</t>
  </si>
  <si>
    <t>Одинцово, Глазынинская, 12</t>
  </si>
  <si>
    <t>Одинцово, Верхне-Пролетарская, 67</t>
  </si>
  <si>
    <t>Одинцово, Верхне-Пролетарская, 45</t>
  </si>
  <si>
    <t>Одинцово, Верхне-Пролетарская, 43</t>
  </si>
  <si>
    <t>Одинцово, Верхне-Пролетарская, 37</t>
  </si>
  <si>
    <t>Одинцово, Верхне-Пролетарская, 33</t>
  </si>
  <si>
    <t>Одинцово, Верхне-Пролетарская, 31</t>
  </si>
  <si>
    <t>Одинцово, Верхне-Пролетарская, 3    , 2</t>
  </si>
  <si>
    <t>Одинцово, Верхне-Пролетарская, 3    , 1</t>
  </si>
  <si>
    <t>Одинцово, Верхне-Пролетарская, 29, ЖЭУ-2</t>
  </si>
  <si>
    <t>Одинцово, Верхне-Пролетарская, 1, 2</t>
  </si>
  <si>
    <t>Одинцово, Верхне-Пролетарская, 1, 1</t>
  </si>
  <si>
    <t>Содержание и текущий ремонт общего имущества собственников помещений МКД</t>
  </si>
  <si>
    <t>Зарплата" текущий ремонт"</t>
  </si>
  <si>
    <t>ЖЭУ-5 ТР</t>
  </si>
  <si>
    <t>Одинцово, Чикина, 17</t>
  </si>
  <si>
    <t>Одинцово, Ново-Спортивная, 20, 2</t>
  </si>
  <si>
    <t>Одинцово, Ново-Спортивная, 20, 1</t>
  </si>
  <si>
    <t>Одинцово, Ново-Спортивная, 18, 2</t>
  </si>
  <si>
    <t>Одинцово, Ново-Спортивная, 18, 1</t>
  </si>
  <si>
    <t>Одинцово, Ново-Спортивная, 16, 2</t>
  </si>
  <si>
    <t>Одинцово, Ново-Спортивная, 16, 1</t>
  </si>
  <si>
    <t>Одинцово, Ново-Спортивная, 10</t>
  </si>
  <si>
    <t>Одинцово, Крылова, 3</t>
  </si>
  <si>
    <t>Одинцово, Крылова, 27</t>
  </si>
  <si>
    <t>Одинцово, Крылова, 1</t>
  </si>
  <si>
    <t>Одинцово, Красногорское шоссе, 4</t>
  </si>
  <si>
    <t>Одинцово, Говорова, 8 а</t>
  </si>
  <si>
    <t>Одинцово, Говорова, 8</t>
  </si>
  <si>
    <t>Одинцово, Говорова, 40</t>
  </si>
  <si>
    <t>Одинцово, Говорова, 38</t>
  </si>
  <si>
    <t>Усово, -, 62</t>
  </si>
  <si>
    <t>Усово Тупик, Усово Тупик, 9</t>
  </si>
  <si>
    <t>Усово Тупик, -, 5</t>
  </si>
  <si>
    <t>Усово Тупик, -, 4</t>
  </si>
  <si>
    <t>Усово Тупик, -, 3</t>
  </si>
  <si>
    <t>Усово Тупик, -, 20</t>
  </si>
  <si>
    <t>Усово Тупик, -, 13</t>
  </si>
  <si>
    <t>Усово Тупик, -, 12</t>
  </si>
  <si>
    <t>Усово Тупик, -, 11</t>
  </si>
  <si>
    <t>Усово Тупик, -, 1</t>
  </si>
  <si>
    <t>Огарево, Огарево, 6</t>
  </si>
  <si>
    <t>Огарево, Огарево, 4</t>
  </si>
  <si>
    <t>Огарево, -, 4</t>
  </si>
  <si>
    <t>Жаворонки, 7 Советская, 41</t>
  </si>
  <si>
    <t>Голицыно с.Покровское, Дачная, 17 А</t>
  </si>
  <si>
    <t>Голицыно с.Покровское, Дачная, 17</t>
  </si>
  <si>
    <t>Баковка, Буденовское шоссе, 9</t>
  </si>
  <si>
    <t>Баковка, Буденовское шоссе, 13</t>
  </si>
  <si>
    <t>Баковка, Буденовское шоссе, 11</t>
  </si>
  <si>
    <t>Одинцово, Садовая, 22 А</t>
  </si>
  <si>
    <t>Услуги по телеинспекции канализационного стоякового трубопровода</t>
  </si>
  <si>
    <t>Одинцово, Северная, 8</t>
  </si>
  <si>
    <t>Одинцово, Северная, 64</t>
  </si>
  <si>
    <t>Одинцово, Северная, 62</t>
  </si>
  <si>
    <t>Одинцово, Северная, 6</t>
  </si>
  <si>
    <t>Одинцово, Северная, 54</t>
  </si>
  <si>
    <t>Одинцово, Северная, 52</t>
  </si>
  <si>
    <t>Одинцово, Северная, 50</t>
  </si>
  <si>
    <t>Одинцово, Северная, 48</t>
  </si>
  <si>
    <t>Одинцово, Северная, 46</t>
  </si>
  <si>
    <t>Одинцово, Северная, 44</t>
  </si>
  <si>
    <t>Одинцово, Северная, 42</t>
  </si>
  <si>
    <t>Одинцово, Северная, 4</t>
  </si>
  <si>
    <t>Одинцово, Северная, 36</t>
  </si>
  <si>
    <t>Одинцово, Северная, 32</t>
  </si>
  <si>
    <t>Одинцово, Северная, 30</t>
  </si>
  <si>
    <t>Одинцово, Северная, 28</t>
  </si>
  <si>
    <t>Одинцово, Северная, 26</t>
  </si>
  <si>
    <t>Одинцово, Северная, 24</t>
  </si>
  <si>
    <t>Одинцово, Северная, 16</t>
  </si>
  <si>
    <t>Одинцово, Северная, 14</t>
  </si>
  <si>
    <t>Одинцово, Северная, 12</t>
  </si>
  <si>
    <t>Одинцово, Садовая, 32</t>
  </si>
  <si>
    <t>Одинцово, Садовая, 30</t>
  </si>
  <si>
    <t>Одинцово, Садовая, 28</t>
  </si>
  <si>
    <t>Одинцово, Садовая, 26</t>
  </si>
  <si>
    <t>Одинцово, Садовая, 24</t>
  </si>
  <si>
    <t>Одинцово, Неделина, 7</t>
  </si>
  <si>
    <t>Одинцово, Неделина, 5</t>
  </si>
  <si>
    <t>Одинцово, Молодежная, 1Б</t>
  </si>
  <si>
    <t>Одинцово, Молодежная, 1А</t>
  </si>
  <si>
    <t>Одинцово, Можайское шоссе, 41</t>
  </si>
  <si>
    <t>Одинцово, Можайское шоссе, 25</t>
  </si>
  <si>
    <t>Одинцово, Можайское шоссе, 23</t>
  </si>
  <si>
    <t>Одинцово, Можайское шоссе, 15</t>
  </si>
  <si>
    <t>Одинцово, Жукова, 7/2</t>
  </si>
  <si>
    <t>Одинцово, Жукова, 7/1</t>
  </si>
  <si>
    <t>Одинцово, Жукова, 7</t>
  </si>
  <si>
    <t>Одинцово, Жукова, 49</t>
  </si>
  <si>
    <t>Одинцово, Жукова, 47</t>
  </si>
  <si>
    <t>Одинцово, Жукова, 45</t>
  </si>
  <si>
    <t>Одинцово, Жукова, 43</t>
  </si>
  <si>
    <t>Одинцово, Жукова, 41</t>
  </si>
  <si>
    <t>Одинцово, Жукова, 4</t>
  </si>
  <si>
    <t>Одинцово, Жукова, 37</t>
  </si>
  <si>
    <t>Одинцово, Жукова, 35</t>
  </si>
  <si>
    <t>Одинцово, Жукова, 33</t>
  </si>
  <si>
    <t>Одинцово, Жукова, 29</t>
  </si>
  <si>
    <t>Одинцово, Жукова, 27</t>
  </si>
  <si>
    <t>Одинцово, Жукова, 25</t>
  </si>
  <si>
    <t>Одинцово, Жукова, 21</t>
  </si>
  <si>
    <t>Одинцово, Жукова, 19, ЖЭУ-1</t>
  </si>
  <si>
    <t>Одинцово, Жукова, 17</t>
  </si>
  <si>
    <t>Одинцово, Жукова, 16</t>
  </si>
  <si>
    <t>Одинцово, Жукова, 15, ЖЭУ-10</t>
  </si>
  <si>
    <t>Одинцово, Жукова, 14</t>
  </si>
  <si>
    <t>Одинцово, Жукова, 13</t>
  </si>
  <si>
    <t>Одинцово, Жукова, 12</t>
  </si>
  <si>
    <t>Одинцово, Жукова, 10</t>
  </si>
  <si>
    <t>Одинцово, Бульвар Любы Новоселовой, 9</t>
  </si>
  <si>
    <t>Одинцово, Бульвар Любы Новоселовой, 4А</t>
  </si>
  <si>
    <t>Одинцово, Бульвар Любы Новоселовой, 4</t>
  </si>
  <si>
    <t>Одинцово, Бульвар Любы Новоселовой, 2А</t>
  </si>
  <si>
    <t>Одинцово, Бульвар Любы Новоселовой, 2</t>
  </si>
  <si>
    <t>Одинцово, Бульвар Любы Новоселовой, 15</t>
  </si>
  <si>
    <t>Одинцово, Бульвар Любы Новоселовой, 13</t>
  </si>
  <si>
    <t>Одинцово, Бульвар Любы Новоселовой, 12а,</t>
  </si>
  <si>
    <t>Одинцово, Бульвар Любы Новоселовой, 12,</t>
  </si>
  <si>
    <t>Одинцово, Бульвар Любы Новоселовой, 11</t>
  </si>
  <si>
    <t>Одинцово, Бульвар Любы Новоселовой, 10А</t>
  </si>
  <si>
    <t>Одинцово, Бульвар Любы Новоселовой, 10/2</t>
  </si>
  <si>
    <t>Одинцово, Бульвар Любы Новоселовой, 10/1</t>
  </si>
  <si>
    <t>Одинцово, Бульвар Любы Новоселовой, 10</t>
  </si>
  <si>
    <t>Одинцово, Бульвар Любы Новоселовой, 1</t>
  </si>
  <si>
    <t>Одинцово, Бирюзова, 8</t>
  </si>
  <si>
    <t>Одинцово, Бирюзова, 6</t>
  </si>
  <si>
    <t>Одинцово, Бирюзова, 4</t>
  </si>
  <si>
    <t>Одинцово, Бирюзова, 28/2</t>
  </si>
  <si>
    <t>Одинцово, Бирюзова, 28/1, ЖЭУ-1</t>
  </si>
  <si>
    <t>Одинцово, Бирюзова, 26</t>
  </si>
  <si>
    <t>Одинцово, Бирюзова, 24</t>
  </si>
  <si>
    <t>Одинцово, Бирюзова, 20</t>
  </si>
  <si>
    <t>Одинцово, Бирюзова, 2 А</t>
  </si>
  <si>
    <t>Одинцово, Бирюзова, 2</t>
  </si>
  <si>
    <t>Одинцово, Бирюзова, 18</t>
  </si>
  <si>
    <t>Одинцово, Бирюзова, 16</t>
  </si>
  <si>
    <t>Одинцово, Бирюзова, 14</t>
  </si>
  <si>
    <t>Одинцово, Бирюзова, 12</t>
  </si>
  <si>
    <t>Одинцово, Бирюзова, 10</t>
  </si>
  <si>
    <t>Ремонт системы холодного водоснабжения (ХВС)</t>
  </si>
  <si>
    <t>Ремонт системы горячего водоснабжения (ГВС)</t>
  </si>
  <si>
    <t>ЖЭУ 8-го м-на ТР</t>
  </si>
  <si>
    <t>ЖЭУ 6,7-го мкр ТР</t>
  </si>
  <si>
    <t>Одинцово, Советская, 1</t>
  </si>
  <si>
    <t>Одинцово, Можайское шоссе, 94</t>
  </si>
  <si>
    <t>Одинцово, Можайское шоссе, 92</t>
  </si>
  <si>
    <t>Одинцово, Можайское шоссе, 90</t>
  </si>
  <si>
    <t>Одинцово, Можайское шоссе, 88</t>
  </si>
  <si>
    <t>Одинцово, Можайское шоссе, 86</t>
  </si>
  <si>
    <t>Одинцово, Можайское шоссе, 84</t>
  </si>
  <si>
    <t>Одинцово, Можайское шоссе, 82</t>
  </si>
  <si>
    <t>Одинцово, Можайское шоссе, 80</t>
  </si>
  <si>
    <t>Одинцово, Можайское шоссе, 76</t>
  </si>
  <si>
    <t>Одинцово, Можайское шоссе, 70</t>
  </si>
  <si>
    <t>Одинцово, Можайское шоссе, 66</t>
  </si>
  <si>
    <t>Одинцово, Можайское шоссе, 64</t>
  </si>
  <si>
    <t>Одинцово, Можайское шоссе, 62</t>
  </si>
  <si>
    <t>Одинцово, Можайское шоссе, 58</t>
  </si>
  <si>
    <t>Одинцово, Можайское шоссе, 54</t>
  </si>
  <si>
    <t>Одинцово, Можайское шоссе, 52</t>
  </si>
  <si>
    <t>Одинцово, Можайское шоссе, 48</t>
  </si>
  <si>
    <t>Одинцово, Можайское шоссе, 46</t>
  </si>
  <si>
    <t>Одинцово, Можайское шоссе, 44</t>
  </si>
  <si>
    <t>Одинцово, Можайское шоссе, 42</t>
  </si>
  <si>
    <t>Одинцово, Можайское шоссе, 40</t>
  </si>
  <si>
    <t>Одинцово, Можайское шоссе, 38</t>
  </si>
  <si>
    <t>Одинцово, Можайское шоссе, 36</t>
  </si>
  <si>
    <t>Одинцово, Можайское шоссе, 32</t>
  </si>
  <si>
    <t>Одинцово, Можайское шоссе, 30</t>
  </si>
  <si>
    <t>Одинцово, Можайское шоссе, 26</t>
  </si>
  <si>
    <t>Одинцово, Можайское шоссе, 134</t>
  </si>
  <si>
    <t>Одинцово, Можайское шоссе, 118</t>
  </si>
  <si>
    <t>Одинцово, Можайское шоссе, 116</t>
  </si>
  <si>
    <t>Одинцово, Можайское шоссе, 114</t>
  </si>
  <si>
    <t>Одинцово, Можайское шоссе, 112</t>
  </si>
  <si>
    <t>Одинцово, Можайское шоссе, 110, А</t>
  </si>
  <si>
    <t>Одинцово, Можайское шоссе, 110</t>
  </si>
  <si>
    <t>Одинцово, Можайское шоссе, 108А</t>
  </si>
  <si>
    <t>Одинцово, Можайское шоссе, 108</t>
  </si>
  <si>
    <t>Одинцово, Можайское шоссе, 106</t>
  </si>
  <si>
    <t>Одинцово, Можайское шоссе, 104</t>
  </si>
  <si>
    <t>Одинцово, Можайское шоссе, 102</t>
  </si>
  <si>
    <t>Одинцово, Можайское шоссе, 100, ЖЭУ-8</t>
  </si>
  <si>
    <t>Одинцово, Вокзальная, 9</t>
  </si>
  <si>
    <t>Одинцово, Вокзальная, 7</t>
  </si>
  <si>
    <t>Одинцово, Вокзальная, 69</t>
  </si>
  <si>
    <t>Одинцово, Вокзальная, 51</t>
  </si>
  <si>
    <t>Одинцово, Вокзальная, 17</t>
  </si>
  <si>
    <t>Одинцово, Вокзальная, 13</t>
  </si>
  <si>
    <t>Одинцово, Вокзальная, 11</t>
  </si>
  <si>
    <t>Одинцово, БЗРИ, 5</t>
  </si>
  <si>
    <t>Одинцово, БЗРИ, 4</t>
  </si>
  <si>
    <t>Одинцово, БЗРИ, 2</t>
  </si>
  <si>
    <t>Одинцово, БЗРИ, 1</t>
  </si>
  <si>
    <t>Одинцово, Баковская, 8</t>
  </si>
  <si>
    <t>Одинцово, Баковская, 4</t>
  </si>
  <si>
    <t>Одинцово, Баковская, 2</t>
  </si>
  <si>
    <t>Одинцово, 1-я Вокзальная, 53</t>
  </si>
  <si>
    <t>Одинцово, 1-я Вокзальная, 52</t>
  </si>
  <si>
    <t>Одинцово, 1-я Вокзальная, 50</t>
  </si>
  <si>
    <t>Одинцово, 1-я Вокзальная, 48</t>
  </si>
  <si>
    <t>Одинцово, 1-я Вокзальная, 47</t>
  </si>
  <si>
    <t>Одинцово, 1-я Вокзальная, 46</t>
  </si>
  <si>
    <t>Одинцово, 1-я Вокзальная, 45</t>
  </si>
  <si>
    <t>Одинцово, 1-я Вокзальная, 43</t>
  </si>
  <si>
    <t>Одинцово, 1-я Вокзальная, 41</t>
  </si>
  <si>
    <t>Мамоново, Вокзальная, 51</t>
  </si>
  <si>
    <t>БЗРИ, БЗРИ, 8</t>
  </si>
  <si>
    <t>БЗРИ, БЗРИ, 7</t>
  </si>
  <si>
    <t>БЗРИ, БЗРИ, 6</t>
  </si>
  <si>
    <t>БЗРИ, БЗРИ, 4</t>
  </si>
  <si>
    <t>БЗРИ, БЗРИ, 2</t>
  </si>
  <si>
    <t>БЗРИ, БЗРИ, 1</t>
  </si>
  <si>
    <t xml:space="preserve">ЖЭУ 1,2,3-го мкр. ТР </t>
  </si>
  <si>
    <t>электроэнергия</t>
  </si>
  <si>
    <t>Водоснабжение</t>
  </si>
  <si>
    <t>Устройство желобов</t>
  </si>
  <si>
    <t>Установка САКЗ</t>
  </si>
  <si>
    <t>Услуги по доставке счетов- квитанций</t>
  </si>
  <si>
    <t>Усово, -, 60</t>
  </si>
  <si>
    <t>Немчиновка, 2-ой Просек, 9</t>
  </si>
  <si>
    <t>ТО газового оборудования</t>
  </si>
  <si>
    <t>Тех. обслуживание систем противопожарной защиты зданий</t>
  </si>
  <si>
    <t>Стоимость услуг по ЕПД</t>
  </si>
  <si>
    <t>Санитарное содержание мест общего пользования и прилегающей территории к многоквартирным домам</t>
  </si>
  <si>
    <t>Ремонт помещения</t>
  </si>
  <si>
    <t>РЕМОНТ ПОДЪЕЗДА</t>
  </si>
  <si>
    <t>Ремонт паркинга</t>
  </si>
  <si>
    <t>РЕМОНТ ОТМОСТКИ</t>
  </si>
  <si>
    <t>РЕМОНТ КРЫЛЬЦА</t>
  </si>
  <si>
    <t>Ремонт кровли дома и балкона</t>
  </si>
  <si>
    <t>Ремонт кровли балконной плиты</t>
  </si>
  <si>
    <t xml:space="preserve">РЕМОНТ КРОВЛИ </t>
  </si>
  <si>
    <t>Ремонт козырька</t>
  </si>
  <si>
    <t>Ремонт балконных плит</t>
  </si>
  <si>
    <t>прочистка вент.каналов</t>
  </si>
  <si>
    <t>Промывка теплообменников ИТП</t>
  </si>
  <si>
    <t>Проверка теплосчетчиков</t>
  </si>
  <si>
    <t>Проверка вентиляционных каналов</t>
  </si>
  <si>
    <t>проверка вентиляционных и дымоходных каналов</t>
  </si>
  <si>
    <t>Одинцово, Жукова, 23</t>
  </si>
  <si>
    <t>Одинцово, БЗРИ, 8</t>
  </si>
  <si>
    <t>Откидной пандус для дет. колясок</t>
  </si>
  <si>
    <t>Усово Тупик, -, все</t>
  </si>
  <si>
    <t>Мытье окон с применением альпинистского снаряжения</t>
  </si>
  <si>
    <t>монтаж/демонтаж</t>
  </si>
  <si>
    <t>Дезинфекция мусоропроводов</t>
  </si>
  <si>
    <t xml:space="preserve">герметизация примыканий кровли </t>
  </si>
  <si>
    <t>герметизация межпанельных швов и ремонт кровли балкона</t>
  </si>
  <si>
    <t xml:space="preserve">Герметизация межпанельных швов </t>
  </si>
  <si>
    <t>Агентское вознаграждение по взысканию дебиторской задолженности договор №812463219 от 22.08.19</t>
  </si>
  <si>
    <t>Теплоэнергия</t>
  </si>
  <si>
    <t>Канализация</t>
  </si>
  <si>
    <t>Газ для населения</t>
  </si>
  <si>
    <t>для 20 счета общие</t>
  </si>
  <si>
    <t>Архипов В.И.</t>
  </si>
  <si>
    <t>АДС</t>
  </si>
  <si>
    <t>Аварийно-диспетчерская служба ТР</t>
  </si>
  <si>
    <t>20.01</t>
  </si>
  <si>
    <t>Адрес наш</t>
  </si>
  <si>
    <t>Номенклатурные группы</t>
  </si>
  <si>
    <t>Оборотно-сальдовая ведомость по счету 20.01 за 2022 г.</t>
  </si>
  <si>
    <t>Членство в организациях</t>
  </si>
  <si>
    <t>Списание НДС, не подтвержденного счетом-фактурой поставщика</t>
  </si>
  <si>
    <t>Списание дебиторской (кредиторской) задолженности</t>
  </si>
  <si>
    <t>Расходы по сомнительным долгам</t>
  </si>
  <si>
    <t>Расходы не основной деятельности</t>
  </si>
  <si>
    <t>Расходы на услуги банков</t>
  </si>
  <si>
    <t>Прочие услуги</t>
  </si>
  <si>
    <t>Прочие внереализационные расходы не принимаемые к НУ</t>
  </si>
  <si>
    <t>Прочие внереализационные доходы (расходы)</t>
  </si>
  <si>
    <t>Проценты к получению (уплате)</t>
  </si>
  <si>
    <t>Прибыль (убыток) прошлых лет</t>
  </si>
  <si>
    <t>Пени, штрафы и иные санкций, перечисляемые в бюджет и не учитываемые в целях налогообложения пункт 2 статья 270 НК РФ</t>
  </si>
  <si>
    <t>Пени, штрафы и аналогичные за неисполнение договорных отношений</t>
  </si>
  <si>
    <t xml:space="preserve">НДС не учитываемый </t>
  </si>
  <si>
    <t>Налоги и сборы</t>
  </si>
  <si>
    <t>Исполнительский сбор(штраф)</t>
  </si>
  <si>
    <t>Доходы (расходы), связанные с реализацией права требования как оказания финансовых услуг</t>
  </si>
  <si>
    <t>Доходы (расходы), связанные с реализацией основных средств</t>
  </si>
  <si>
    <t>Возмещение ущерба(расходов)</t>
  </si>
  <si>
    <t>91.02</t>
  </si>
  <si>
    <t>Прочие доходы и расходы</t>
  </si>
  <si>
    <t>Оборотно-сальдовая ведомость по счету 91.02 за 2022 г.</t>
  </si>
  <si>
    <t>есть в 25</t>
  </si>
  <si>
    <t>АДС зарплата</t>
  </si>
  <si>
    <t>Прочие СОИ</t>
  </si>
  <si>
    <t>Дезинфекция МП</t>
  </si>
  <si>
    <t>Откидной пандус для детских колясок</t>
  </si>
  <si>
    <t>Проверка теплосчётчиков</t>
  </si>
  <si>
    <t>Ремонт отмостки</t>
  </si>
  <si>
    <t>Зарплата ДУ по ЖЭУ</t>
  </si>
  <si>
    <t>есть в 20.01</t>
  </si>
  <si>
    <t>Списание материалов по ЖЭУ</t>
  </si>
  <si>
    <t>Ремонт системы ГВС</t>
  </si>
  <si>
    <t>РСГ зарплата</t>
  </si>
  <si>
    <t>Списание материалов РСГ</t>
  </si>
  <si>
    <t>Размер платы на содержание ж/ф, руб./м2</t>
  </si>
  <si>
    <t>Средняя площадь жилых и нежилых помещений за 2022г., м2</t>
  </si>
  <si>
    <t>Сумма, руб.</t>
  </si>
  <si>
    <t>Прочие 20.01</t>
  </si>
  <si>
    <t>Прочие СОИ 20.01</t>
  </si>
  <si>
    <t>Прочие 91.02</t>
  </si>
  <si>
    <t>Прочие СОИ 25</t>
  </si>
  <si>
    <t>Зарплата ДУ по ЖЭУ 25</t>
  </si>
  <si>
    <t>Зарплата ДУ по ЖЭУ 20.01</t>
  </si>
  <si>
    <t>Прочие 25</t>
  </si>
  <si>
    <t>Телефонные переговоры (ЖЭУ-4)</t>
  </si>
  <si>
    <t>Зарплата АУП 20.01</t>
  </si>
  <si>
    <t>Производственно-техническая база</t>
  </si>
  <si>
    <t>Зарплата АУП 26</t>
  </si>
  <si>
    <t>Зарплата АУП ТР</t>
  </si>
  <si>
    <t>Отдел охраны труда</t>
  </si>
  <si>
    <t>Прочие 26</t>
  </si>
  <si>
    <t>Ремонт автотранспорта</t>
  </si>
  <si>
    <t>Услуги онлайн реестра</t>
  </si>
  <si>
    <t>Средняя площадь МКД с газом за 2022г., м2</t>
  </si>
  <si>
    <t>Бухгалтерия 1С</t>
  </si>
  <si>
    <t>с НДС 20%</t>
  </si>
  <si>
    <t>Проверка</t>
  </si>
  <si>
    <t>Распределение стоимости обслуживания лифтов, %</t>
  </si>
  <si>
    <t>Количество лифтов в МКД</t>
  </si>
  <si>
    <t>п.Усово-Тупик, Усово-Тупик</t>
  </si>
  <si>
    <t>Расчёты по уборке</t>
  </si>
  <si>
    <t>Уборка придомовой территории (руб./м2/мес.)</t>
  </si>
  <si>
    <t>Средняя площадь МКД по уборке придомовой територии, м2</t>
  </si>
  <si>
    <t>Уборка лестничных клеток (руб./м2/мес.)</t>
  </si>
  <si>
    <t>Средняя площадь МКД по уборке лестничных клеток, м2</t>
  </si>
  <si>
    <t>Обслуживание МП (руб./м2/мес.)</t>
  </si>
  <si>
    <t>Средняя площадь МКД с МП, м2</t>
  </si>
  <si>
    <t>Нотариальные услуги</t>
  </si>
  <si>
    <t>Разъездные расходы</t>
  </si>
  <si>
    <t>Прочие СОИ (МКД)</t>
  </si>
  <si>
    <t>Технологическое присоединение энергопринимающих устройств к электрической сети</t>
  </si>
  <si>
    <t>Списание материалов по МКД</t>
  </si>
  <si>
    <t>Списание материалов РСГ по МКД</t>
  </si>
  <si>
    <t>91.02 без НДС</t>
  </si>
  <si>
    <t>Всего, руб.</t>
  </si>
  <si>
    <t>Монтажные работы по МКД</t>
  </si>
  <si>
    <t>Ремонт системы ХВС и ГВС</t>
  </si>
  <si>
    <t>Очистка кровли от снега, наледи и сосулек по МКД</t>
  </si>
  <si>
    <t>20.01(25) без КУ и др.</t>
  </si>
  <si>
    <t>Доходы</t>
  </si>
  <si>
    <t>Реклама</t>
  </si>
  <si>
    <t>Начисления населению на СиР</t>
  </si>
  <si>
    <t>Начисления населению по услуге "Содержание ж/ф" за 2022г.</t>
  </si>
  <si>
    <t>Итого за 2022г.</t>
  </si>
  <si>
    <t>1кв22</t>
  </si>
  <si>
    <t>2кв22</t>
  </si>
  <si>
    <t>3кв22</t>
  </si>
  <si>
    <t>4кв22</t>
  </si>
  <si>
    <t>Количество досок по рекламе</t>
  </si>
  <si>
    <t>шт.</t>
  </si>
  <si>
    <t>%</t>
  </si>
  <si>
    <t>М.П.</t>
  </si>
  <si>
    <t>(_______________________)</t>
  </si>
  <si>
    <t>(Кочевалин С. В.)</t>
  </si>
  <si>
    <t>________________</t>
  </si>
  <si>
    <t>Генеральный директор</t>
  </si>
  <si>
    <t>От ООО "Инфоград"</t>
  </si>
  <si>
    <t>От АО "Управление жилищного хозяйства"</t>
  </si>
  <si>
    <t>на 31.12.2022 задолженность в пользу АО "Управление жилищного хозяйства" 30 380,00 руб. (Тридцать тысяч триста восемьдесят рублей 00 копеек).</t>
  </si>
  <si>
    <t>По данным ООО "Инфоград"</t>
  </si>
  <si>
    <t>По данным АО "Управление жилищного хозяйства"</t>
  </si>
  <si>
    <t>Сальдо конечное</t>
  </si>
  <si>
    <t>Продажа (2094 от 31.12.2022)</t>
  </si>
  <si>
    <t>31.12.22</t>
  </si>
  <si>
    <t>Оплата (317 от 05.12.2022)</t>
  </si>
  <si>
    <t>06.12.22</t>
  </si>
  <si>
    <t>Продажа (1913 от 30.11.2022)</t>
  </si>
  <si>
    <t>30.11.22</t>
  </si>
  <si>
    <t>Оплата (271 от 09.11.2022)</t>
  </si>
  <si>
    <t>09.11.22</t>
  </si>
  <si>
    <t>Продажа (1736 от 31.10.2022)</t>
  </si>
  <si>
    <t>31.10.22</t>
  </si>
  <si>
    <t>Оплата (228 от 25.10.2022)</t>
  </si>
  <si>
    <t>25.10.22</t>
  </si>
  <si>
    <t>Продажа (1534 от 30.09.2022)</t>
  </si>
  <si>
    <t>30.09.22</t>
  </si>
  <si>
    <t>Оплата (182 от 27.09.2022)</t>
  </si>
  <si>
    <t>27.09.22</t>
  </si>
  <si>
    <t>Продажа (1302 от 31.08.2022)</t>
  </si>
  <si>
    <t>31.08.22</t>
  </si>
  <si>
    <t>Оплата (139 от 29.08.2022)</t>
  </si>
  <si>
    <t>29.08.22</t>
  </si>
  <si>
    <t>Продажа (1129 от 31.07.2022)</t>
  </si>
  <si>
    <t>31.07.22</t>
  </si>
  <si>
    <t>Оплата (110 от 29.07.2022)</t>
  </si>
  <si>
    <t>29.07.22</t>
  </si>
  <si>
    <t>Продажа (865 от 30.06.2022)</t>
  </si>
  <si>
    <t>30.06.22</t>
  </si>
  <si>
    <t>Оплата (68 от 20.06.2022)</t>
  </si>
  <si>
    <t>20.06.22</t>
  </si>
  <si>
    <t>Продажа (679 от 31.05.2022)</t>
  </si>
  <si>
    <t>31.05.22</t>
  </si>
  <si>
    <t>Оплата (215 от 06.05.2022)</t>
  </si>
  <si>
    <t>11.05.22</t>
  </si>
  <si>
    <t>Продажа (505 от 30.04.2022)</t>
  </si>
  <si>
    <t>30.04.22</t>
  </si>
  <si>
    <t>Оплата (175 от 19.04.2022)</t>
  </si>
  <si>
    <t>19.04.22</t>
  </si>
  <si>
    <t>Продажа (312 от 31.03.2022)</t>
  </si>
  <si>
    <t>31.03.22</t>
  </si>
  <si>
    <t>Оплата (126 от 15.03.2022)</t>
  </si>
  <si>
    <t>15.03.22</t>
  </si>
  <si>
    <t>Продажа (139 от 28.02.2022)</t>
  </si>
  <si>
    <t>28.02.22</t>
  </si>
  <si>
    <t>Оплата (78 от 09.02.2022)</t>
  </si>
  <si>
    <t>09.02.22</t>
  </si>
  <si>
    <t>Продажа (131 от 31.01.2022)</t>
  </si>
  <si>
    <t>31.01.22</t>
  </si>
  <si>
    <t>Оплата (39 от 20.01.2022)</t>
  </si>
  <si>
    <t>20.01.22</t>
  </si>
  <si>
    <t>Сальдо начальное</t>
  </si>
  <si>
    <t>Документ</t>
  </si>
  <si>
    <t>Дата</t>
  </si>
  <si>
    <t>По данным ООО "Инфоград", руб.</t>
  </si>
  <si>
    <t>По данным АО "Управление жилищного хозяйства",  руб.</t>
  </si>
  <si>
    <t>Мы, нижеподписавшиеся, Генеральный директор АО "Управление жилищного хозяйства" Кочевалин Сергей Владимирович, с одной стороны, и ________________ ООО "Инфоград" _______________________, с другой стороны, составили настоящий акт сверки в том, что состояние взаимных расчетов по данным учета следующее:</t>
  </si>
  <si>
    <t>взаимных расчетов за период: 2022 г.
между АО "Управление жилищного хозяйства" (ИНН 5032217245)
и ООО "Инфоград" (ИНН 5007092218)
по договору Договор №3</t>
  </si>
  <si>
    <t>Акт сверки</t>
  </si>
  <si>
    <t>Генеральный директор АО "Управление жилищного хозяйства" ________________________________________________  Кочевалин С. В.</t>
  </si>
  <si>
    <t>Начальник ПЭО АО "Управление жилищного хозяйства"     ____________________________________________________ Третьяков И. А.</t>
  </si>
  <si>
    <t>10.</t>
  </si>
  <si>
    <t>Услуги расчетного центра</t>
  </si>
  <si>
    <t>9.</t>
  </si>
  <si>
    <t>Обслуживание внутридомового газового обслуживания</t>
  </si>
  <si>
    <t>8.</t>
  </si>
  <si>
    <t>Обслуживание и содержание лифтового хозяйства</t>
  </si>
  <si>
    <t>7.</t>
  </si>
  <si>
    <t>Обслуживание мусоропроводов</t>
  </si>
  <si>
    <t>6.</t>
  </si>
  <si>
    <t>5.</t>
  </si>
  <si>
    <t>4.</t>
  </si>
  <si>
    <t>Работы по управлению многоквартирным домом</t>
  </si>
  <si>
    <t>3.</t>
  </si>
  <si>
    <t>Работы, необходимые для надлежащего содержания общедомового имущества</t>
  </si>
  <si>
    <t>2.9</t>
  </si>
  <si>
    <t>2.8</t>
  </si>
  <si>
    <t>2.7</t>
  </si>
  <si>
    <t>2.6</t>
  </si>
  <si>
    <t>2.5</t>
  </si>
  <si>
    <t>2.4</t>
  </si>
  <si>
    <t>2.3</t>
  </si>
  <si>
    <t>2.2</t>
  </si>
  <si>
    <t>2.1</t>
  </si>
  <si>
    <t>Содержание общего имущства в многоквартирном доме, в т.ч.</t>
  </si>
  <si>
    <t>2.</t>
  </si>
  <si>
    <t>1.17</t>
  </si>
  <si>
    <t>1.16</t>
  </si>
  <si>
    <t>1.15</t>
  </si>
  <si>
    <t>1.14</t>
  </si>
  <si>
    <t>Ремонт и установка пандуса</t>
  </si>
  <si>
    <t>1.13</t>
  </si>
  <si>
    <t>1.12</t>
  </si>
  <si>
    <t>1.11</t>
  </si>
  <si>
    <t>1.10</t>
  </si>
  <si>
    <t>1.9</t>
  </si>
  <si>
    <t>1.8</t>
  </si>
  <si>
    <t>1.7</t>
  </si>
  <si>
    <t>1.6</t>
  </si>
  <si>
    <t>1.5</t>
  </si>
  <si>
    <t>1.4</t>
  </si>
  <si>
    <t>1.3</t>
  </si>
  <si>
    <t>1.2</t>
  </si>
  <si>
    <t>1.1</t>
  </si>
  <si>
    <t>Текущий ремонт общего имущества жилого дома, в т. ч.</t>
  </si>
  <si>
    <t>1.</t>
  </si>
  <si>
    <t>Расходы по управлению,  содержанию и  ремонту общего имущества , итого</t>
  </si>
  <si>
    <t>Расходы в месяц за 1 кв.м. общей площади дома</t>
  </si>
  <si>
    <t>Фактические расходы УК, рублей в год</t>
  </si>
  <si>
    <t>Наименование работ, затрат</t>
  </si>
  <si>
    <t>№ п.п.</t>
  </si>
  <si>
    <t>Дополнительный доход от использования общедомового имущества (реклама в МОП)</t>
  </si>
  <si>
    <t>руб.</t>
  </si>
  <si>
    <t>Оплачено за содержание и текущий ремонт</t>
  </si>
  <si>
    <t>Начислено за содержание и текущий ремонт</t>
  </si>
  <si>
    <t>руб./кв.м</t>
  </si>
  <si>
    <t>Действующий размер платы за содержание и текущий ремонт</t>
  </si>
  <si>
    <t>кв. м.</t>
  </si>
  <si>
    <t>Общая площадь квартир/нежилых помещений</t>
  </si>
  <si>
    <t xml:space="preserve">по адресу: </t>
  </si>
  <si>
    <t xml:space="preserve">населения в рамках оказания услуг по управлению,  содержанию и  ремонту общего имущества </t>
  </si>
  <si>
    <t xml:space="preserve">Отчет об использовании денежных средств </t>
  </si>
  <si>
    <t xml:space="preserve"> в многоквартирном доме за 2022г.</t>
  </si>
  <si>
    <t>Задолженность за услуги по содержанию и текущему ремонту ж/ф на конец 2022г.</t>
  </si>
  <si>
    <t>2.10</t>
  </si>
  <si>
    <t>2.11</t>
  </si>
  <si>
    <t>11.</t>
  </si>
  <si>
    <t>Прибыль / Убыток</t>
  </si>
  <si>
    <t>Нормативная прибыль, руб.</t>
  </si>
  <si>
    <t>ВСЕГО РАСХОДОВ с нормативной прибылью, руб.</t>
  </si>
  <si>
    <t>Оплачено населением по услуге "Содержание ж/ф" за 2022г.</t>
  </si>
  <si>
    <t>Задолженность населения по услуге  "Содержание ж/ф" на конец 2022г.</t>
  </si>
  <si>
    <t>по дебету</t>
  </si>
  <si>
    <t>по кредиту</t>
  </si>
  <si>
    <t>задолженность</t>
  </si>
  <si>
    <t>Оплачено населением за СиР</t>
  </si>
  <si>
    <t>Задолженность населения за СиР на конец 2022г.</t>
  </si>
  <si>
    <t>Текущий ремонт общего имущества жилого дома</t>
  </si>
  <si>
    <t>Госпошлина, штрафы, пени и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</si>
</sst>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0000\ _₽_-;\-* #,##0.00000\ _₽_-;_-* &quot;-&quot;??\ _₽_-;_-@_-"/>
    <numFmt numFmtId="167" formatCode="_-* #,##0.0000\ _₽_-;\-* #,##0.0000\ _₽_-;_-* &quot;-&quot;??\ _₽_-;_-@_-"/>
    <numFmt numFmtId="168" formatCode="0.0000%"/>
    <numFmt numFmtId="169" formatCode="#,##0.00;[Red]\-#,##0.00"/>
    <numFmt numFmtId="170" formatCode="mmmm\ yyyy;@"/>
    <numFmt numFmtId="171" formatCode="_-* #,##0.00_р_._-;\-* #,##0.00_р_._-;_-* &quot;-&quot;??_р_._-;_-@_-"/>
    <numFmt numFmtId="172" formatCode="_-* #,##0_р_._-;\-* #,##0_р_._-;_-* &quot;-&quot;??_р_._-;_-@_-"/>
    <numFmt numFmtId="173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10"/>
      <color indexed="24"/>
      <name val="Arial"/>
      <family val="2"/>
      <charset val="204"/>
    </font>
    <font>
      <sz val="9"/>
      <name val="Arial"/>
      <family val="2"/>
      <charset val="204"/>
    </font>
    <font>
      <sz val="9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2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1" fillId="0" borderId="0"/>
    <xf numFmtId="0" fontId="1" fillId="0" borderId="0"/>
    <xf numFmtId="0" fontId="5" fillId="0" borderId="0"/>
    <xf numFmtId="43" fontId="30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"/>
    <xf numFmtId="0" fontId="9" fillId="17" borderId="8" xfId="2" applyNumberFormat="1" applyFont="1" applyFill="1" applyBorder="1" applyAlignment="1">
      <alignment horizontal="right" vertical="top" wrapText="1"/>
    </xf>
    <xf numFmtId="4" fontId="9" fillId="17" borderId="8" xfId="2" applyNumberFormat="1" applyFont="1" applyFill="1" applyBorder="1" applyAlignment="1">
      <alignment horizontal="right" vertical="top" wrapText="1"/>
    </xf>
    <xf numFmtId="0" fontId="9" fillId="17" borderId="8" xfId="2" applyNumberFormat="1" applyFont="1" applyFill="1" applyBorder="1" applyAlignment="1">
      <alignment vertical="top"/>
    </xf>
    <xf numFmtId="0" fontId="10" fillId="0" borderId="9" xfId="2" applyNumberFormat="1" applyFont="1" applyBorder="1" applyAlignment="1">
      <alignment horizontal="right" vertical="top" wrapText="1"/>
    </xf>
    <xf numFmtId="4" fontId="10" fillId="0" borderId="9" xfId="2" applyNumberFormat="1" applyFont="1" applyBorder="1" applyAlignment="1">
      <alignment horizontal="right" vertical="top" wrapText="1"/>
    </xf>
    <xf numFmtId="0" fontId="10" fillId="0" borderId="9" xfId="2" applyNumberFormat="1" applyFont="1" applyBorder="1" applyAlignment="1">
      <alignment vertical="top" wrapText="1" indent="2"/>
    </xf>
    <xf numFmtId="0" fontId="11" fillId="18" borderId="9" xfId="2" applyNumberFormat="1" applyFont="1" applyFill="1" applyBorder="1" applyAlignment="1">
      <alignment horizontal="right" vertical="top" wrapText="1"/>
    </xf>
    <xf numFmtId="4" fontId="11" fillId="18" borderId="9" xfId="2" applyNumberFormat="1" applyFont="1" applyFill="1" applyBorder="1" applyAlignment="1">
      <alignment horizontal="right" vertical="top" wrapText="1"/>
    </xf>
    <xf numFmtId="0" fontId="11" fillId="18" borderId="9" xfId="2" applyNumberFormat="1" applyFont="1" applyFill="1" applyBorder="1" applyAlignment="1">
      <alignment vertical="top" wrapText="1" indent="1"/>
    </xf>
    <xf numFmtId="0" fontId="12" fillId="19" borderId="9" xfId="2" applyNumberFormat="1" applyFont="1" applyFill="1" applyBorder="1" applyAlignment="1">
      <alignment horizontal="right" vertical="top" wrapText="1"/>
    </xf>
    <xf numFmtId="4" fontId="12" fillId="19" borderId="9" xfId="2" applyNumberFormat="1" applyFont="1" applyFill="1" applyBorder="1" applyAlignment="1">
      <alignment horizontal="right" vertical="top" wrapText="1"/>
    </xf>
    <xf numFmtId="0" fontId="12" fillId="19" borderId="9" xfId="2" applyNumberFormat="1" applyFont="1" applyFill="1" applyBorder="1" applyAlignment="1">
      <alignment vertical="top" wrapText="1"/>
    </xf>
    <xf numFmtId="0" fontId="12" fillId="17" borderId="8" xfId="2" applyNumberFormat="1" applyFont="1" applyFill="1" applyBorder="1" applyAlignment="1">
      <alignment vertical="top" wrapText="1"/>
    </xf>
    <xf numFmtId="0" fontId="8" fillId="0" borderId="0" xfId="2" applyNumberFormat="1" applyAlignment="1">
      <alignment wrapText="1"/>
    </xf>
    <xf numFmtId="0" fontId="13" fillId="0" borderId="0" xfId="2" applyNumberFormat="1" applyFont="1" applyAlignment="1">
      <alignment vertical="top" wrapText="1"/>
    </xf>
    <xf numFmtId="0" fontId="14" fillId="0" borderId="0" xfId="2" applyNumberFormat="1" applyFont="1"/>
    <xf numFmtId="0" fontId="15" fillId="0" borderId="0" xfId="2" applyNumberFormat="1" applyFont="1"/>
    <xf numFmtId="4" fontId="16" fillId="0" borderId="9" xfId="2" applyNumberFormat="1" applyFont="1" applyBorder="1" applyAlignment="1">
      <alignment horizontal="right" vertical="top" wrapText="1"/>
    </xf>
    <xf numFmtId="0" fontId="10" fillId="0" borderId="9" xfId="2" applyNumberFormat="1" applyFont="1" applyBorder="1" applyAlignment="1">
      <alignment vertical="top" wrapText="1" indent="4"/>
    </xf>
    <xf numFmtId="0" fontId="10" fillId="0" borderId="9" xfId="2" applyNumberFormat="1" applyFont="1" applyBorder="1" applyAlignment="1">
      <alignment vertical="top" wrapText="1" indent="3"/>
    </xf>
    <xf numFmtId="0" fontId="10" fillId="18" borderId="9" xfId="2" applyNumberFormat="1" applyFont="1" applyFill="1" applyBorder="1" applyAlignment="1">
      <alignment horizontal="right" vertical="top" wrapText="1"/>
    </xf>
    <xf numFmtId="0" fontId="10" fillId="18" borderId="9" xfId="2" applyNumberFormat="1" applyFont="1" applyFill="1" applyBorder="1" applyAlignment="1">
      <alignment vertical="top" wrapText="1" indent="2"/>
    </xf>
    <xf numFmtId="4" fontId="10" fillId="18" borderId="9" xfId="2" applyNumberFormat="1" applyFont="1" applyFill="1" applyBorder="1" applyAlignment="1">
      <alignment horizontal="right" vertical="top" wrapText="1"/>
    </xf>
    <xf numFmtId="2" fontId="16" fillId="0" borderId="9" xfId="2" applyNumberFormat="1" applyFont="1" applyBorder="1" applyAlignment="1">
      <alignment horizontal="right" vertical="top" wrapText="1"/>
    </xf>
    <xf numFmtId="2" fontId="10" fillId="0" borderId="9" xfId="2" applyNumberFormat="1" applyFont="1" applyBorder="1" applyAlignment="1">
      <alignment horizontal="right" vertical="top" wrapText="1"/>
    </xf>
    <xf numFmtId="0" fontId="10" fillId="0" borderId="9" xfId="2" applyNumberFormat="1" applyFont="1" applyBorder="1" applyAlignment="1">
      <alignment vertical="top" wrapText="1" indent="1"/>
    </xf>
    <xf numFmtId="4" fontId="11" fillId="5" borderId="9" xfId="2" applyNumberFormat="1" applyFont="1" applyFill="1" applyBorder="1" applyAlignment="1">
      <alignment horizontal="right" vertical="top" wrapText="1"/>
    </xf>
    <xf numFmtId="0" fontId="8" fillId="5" borderId="0" xfId="2" applyFill="1"/>
    <xf numFmtId="4" fontId="10" fillId="5" borderId="9" xfId="2" applyNumberFormat="1" applyFont="1" applyFill="1" applyBorder="1" applyAlignment="1">
      <alignment horizontal="right" vertical="top" wrapText="1"/>
    </xf>
    <xf numFmtId="4" fontId="10" fillId="4" borderId="9" xfId="2" applyNumberFormat="1" applyFont="1" applyFill="1" applyBorder="1" applyAlignment="1">
      <alignment horizontal="right" vertical="top" wrapText="1"/>
    </xf>
    <xf numFmtId="0" fontId="18" fillId="0" borderId="0" xfId="3" applyFont="1" applyFill="1" applyAlignment="1"/>
    <xf numFmtId="0" fontId="4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0" fillId="0" borderId="0" xfId="2" applyNumberFormat="1" applyFont="1" applyBorder="1" applyAlignment="1">
      <alignment vertical="top" wrapText="1" indent="4"/>
    </xf>
    <xf numFmtId="0" fontId="8" fillId="0" borderId="0" xfId="2" applyBorder="1"/>
    <xf numFmtId="0" fontId="10" fillId="16" borderId="9" xfId="2" applyNumberFormat="1" applyFont="1" applyFill="1" applyBorder="1" applyAlignment="1">
      <alignment vertical="top" wrapText="1" indent="3"/>
    </xf>
    <xf numFmtId="0" fontId="8" fillId="0" borderId="0" xfId="2" applyFill="1"/>
    <xf numFmtId="0" fontId="11" fillId="16" borderId="9" xfId="2" applyNumberFormat="1" applyFont="1" applyFill="1" applyBorder="1" applyAlignment="1">
      <alignment vertical="top" wrapText="1" indent="1"/>
    </xf>
    <xf numFmtId="0" fontId="19" fillId="16" borderId="9" xfId="2" applyNumberFormat="1" applyFont="1" applyFill="1" applyBorder="1" applyAlignment="1">
      <alignment vertical="top" wrapText="1" indent="3"/>
    </xf>
    <xf numFmtId="0" fontId="8" fillId="5" borderId="0" xfId="2" applyFill="1" applyBorder="1"/>
    <xf numFmtId="0" fontId="4" fillId="3" borderId="0" xfId="0" applyFont="1" applyFill="1" applyBorder="1" applyAlignment="1">
      <alignment vertical="center"/>
    </xf>
    <xf numFmtId="4" fontId="10" fillId="16" borderId="9" xfId="2" applyNumberFormat="1" applyFont="1" applyFill="1" applyBorder="1" applyAlignment="1">
      <alignment horizontal="right" vertical="top" wrapText="1"/>
    </xf>
    <xf numFmtId="4" fontId="11" fillId="20" borderId="9" xfId="2" applyNumberFormat="1" applyFont="1" applyFill="1" applyBorder="1" applyAlignment="1">
      <alignment horizontal="right" vertical="top" wrapText="1"/>
    </xf>
    <xf numFmtId="0" fontId="8" fillId="20" borderId="0" xfId="2" applyFill="1"/>
    <xf numFmtId="0" fontId="10" fillId="0" borderId="9" xfId="2" applyNumberFormat="1" applyFont="1" applyFill="1" applyBorder="1" applyAlignment="1">
      <alignment vertical="top" wrapText="1" indent="2"/>
    </xf>
    <xf numFmtId="43" fontId="3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left" vertical="center" wrapText="1"/>
    </xf>
    <xf numFmtId="49" fontId="4" fillId="21" borderId="0" xfId="0" applyNumberFormat="1" applyFont="1" applyFill="1" applyBorder="1" applyAlignment="1">
      <alignment horizontal="left" vertical="center" wrapText="1"/>
    </xf>
    <xf numFmtId="43" fontId="4" fillId="21" borderId="0" xfId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top" wrapText="1"/>
    </xf>
    <xf numFmtId="49" fontId="4" fillId="2" borderId="0" xfId="0" applyNumberFormat="1" applyFont="1" applyFill="1" applyBorder="1" applyAlignment="1">
      <alignment horizontal="left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1" borderId="0" xfId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4" fillId="22" borderId="1" xfId="1" applyNumberFormat="1" applyFont="1" applyFill="1" applyBorder="1" applyAlignment="1">
      <alignment horizontal="center" vertical="center" wrapText="1"/>
    </xf>
    <xf numFmtId="0" fontId="8" fillId="16" borderId="0" xfId="2" applyFill="1"/>
    <xf numFmtId="164" fontId="3" fillId="0" borderId="1" xfId="1" applyNumberFormat="1" applyFont="1" applyBorder="1" applyAlignment="1">
      <alignment horizontal="center" vertical="center" wrapText="1"/>
    </xf>
    <xf numFmtId="0" fontId="17" fillId="16" borderId="0" xfId="3" applyFont="1" applyFill="1" applyAlignment="1"/>
    <xf numFmtId="10" fontId="4" fillId="0" borderId="1" xfId="1" applyNumberFormat="1" applyFont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168" fontId="5" fillId="0" borderId="0" xfId="4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22" borderId="1" xfId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0" borderId="1" xfId="1" applyFont="1" applyBorder="1" applyAlignment="1">
      <alignment vertical="center"/>
    </xf>
    <xf numFmtId="43" fontId="6" fillId="3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9" fontId="3" fillId="0" borderId="0" xfId="4" applyFont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right" vertical="top" wrapText="1"/>
    </xf>
    <xf numFmtId="0" fontId="18" fillId="16" borderId="0" xfId="3" applyFont="1" applyFill="1" applyAlignment="1"/>
    <xf numFmtId="0" fontId="17" fillId="16" borderId="0" xfId="3" applyFont="1" applyFill="1"/>
    <xf numFmtId="164" fontId="13" fillId="0" borderId="0" xfId="0" applyNumberFormat="1" applyFont="1" applyBorder="1" applyAlignment="1">
      <alignment horizontal="center" vertical="center" wrapText="1"/>
    </xf>
    <xf numFmtId="0" fontId="13" fillId="16" borderId="0" xfId="3" applyFont="1" applyFill="1" applyAlignment="1"/>
    <xf numFmtId="164" fontId="4" fillId="23" borderId="0" xfId="1" applyNumberFormat="1" applyFon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center" vertical="center" wrapText="1"/>
    </xf>
    <xf numFmtId="43" fontId="4" fillId="22" borderId="1" xfId="1" applyFont="1" applyFill="1" applyBorder="1" applyAlignment="1">
      <alignment horizontal="center" vertical="center" wrapText="1"/>
    </xf>
    <xf numFmtId="4" fontId="8" fillId="0" borderId="0" xfId="2" applyNumberFormat="1"/>
    <xf numFmtId="0" fontId="4" fillId="16" borderId="0" xfId="0" applyFont="1" applyFill="1" applyBorder="1" applyAlignment="1">
      <alignment horizontal="center" vertical="center" wrapText="1"/>
    </xf>
    <xf numFmtId="43" fontId="4" fillId="16" borderId="0" xfId="1" applyFont="1" applyFill="1" applyBorder="1" applyAlignment="1">
      <alignment horizontal="center" vertical="center" wrapText="1"/>
    </xf>
    <xf numFmtId="43" fontId="4" fillId="16" borderId="0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43" fontId="3" fillId="16" borderId="0" xfId="0" applyNumberFormat="1" applyFont="1" applyFill="1" applyBorder="1" applyAlignment="1">
      <alignment horizontal="center" vertical="center" wrapText="1"/>
    </xf>
    <xf numFmtId="0" fontId="13" fillId="5" borderId="0" xfId="3" applyFont="1" applyFill="1" applyAlignment="1"/>
    <xf numFmtId="0" fontId="10" fillId="16" borderId="9" xfId="2" applyNumberFormat="1" applyFont="1" applyFill="1" applyBorder="1" applyAlignment="1">
      <alignment vertical="top" wrapText="1" indent="4"/>
    </xf>
    <xf numFmtId="0" fontId="10" fillId="0" borderId="9" xfId="2" applyNumberFormat="1" applyFont="1" applyFill="1" applyBorder="1" applyAlignment="1">
      <alignment vertical="top" wrapText="1" indent="3"/>
    </xf>
    <xf numFmtId="164" fontId="3" fillId="22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21" fillId="0" borderId="0" xfId="7"/>
    <xf numFmtId="0" fontId="21" fillId="0" borderId="0" xfId="7" applyFont="1" applyAlignment="1">
      <alignment horizontal="left"/>
    </xf>
    <xf numFmtId="0" fontId="21" fillId="0" borderId="19" xfId="7" applyFont="1" applyBorder="1" applyAlignment="1">
      <alignment horizontal="left"/>
    </xf>
    <xf numFmtId="0" fontId="22" fillId="0" borderId="20" xfId="7" applyFont="1" applyBorder="1" applyAlignment="1">
      <alignment horizontal="right" vertical="center"/>
    </xf>
    <xf numFmtId="0" fontId="22" fillId="0" borderId="21" xfId="7" applyFont="1" applyBorder="1" applyAlignment="1">
      <alignment horizontal="right" vertical="center"/>
    </xf>
    <xf numFmtId="0" fontId="22" fillId="0" borderId="23" xfId="7" applyFont="1" applyBorder="1" applyAlignment="1">
      <alignment horizontal="right" vertical="center"/>
    </xf>
    <xf numFmtId="0" fontId="21" fillId="0" borderId="20" xfId="7" applyFont="1" applyBorder="1" applyAlignment="1">
      <alignment horizontal="left" vertical="center"/>
    </xf>
    <xf numFmtId="0" fontId="21" fillId="0" borderId="21" xfId="7" applyFont="1" applyBorder="1" applyAlignment="1">
      <alignment horizontal="left" vertical="center"/>
    </xf>
    <xf numFmtId="0" fontId="21" fillId="0" borderId="20" xfId="7" applyFont="1" applyBorder="1" applyAlignment="1">
      <alignment horizontal="left" vertical="center" wrapText="1"/>
    </xf>
    <xf numFmtId="0" fontId="21" fillId="0" borderId="21" xfId="7" applyFont="1" applyBorder="1" applyAlignment="1">
      <alignment horizontal="left" vertical="center" wrapText="1"/>
    </xf>
    <xf numFmtId="0" fontId="21" fillId="0" borderId="22" xfId="7" applyFont="1" applyBorder="1" applyAlignment="1">
      <alignment horizontal="left" vertical="center" wrapText="1"/>
    </xf>
    <xf numFmtId="0" fontId="21" fillId="0" borderId="20" xfId="7" applyFont="1" applyBorder="1" applyAlignment="1">
      <alignment horizontal="right" vertical="center"/>
    </xf>
    <xf numFmtId="0" fontId="21" fillId="0" borderId="23" xfId="7" applyFont="1" applyBorder="1" applyAlignment="1">
      <alignment horizontal="right" vertical="center"/>
    </xf>
    <xf numFmtId="0" fontId="21" fillId="0" borderId="21" xfId="7" applyFont="1" applyBorder="1" applyAlignment="1">
      <alignment horizontal="right" vertical="center"/>
    </xf>
    <xf numFmtId="0" fontId="21" fillId="0" borderId="22" xfId="7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" fillId="0" borderId="0" xfId="8"/>
    <xf numFmtId="0" fontId="25" fillId="0" borderId="0" xfId="8" applyFont="1"/>
    <xf numFmtId="0" fontId="26" fillId="0" borderId="0" xfId="8" applyFont="1" applyAlignment="1">
      <alignment wrapText="1"/>
    </xf>
    <xf numFmtId="170" fontId="28" fillId="0" borderId="0" xfId="9" applyNumberFormat="1" applyFont="1" applyBorder="1"/>
    <xf numFmtId="4" fontId="28" fillId="0" borderId="0" xfId="9" applyNumberFormat="1" applyFont="1" applyBorder="1" applyAlignment="1">
      <alignment horizontal="right"/>
    </xf>
    <xf numFmtId="0" fontId="28" fillId="0" borderId="0" xfId="9" applyFont="1" applyFill="1" applyBorder="1" applyAlignment="1">
      <alignment horizontal="left" vertical="center" wrapText="1"/>
    </xf>
    <xf numFmtId="170" fontId="28" fillId="0" borderId="0" xfId="9" applyNumberFormat="1" applyFont="1" applyAlignment="1">
      <alignment horizontal="center"/>
    </xf>
    <xf numFmtId="3" fontId="29" fillId="0" borderId="0" xfId="9" applyNumberFormat="1" applyFont="1" applyBorder="1"/>
    <xf numFmtId="0" fontId="29" fillId="0" borderId="0" xfId="9" applyFont="1" applyFill="1" applyBorder="1" applyAlignment="1">
      <alignment horizontal="left" vertical="center" wrapText="1"/>
    </xf>
    <xf numFmtId="170" fontId="32" fillId="0" borderId="0" xfId="9" applyNumberFormat="1" applyFont="1" applyAlignment="1">
      <alignment horizontal="center"/>
    </xf>
    <xf numFmtId="170" fontId="32" fillId="0" borderId="0" xfId="9" applyNumberFormat="1" applyFont="1" applyBorder="1" applyAlignment="1"/>
    <xf numFmtId="164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10" fillId="0" borderId="9" xfId="2" applyNumberFormat="1" applyFont="1" applyFill="1" applyBorder="1" applyAlignment="1">
      <alignment horizontal="right" vertical="top" wrapText="1"/>
    </xf>
    <xf numFmtId="9" fontId="4" fillId="0" borderId="0" xfId="4" applyFont="1" applyBorder="1" applyAlignment="1">
      <alignment horizontal="center" vertical="center" wrapText="1"/>
    </xf>
    <xf numFmtId="173" fontId="33" fillId="0" borderId="0" xfId="4" applyNumberFormat="1" applyFont="1" applyBorder="1" applyAlignment="1">
      <alignment horizontal="center" vertical="center" wrapText="1"/>
    </xf>
    <xf numFmtId="9" fontId="33" fillId="0" borderId="0" xfId="4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4" fillId="0" borderId="0" xfId="7" applyFont="1" applyAlignment="1">
      <alignment horizontal="center" vertical="center"/>
    </xf>
    <xf numFmtId="0" fontId="23" fillId="0" borderId="0" xfId="7" applyFont="1" applyAlignment="1">
      <alignment horizontal="center" wrapText="1"/>
    </xf>
    <xf numFmtId="0" fontId="23" fillId="0" borderId="0" xfId="7" applyFont="1" applyAlignment="1">
      <alignment horizontal="justify" wrapText="1"/>
    </xf>
    <xf numFmtId="0" fontId="21" fillId="0" borderId="24" xfId="7" applyFont="1" applyBorder="1" applyAlignment="1">
      <alignment horizontal="left" vertical="top" wrapText="1"/>
    </xf>
    <xf numFmtId="0" fontId="21" fillId="0" borderId="22" xfId="7" applyFont="1" applyBorder="1" applyAlignment="1">
      <alignment horizontal="center" vertical="center"/>
    </xf>
    <xf numFmtId="0" fontId="22" fillId="0" borderId="22" xfId="7" applyFont="1" applyBorder="1" applyAlignment="1">
      <alignment horizontal="left"/>
    </xf>
    <xf numFmtId="169" fontId="22" fillId="0" borderId="22" xfId="7" applyNumberFormat="1" applyFont="1" applyBorder="1" applyAlignment="1">
      <alignment horizontal="right" vertical="center"/>
    </xf>
    <xf numFmtId="0" fontId="21" fillId="0" borderId="22" xfId="7" applyFont="1" applyBorder="1" applyAlignment="1">
      <alignment horizontal="left" vertical="center" wrapText="1"/>
    </xf>
    <xf numFmtId="169" fontId="21" fillId="0" borderId="22" xfId="7" applyNumberFormat="1" applyFont="1" applyBorder="1" applyAlignment="1">
      <alignment horizontal="right" vertical="center"/>
    </xf>
    <xf numFmtId="0" fontId="21" fillId="0" borderId="0" xfId="7" applyFont="1" applyAlignment="1">
      <alignment horizontal="left" wrapText="1"/>
    </xf>
    <xf numFmtId="0" fontId="21" fillId="0" borderId="0" xfId="7" applyFont="1" applyAlignment="1">
      <alignment horizontal="left"/>
    </xf>
    <xf numFmtId="0" fontId="22" fillId="0" borderId="0" xfId="7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3" borderId="5" xfId="0" applyFont="1" applyFill="1" applyBorder="1" applyAlignment="1">
      <alignment horizontal="center" vertical="top" wrapText="1"/>
    </xf>
    <xf numFmtId="0" fontId="4" fillId="13" borderId="6" xfId="0" applyFont="1" applyFill="1" applyBorder="1" applyAlignment="1">
      <alignment horizontal="center" vertical="top" wrapText="1"/>
    </xf>
    <xf numFmtId="0" fontId="4" fillId="13" borderId="7" xfId="0" applyFont="1" applyFill="1" applyBorder="1" applyAlignment="1">
      <alignment horizontal="center" vertical="top" wrapText="1"/>
    </xf>
    <xf numFmtId="0" fontId="4" fillId="14" borderId="5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textRotation="90" wrapText="1"/>
    </xf>
    <xf numFmtId="0" fontId="3" fillId="3" borderId="6" xfId="0" applyFont="1" applyFill="1" applyBorder="1" applyAlignment="1">
      <alignment horizontal="center" vertical="top" textRotation="90" wrapText="1"/>
    </xf>
    <xf numFmtId="0" fontId="3" fillId="3" borderId="7" xfId="0" applyFont="1" applyFill="1" applyBorder="1" applyAlignment="1">
      <alignment horizontal="center" vertical="top" textRotation="90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7" fillId="0" borderId="0" xfId="9" applyFont="1" applyFill="1" applyBorder="1" applyAlignment="1">
      <alignment horizontal="left" vertical="center"/>
    </xf>
    <xf numFmtId="170" fontId="32" fillId="0" borderId="0" xfId="9" applyNumberFormat="1" applyFont="1" applyBorder="1" applyAlignment="1">
      <alignment horizontal="center" vertical="center" wrapText="1"/>
    </xf>
    <xf numFmtId="170" fontId="32" fillId="0" borderId="0" xfId="9" applyNumberFormat="1" applyFont="1" applyBorder="1" applyAlignment="1">
      <alignment horizontal="center"/>
    </xf>
    <xf numFmtId="0" fontId="13" fillId="0" borderId="0" xfId="2" applyNumberFormat="1" applyFont="1" applyAlignment="1">
      <alignment vertical="top" wrapText="1"/>
    </xf>
    <xf numFmtId="0" fontId="13" fillId="0" borderId="0" xfId="2" applyNumberFormat="1" applyFont="1" applyAlignment="1">
      <alignment horizontal="center" vertical="top" wrapText="1"/>
    </xf>
    <xf numFmtId="0" fontId="8" fillId="0" borderId="0" xfId="2" applyNumberFormat="1" applyAlignment="1">
      <alignment horizontal="center" wrapText="1"/>
    </xf>
    <xf numFmtId="0" fontId="11" fillId="17" borderId="8" xfId="2" applyNumberFormat="1" applyFont="1" applyFill="1" applyBorder="1" applyAlignment="1">
      <alignment horizontal="center" vertical="top"/>
    </xf>
    <xf numFmtId="0" fontId="11" fillId="17" borderId="11" xfId="2" applyNumberFormat="1" applyFont="1" applyFill="1" applyBorder="1" applyAlignment="1">
      <alignment horizontal="center" vertical="top"/>
    </xf>
    <xf numFmtId="0" fontId="11" fillId="17" borderId="12" xfId="2" applyNumberFormat="1" applyFont="1" applyFill="1" applyBorder="1" applyAlignment="1">
      <alignment horizontal="center" vertical="top"/>
    </xf>
    <xf numFmtId="0" fontId="11" fillId="17" borderId="10" xfId="2" applyNumberFormat="1" applyFont="1" applyFill="1" applyBorder="1" applyAlignment="1">
      <alignment horizontal="center" vertical="top"/>
    </xf>
    <xf numFmtId="0" fontId="12" fillId="17" borderId="11" xfId="2" applyNumberFormat="1" applyFont="1" applyFill="1" applyBorder="1" applyAlignment="1">
      <alignment vertical="top" wrapText="1"/>
    </xf>
    <xf numFmtId="0" fontId="12" fillId="17" borderId="10" xfId="2" applyNumberFormat="1" applyFont="1" applyFill="1" applyBorder="1" applyAlignment="1">
      <alignment vertical="top" wrapText="1"/>
    </xf>
    <xf numFmtId="170" fontId="32" fillId="0" borderId="0" xfId="9" applyNumberFormat="1" applyFont="1" applyAlignment="1" applyProtection="1">
      <alignment horizontal="center"/>
      <protection hidden="1"/>
    </xf>
    <xf numFmtId="170" fontId="28" fillId="0" borderId="30" xfId="9" applyNumberFormat="1" applyFont="1" applyBorder="1" applyAlignment="1" applyProtection="1">
      <alignment horizontal="left"/>
      <protection hidden="1"/>
    </xf>
    <xf numFmtId="164" fontId="32" fillId="0" borderId="30" xfId="10" applyNumberFormat="1" applyFont="1" applyFill="1" applyBorder="1" applyAlignment="1" applyProtection="1">
      <alignment horizontal="center"/>
      <protection hidden="1"/>
    </xf>
    <xf numFmtId="170" fontId="28" fillId="0" borderId="0" xfId="9" applyNumberFormat="1" applyFont="1" applyAlignment="1" applyProtection="1">
      <alignment horizontal="left"/>
      <protection hidden="1"/>
    </xf>
    <xf numFmtId="170" fontId="29" fillId="0" borderId="0" xfId="9" applyNumberFormat="1" applyFont="1" applyAlignment="1" applyProtection="1">
      <alignment horizontal="center"/>
      <protection hidden="1"/>
    </xf>
    <xf numFmtId="170" fontId="28" fillId="0" borderId="31" xfId="9" applyNumberFormat="1" applyFont="1" applyBorder="1" applyAlignment="1" applyProtection="1">
      <alignment vertical="center" wrapText="1"/>
      <protection hidden="1"/>
    </xf>
    <xf numFmtId="43" fontId="32" fillId="0" borderId="30" xfId="10" applyFont="1" applyFill="1" applyBorder="1" applyAlignment="1" applyProtection="1">
      <alignment horizontal="center"/>
      <protection hidden="1"/>
    </xf>
    <xf numFmtId="4" fontId="28" fillId="0" borderId="0" xfId="9" applyNumberFormat="1" applyFont="1" applyProtection="1">
      <protection hidden="1"/>
    </xf>
    <xf numFmtId="170" fontId="28" fillId="0" borderId="31" xfId="9" applyNumberFormat="1" applyFont="1" applyBorder="1" applyProtection="1">
      <protection hidden="1"/>
    </xf>
    <xf numFmtId="170" fontId="28" fillId="0" borderId="29" xfId="9" applyNumberFormat="1" applyFont="1" applyBorder="1" applyAlignment="1" applyProtection="1">
      <alignment wrapText="1"/>
      <protection hidden="1"/>
    </xf>
    <xf numFmtId="172" fontId="32" fillId="0" borderId="0" xfId="11" applyNumberFormat="1" applyFont="1" applyFill="1" applyBorder="1" applyAlignment="1" applyProtection="1">
      <alignment horizontal="center"/>
      <protection hidden="1"/>
    </xf>
    <xf numFmtId="170" fontId="31" fillId="25" borderId="32" xfId="9" applyNumberFormat="1" applyFont="1" applyFill="1" applyBorder="1" applyAlignment="1" applyProtection="1">
      <alignment horizontal="center" vertical="center" wrapText="1"/>
      <protection hidden="1"/>
    </xf>
    <xf numFmtId="0" fontId="31" fillId="25" borderId="33" xfId="9" applyFont="1" applyFill="1" applyBorder="1" applyAlignment="1" applyProtection="1">
      <alignment horizontal="center" vertical="center" wrapText="1"/>
      <protection hidden="1"/>
    </xf>
    <xf numFmtId="4" fontId="31" fillId="25" borderId="34" xfId="9" applyNumberFormat="1" applyFont="1" applyFill="1" applyBorder="1" applyAlignment="1" applyProtection="1">
      <alignment horizontal="center" vertical="center" wrapText="1"/>
      <protection hidden="1"/>
    </xf>
    <xf numFmtId="170" fontId="31" fillId="25" borderId="35" xfId="9" applyNumberFormat="1" applyFont="1" applyFill="1" applyBorder="1" applyAlignment="1" applyProtection="1">
      <alignment horizontal="center" vertical="center" wrapText="1"/>
      <protection hidden="1"/>
    </xf>
    <xf numFmtId="170" fontId="28" fillId="0" borderId="36" xfId="9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9" applyFont="1" applyFill="1" applyBorder="1" applyAlignment="1" applyProtection="1">
      <alignment horizontal="left" vertical="center" wrapText="1"/>
      <protection hidden="1"/>
    </xf>
    <xf numFmtId="164" fontId="31" fillId="0" borderId="1" xfId="10" applyNumberFormat="1" applyFont="1" applyFill="1" applyBorder="1" applyAlignment="1" applyProtection="1">
      <alignment horizontal="center" vertical="center"/>
      <protection hidden="1"/>
    </xf>
    <xf numFmtId="43" fontId="31" fillId="0" borderId="37" xfId="10" applyNumberFormat="1" applyFont="1" applyFill="1" applyBorder="1" applyAlignment="1" applyProtection="1">
      <alignment horizontal="center" vertical="center"/>
      <protection hidden="1"/>
    </xf>
    <xf numFmtId="49" fontId="28" fillId="0" borderId="36" xfId="9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8" applyFont="1" applyFill="1" applyBorder="1" applyAlignment="1" applyProtection="1">
      <alignment horizontal="left" vertical="center" wrapText="1" indent="2"/>
      <protection hidden="1"/>
    </xf>
    <xf numFmtId="164" fontId="27" fillId="0" borderId="1" xfId="10" applyNumberFormat="1" applyFont="1" applyFill="1" applyBorder="1" applyAlignment="1" applyProtection="1">
      <alignment horizontal="center"/>
      <protection hidden="1"/>
    </xf>
    <xf numFmtId="43" fontId="27" fillId="0" borderId="37" xfId="10" applyNumberFormat="1" applyFont="1" applyFill="1" applyBorder="1" applyAlignment="1" applyProtection="1">
      <alignment horizontal="center"/>
      <protection hidden="1"/>
    </xf>
    <xf numFmtId="0" fontId="31" fillId="0" borderId="27" xfId="9" applyFont="1" applyFill="1" applyBorder="1" applyAlignment="1" applyProtection="1">
      <alignment horizontal="left" vertical="center" wrapText="1"/>
      <protection hidden="1"/>
    </xf>
    <xf numFmtId="164" fontId="31" fillId="0" borderId="27" xfId="11" applyNumberFormat="1" applyFont="1" applyFill="1" applyBorder="1" applyAlignment="1" applyProtection="1">
      <alignment horizontal="center" vertical="center"/>
      <protection hidden="1"/>
    </xf>
    <xf numFmtId="43" fontId="31" fillId="0" borderId="38" xfId="11" applyNumberFormat="1" applyFont="1" applyFill="1" applyBorder="1" applyAlignment="1" applyProtection="1">
      <alignment horizontal="center" vertical="center"/>
      <protection hidden="1"/>
    </xf>
    <xf numFmtId="0" fontId="27" fillId="0" borderId="1" xfId="9" applyFont="1" applyFill="1" applyBorder="1" applyAlignment="1" applyProtection="1">
      <alignment horizontal="left" vertical="center" wrapText="1" indent="2"/>
      <protection hidden="1"/>
    </xf>
    <xf numFmtId="0" fontId="31" fillId="0" borderId="26" xfId="9" applyFont="1" applyFill="1" applyBorder="1" applyAlignment="1" applyProtection="1">
      <alignment horizontal="left" vertical="center" wrapText="1"/>
      <protection hidden="1"/>
    </xf>
    <xf numFmtId="49" fontId="31" fillId="0" borderId="26" xfId="9" applyNumberFormat="1" applyFont="1" applyFill="1" applyBorder="1" applyAlignment="1" applyProtection="1">
      <alignment horizontal="left" vertical="center" wrapText="1"/>
      <protection hidden="1"/>
    </xf>
    <xf numFmtId="49" fontId="28" fillId="0" borderId="39" xfId="9" applyNumberFormat="1" applyFont="1" applyFill="1" applyBorder="1" applyAlignment="1" applyProtection="1">
      <alignment horizontal="center" vertical="center" wrapText="1"/>
      <protection hidden="1"/>
    </xf>
    <xf numFmtId="0" fontId="31" fillId="0" borderId="25" xfId="9" applyFont="1" applyFill="1" applyBorder="1" applyAlignment="1" applyProtection="1">
      <alignment horizontal="left" vertical="center" wrapText="1"/>
      <protection hidden="1"/>
    </xf>
    <xf numFmtId="164" fontId="31" fillId="0" borderId="40" xfId="10" applyNumberFormat="1" applyFont="1" applyFill="1" applyBorder="1" applyAlignment="1" applyProtection="1">
      <alignment horizontal="center" vertical="center"/>
      <protection hidden="1"/>
    </xf>
    <xf numFmtId="43" fontId="31" fillId="0" borderId="41" xfId="10" applyNumberFormat="1" applyFont="1" applyFill="1" applyBorder="1" applyAlignment="1" applyProtection="1">
      <alignment horizontal="center" vertical="center"/>
      <protection hidden="1"/>
    </xf>
  </cellXfs>
  <cellStyles count="12">
    <cellStyle name="Обычный" xfId="0" builtinId="0"/>
    <cellStyle name="Обычный 15" xfId="3"/>
    <cellStyle name="Обычный 2" xfId="2"/>
    <cellStyle name="Обычный 3" xfId="7"/>
    <cellStyle name="Обычный 4 2" xfId="9"/>
    <cellStyle name="Обычный 7 2" xfId="5"/>
    <cellStyle name="Обычный 7 3" xfId="6"/>
    <cellStyle name="Обычный 8 2" xfId="8"/>
    <cellStyle name="Процентный" xfId="4" builtinId="5"/>
    <cellStyle name="Финансовый" xfId="1" builtinId="3"/>
    <cellStyle name="Финансовый 3 2 3" xfId="10"/>
    <cellStyle name="Финансовый 4 2" xfId="11"/>
  </cellStyles>
  <dxfs count="0"/>
  <tableStyles count="0" defaultTableStyle="TableStyleMedium2" defaultPivotStyle="PivotStyleLight16"/>
  <colors>
    <mruColors>
      <color rgb="FFFFCCCC"/>
      <color rgb="FFFF99FF"/>
      <color rgb="FFFF66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autoPageBreaks="0" fitToPage="1"/>
  </sheetPr>
  <dimension ref="A1:P57"/>
  <sheetViews>
    <sheetView workbookViewId="0">
      <selection activeCell="B2" sqref="B2:P2"/>
    </sheetView>
  </sheetViews>
  <sheetFormatPr defaultColWidth="9" defaultRowHeight="11.45" customHeight="1" x14ac:dyDescent="0.2"/>
  <cols>
    <col min="1" max="1" width="2" style="147" customWidth="1"/>
    <col min="2" max="2" width="8" style="147" customWidth="1"/>
    <col min="3" max="3" width="28.28515625" style="147" customWidth="1"/>
    <col min="4" max="4" width="1.7109375" style="147" customWidth="1"/>
    <col min="5" max="5" width="10.42578125" style="147" customWidth="1"/>
    <col min="6" max="6" width="5.5703125" style="147" customWidth="1"/>
    <col min="7" max="7" width="13.5703125" style="147" customWidth="1"/>
    <col min="8" max="8" width="2.28515625" style="147" customWidth="1"/>
    <col min="9" max="9" width="0.28515625" style="147" customWidth="1"/>
    <col min="10" max="10" width="8" style="147" customWidth="1"/>
    <col min="11" max="11" width="27.5703125" style="147" customWidth="1"/>
    <col min="12" max="12" width="2.5703125" style="147" customWidth="1"/>
    <col min="13" max="13" width="9.5703125" style="147" customWidth="1"/>
    <col min="14" max="14" width="6.5703125" style="147" customWidth="1"/>
    <col min="15" max="15" width="15.85546875" style="147" customWidth="1"/>
    <col min="16" max="16" width="0.140625" style="147" customWidth="1"/>
    <col min="17" max="16384" width="9" style="146"/>
  </cols>
  <sheetData>
    <row r="1" spans="2:16" s="147" customFormat="1" ht="11.1" customHeight="1" x14ac:dyDescent="0.2"/>
    <row r="2" spans="2:16" s="147" customFormat="1" ht="18.95" customHeight="1" x14ac:dyDescent="0.2">
      <c r="B2" s="189" t="s">
        <v>957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16" s="147" customFormat="1" ht="51" customHeight="1" x14ac:dyDescent="0.2">
      <c r="B3" s="190" t="s">
        <v>956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2:16" s="147" customFormat="1" ht="18" customHeight="1" x14ac:dyDescent="0.2"/>
    <row r="5" spans="2:16" s="147" customFormat="1" ht="38.1" customHeight="1" x14ac:dyDescent="0.2">
      <c r="B5" s="191" t="s">
        <v>955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2:16" s="147" customFormat="1" ht="6" customHeight="1" x14ac:dyDescent="0.2"/>
    <row r="7" spans="2:16" s="147" customFormat="1" ht="11.1" customHeight="1" x14ac:dyDescent="0.2">
      <c r="B7" s="192" t="s">
        <v>954</v>
      </c>
      <c r="C7" s="192"/>
      <c r="D7" s="192"/>
      <c r="E7" s="192"/>
      <c r="F7" s="192"/>
      <c r="G7" s="192"/>
      <c r="H7" s="192"/>
      <c r="I7" s="192"/>
      <c r="J7" s="192" t="s">
        <v>953</v>
      </c>
      <c r="K7" s="192"/>
      <c r="L7" s="192"/>
      <c r="M7" s="192"/>
      <c r="N7" s="192"/>
      <c r="O7" s="192"/>
      <c r="P7" s="192"/>
    </row>
    <row r="8" spans="2:16" s="147" customFormat="1" ht="11.1" customHeight="1" x14ac:dyDescent="0.2">
      <c r="B8" s="160" t="s">
        <v>952</v>
      </c>
      <c r="C8" s="193" t="s">
        <v>951</v>
      </c>
      <c r="D8" s="193"/>
      <c r="E8" s="193" t="s">
        <v>429</v>
      </c>
      <c r="F8" s="193"/>
      <c r="G8" s="193" t="s">
        <v>428</v>
      </c>
      <c r="H8" s="193"/>
      <c r="I8" s="193"/>
      <c r="J8" s="160" t="s">
        <v>952</v>
      </c>
      <c r="K8" s="193" t="s">
        <v>951</v>
      </c>
      <c r="L8" s="193"/>
      <c r="M8" s="193" t="s">
        <v>429</v>
      </c>
      <c r="N8" s="193"/>
      <c r="O8" s="193" t="s">
        <v>428</v>
      </c>
      <c r="P8" s="193"/>
    </row>
    <row r="9" spans="2:16" s="147" customFormat="1" ht="11.1" customHeight="1" x14ac:dyDescent="0.2">
      <c r="B9" s="194" t="s">
        <v>950</v>
      </c>
      <c r="C9" s="194"/>
      <c r="D9" s="194"/>
      <c r="E9" s="195">
        <v>30380</v>
      </c>
      <c r="F9" s="195"/>
      <c r="G9" s="150"/>
      <c r="H9" s="151"/>
      <c r="I9" s="149"/>
      <c r="J9" s="194" t="s">
        <v>950</v>
      </c>
      <c r="K9" s="194"/>
      <c r="L9" s="194"/>
      <c r="M9" s="150"/>
      <c r="N9" s="149"/>
      <c r="O9" s="195">
        <v>30380</v>
      </c>
      <c r="P9" s="195"/>
    </row>
    <row r="10" spans="2:16" s="147" customFormat="1" ht="11.1" customHeight="1" x14ac:dyDescent="0.2">
      <c r="B10" s="156" t="s">
        <v>949</v>
      </c>
      <c r="C10" s="196" t="s">
        <v>948</v>
      </c>
      <c r="D10" s="196"/>
      <c r="E10" s="159"/>
      <c r="F10" s="157"/>
      <c r="G10" s="197">
        <v>30660</v>
      </c>
      <c r="H10" s="197"/>
      <c r="I10" s="197"/>
      <c r="J10" s="156"/>
      <c r="K10" s="155"/>
      <c r="L10" s="154"/>
      <c r="M10" s="153"/>
      <c r="N10" s="152"/>
      <c r="O10" s="153"/>
      <c r="P10" s="152"/>
    </row>
    <row r="11" spans="2:16" s="147" customFormat="1" ht="11.1" customHeight="1" x14ac:dyDescent="0.2">
      <c r="B11" s="156" t="s">
        <v>947</v>
      </c>
      <c r="C11" s="196" t="s">
        <v>946</v>
      </c>
      <c r="D11" s="196"/>
      <c r="E11" s="197">
        <v>30660</v>
      </c>
      <c r="F11" s="197"/>
      <c r="G11" s="159"/>
      <c r="H11" s="158"/>
      <c r="I11" s="157"/>
      <c r="J11" s="156"/>
      <c r="K11" s="155"/>
      <c r="L11" s="154"/>
      <c r="M11" s="153"/>
      <c r="N11" s="152"/>
      <c r="O11" s="153"/>
      <c r="P11" s="152"/>
    </row>
    <row r="12" spans="2:16" s="147" customFormat="1" ht="11.1" customHeight="1" x14ac:dyDescent="0.2">
      <c r="B12" s="156" t="s">
        <v>945</v>
      </c>
      <c r="C12" s="196" t="s">
        <v>944</v>
      </c>
      <c r="D12" s="196"/>
      <c r="E12" s="159"/>
      <c r="F12" s="157"/>
      <c r="G12" s="197">
        <v>30660</v>
      </c>
      <c r="H12" s="197"/>
      <c r="I12" s="197"/>
      <c r="J12" s="156"/>
      <c r="K12" s="155"/>
      <c r="L12" s="154"/>
      <c r="M12" s="153"/>
      <c r="N12" s="152"/>
      <c r="O12" s="153"/>
      <c r="P12" s="152"/>
    </row>
    <row r="13" spans="2:16" s="147" customFormat="1" ht="11.1" customHeight="1" x14ac:dyDescent="0.2">
      <c r="B13" s="156" t="s">
        <v>943</v>
      </c>
      <c r="C13" s="196" t="s">
        <v>942</v>
      </c>
      <c r="D13" s="196"/>
      <c r="E13" s="197">
        <v>30660</v>
      </c>
      <c r="F13" s="197"/>
      <c r="G13" s="159"/>
      <c r="H13" s="158"/>
      <c r="I13" s="157"/>
      <c r="J13" s="156"/>
      <c r="K13" s="155"/>
      <c r="L13" s="154"/>
      <c r="M13" s="153"/>
      <c r="N13" s="152"/>
      <c r="O13" s="153"/>
      <c r="P13" s="152"/>
    </row>
    <row r="14" spans="2:16" s="147" customFormat="1" ht="11.1" customHeight="1" x14ac:dyDescent="0.2">
      <c r="B14" s="156" t="s">
        <v>941</v>
      </c>
      <c r="C14" s="196" t="s">
        <v>940</v>
      </c>
      <c r="D14" s="196"/>
      <c r="E14" s="159"/>
      <c r="F14" s="157"/>
      <c r="G14" s="197">
        <v>30660</v>
      </c>
      <c r="H14" s="197"/>
      <c r="I14" s="197"/>
      <c r="J14" s="156"/>
      <c r="K14" s="155"/>
      <c r="L14" s="154"/>
      <c r="M14" s="153"/>
      <c r="N14" s="152"/>
      <c r="O14" s="153"/>
      <c r="P14" s="152"/>
    </row>
    <row r="15" spans="2:16" s="147" customFormat="1" ht="11.1" customHeight="1" x14ac:dyDescent="0.2">
      <c r="B15" s="156" t="s">
        <v>939</v>
      </c>
      <c r="C15" s="196" t="s">
        <v>938</v>
      </c>
      <c r="D15" s="196"/>
      <c r="E15" s="197">
        <v>30660</v>
      </c>
      <c r="F15" s="197"/>
      <c r="G15" s="159"/>
      <c r="H15" s="158"/>
      <c r="I15" s="157"/>
      <c r="J15" s="156"/>
      <c r="K15" s="155"/>
      <c r="L15" s="154"/>
      <c r="M15" s="153"/>
      <c r="N15" s="152"/>
      <c r="O15" s="153"/>
      <c r="P15" s="152"/>
    </row>
    <row r="16" spans="2:16" s="147" customFormat="1" ht="11.1" customHeight="1" x14ac:dyDescent="0.2">
      <c r="B16" s="156" t="s">
        <v>937</v>
      </c>
      <c r="C16" s="196" t="s">
        <v>936</v>
      </c>
      <c r="D16" s="196"/>
      <c r="E16" s="159"/>
      <c r="F16" s="157"/>
      <c r="G16" s="197">
        <v>30660</v>
      </c>
      <c r="H16" s="197"/>
      <c r="I16" s="197"/>
      <c r="J16" s="156"/>
      <c r="K16" s="155"/>
      <c r="L16" s="154"/>
      <c r="M16" s="153"/>
      <c r="N16" s="152"/>
      <c r="O16" s="153"/>
      <c r="P16" s="152"/>
    </row>
    <row r="17" spans="2:16" s="147" customFormat="1" ht="11.1" customHeight="1" x14ac:dyDescent="0.2">
      <c r="B17" s="156" t="s">
        <v>935</v>
      </c>
      <c r="C17" s="196" t="s">
        <v>934</v>
      </c>
      <c r="D17" s="196"/>
      <c r="E17" s="197">
        <v>30660</v>
      </c>
      <c r="F17" s="197"/>
      <c r="G17" s="159"/>
      <c r="H17" s="158"/>
      <c r="I17" s="157"/>
      <c r="J17" s="156"/>
      <c r="K17" s="155"/>
      <c r="L17" s="154"/>
      <c r="M17" s="153"/>
      <c r="N17" s="152"/>
      <c r="O17" s="153"/>
      <c r="P17" s="152"/>
    </row>
    <row r="18" spans="2:16" s="147" customFormat="1" ht="11.1" customHeight="1" x14ac:dyDescent="0.2">
      <c r="B18" s="156" t="s">
        <v>933</v>
      </c>
      <c r="C18" s="196" t="s">
        <v>932</v>
      </c>
      <c r="D18" s="196"/>
      <c r="E18" s="159"/>
      <c r="F18" s="157"/>
      <c r="G18" s="197">
        <v>30660</v>
      </c>
      <c r="H18" s="197"/>
      <c r="I18" s="197"/>
      <c r="J18" s="156"/>
      <c r="K18" s="155"/>
      <c r="L18" s="154"/>
      <c r="M18" s="153"/>
      <c r="N18" s="152"/>
      <c r="O18" s="153"/>
      <c r="P18" s="152"/>
    </row>
    <row r="19" spans="2:16" s="147" customFormat="1" ht="11.1" customHeight="1" x14ac:dyDescent="0.2">
      <c r="B19" s="156" t="s">
        <v>931</v>
      </c>
      <c r="C19" s="196" t="s">
        <v>930</v>
      </c>
      <c r="D19" s="196"/>
      <c r="E19" s="197">
        <v>30660</v>
      </c>
      <c r="F19" s="197"/>
      <c r="G19" s="159"/>
      <c r="H19" s="158"/>
      <c r="I19" s="157"/>
      <c r="J19" s="156"/>
      <c r="K19" s="155"/>
      <c r="L19" s="154"/>
      <c r="M19" s="153"/>
      <c r="N19" s="152"/>
      <c r="O19" s="153"/>
      <c r="P19" s="152"/>
    </row>
    <row r="20" spans="2:16" s="147" customFormat="1" ht="11.1" customHeight="1" x14ac:dyDescent="0.2">
      <c r="B20" s="156" t="s">
        <v>929</v>
      </c>
      <c r="C20" s="196" t="s">
        <v>928</v>
      </c>
      <c r="D20" s="196"/>
      <c r="E20" s="159"/>
      <c r="F20" s="157"/>
      <c r="G20" s="197">
        <v>30660</v>
      </c>
      <c r="H20" s="197"/>
      <c r="I20" s="197"/>
      <c r="J20" s="156"/>
      <c r="K20" s="155"/>
      <c r="L20" s="154"/>
      <c r="M20" s="153"/>
      <c r="N20" s="152"/>
      <c r="O20" s="153"/>
      <c r="P20" s="152"/>
    </row>
    <row r="21" spans="2:16" s="147" customFormat="1" ht="11.1" customHeight="1" x14ac:dyDescent="0.2">
      <c r="B21" s="156" t="s">
        <v>927</v>
      </c>
      <c r="C21" s="196" t="s">
        <v>926</v>
      </c>
      <c r="D21" s="196"/>
      <c r="E21" s="197">
        <v>30660</v>
      </c>
      <c r="F21" s="197"/>
      <c r="G21" s="159"/>
      <c r="H21" s="158"/>
      <c r="I21" s="157"/>
      <c r="J21" s="156"/>
      <c r="K21" s="155"/>
      <c r="L21" s="154"/>
      <c r="M21" s="153"/>
      <c r="N21" s="152"/>
      <c r="O21" s="153"/>
      <c r="P21" s="152"/>
    </row>
    <row r="22" spans="2:16" s="147" customFormat="1" ht="11.1" customHeight="1" x14ac:dyDescent="0.2">
      <c r="B22" s="156" t="s">
        <v>925</v>
      </c>
      <c r="C22" s="196" t="s">
        <v>924</v>
      </c>
      <c r="D22" s="196"/>
      <c r="E22" s="159"/>
      <c r="F22" s="157"/>
      <c r="G22" s="197">
        <v>30660</v>
      </c>
      <c r="H22" s="197"/>
      <c r="I22" s="197"/>
      <c r="J22" s="156"/>
      <c r="K22" s="155"/>
      <c r="L22" s="154"/>
      <c r="M22" s="153"/>
      <c r="N22" s="152"/>
      <c r="O22" s="153"/>
      <c r="P22" s="152"/>
    </row>
    <row r="23" spans="2:16" s="147" customFormat="1" ht="11.1" customHeight="1" x14ac:dyDescent="0.2">
      <c r="B23" s="156" t="s">
        <v>923</v>
      </c>
      <c r="C23" s="196" t="s">
        <v>922</v>
      </c>
      <c r="D23" s="196"/>
      <c r="E23" s="197">
        <v>30660</v>
      </c>
      <c r="F23" s="197"/>
      <c r="G23" s="159"/>
      <c r="H23" s="158"/>
      <c r="I23" s="157"/>
      <c r="J23" s="156"/>
      <c r="K23" s="155"/>
      <c r="L23" s="154"/>
      <c r="M23" s="153"/>
      <c r="N23" s="152"/>
      <c r="O23" s="153"/>
      <c r="P23" s="152"/>
    </row>
    <row r="24" spans="2:16" s="147" customFormat="1" ht="11.1" customHeight="1" x14ac:dyDescent="0.2">
      <c r="B24" s="156" t="s">
        <v>921</v>
      </c>
      <c r="C24" s="196" t="s">
        <v>920</v>
      </c>
      <c r="D24" s="196"/>
      <c r="E24" s="159"/>
      <c r="F24" s="157"/>
      <c r="G24" s="197">
        <v>30660</v>
      </c>
      <c r="H24" s="197"/>
      <c r="I24" s="197"/>
      <c r="J24" s="156"/>
      <c r="K24" s="155"/>
      <c r="L24" s="154"/>
      <c r="M24" s="153"/>
      <c r="N24" s="152"/>
      <c r="O24" s="153"/>
      <c r="P24" s="152"/>
    </row>
    <row r="25" spans="2:16" s="147" customFormat="1" ht="11.1" customHeight="1" x14ac:dyDescent="0.2">
      <c r="B25" s="156" t="s">
        <v>919</v>
      </c>
      <c r="C25" s="196" t="s">
        <v>918</v>
      </c>
      <c r="D25" s="196"/>
      <c r="E25" s="197">
        <v>30660</v>
      </c>
      <c r="F25" s="197"/>
      <c r="G25" s="159"/>
      <c r="H25" s="158"/>
      <c r="I25" s="157"/>
      <c r="J25" s="156"/>
      <c r="K25" s="155"/>
      <c r="L25" s="154"/>
      <c r="M25" s="153"/>
      <c r="N25" s="152"/>
      <c r="O25" s="153"/>
      <c r="P25" s="152"/>
    </row>
    <row r="26" spans="2:16" s="147" customFormat="1" ht="11.1" customHeight="1" x14ac:dyDescent="0.2">
      <c r="B26" s="156" t="s">
        <v>917</v>
      </c>
      <c r="C26" s="196" t="s">
        <v>916</v>
      </c>
      <c r="D26" s="196"/>
      <c r="E26" s="159"/>
      <c r="F26" s="157"/>
      <c r="G26" s="197">
        <v>30660</v>
      </c>
      <c r="H26" s="197"/>
      <c r="I26" s="197"/>
      <c r="J26" s="156"/>
      <c r="K26" s="155"/>
      <c r="L26" s="154"/>
      <c r="M26" s="153"/>
      <c r="N26" s="152"/>
      <c r="O26" s="153"/>
      <c r="P26" s="152"/>
    </row>
    <row r="27" spans="2:16" s="147" customFormat="1" ht="11.1" customHeight="1" x14ac:dyDescent="0.2">
      <c r="B27" s="156" t="s">
        <v>915</v>
      </c>
      <c r="C27" s="196" t="s">
        <v>914</v>
      </c>
      <c r="D27" s="196"/>
      <c r="E27" s="197">
        <v>30660</v>
      </c>
      <c r="F27" s="197"/>
      <c r="G27" s="159"/>
      <c r="H27" s="158"/>
      <c r="I27" s="157"/>
      <c r="J27" s="156"/>
      <c r="K27" s="155"/>
      <c r="L27" s="154"/>
      <c r="M27" s="153"/>
      <c r="N27" s="152"/>
      <c r="O27" s="153"/>
      <c r="P27" s="152"/>
    </row>
    <row r="28" spans="2:16" s="147" customFormat="1" ht="11.1" customHeight="1" x14ac:dyDescent="0.2">
      <c r="B28" s="156" t="s">
        <v>913</v>
      </c>
      <c r="C28" s="196" t="s">
        <v>912</v>
      </c>
      <c r="D28" s="196"/>
      <c r="E28" s="159"/>
      <c r="F28" s="157"/>
      <c r="G28" s="197">
        <v>30660</v>
      </c>
      <c r="H28" s="197"/>
      <c r="I28" s="197"/>
      <c r="J28" s="156"/>
      <c r="K28" s="155"/>
      <c r="L28" s="154"/>
      <c r="M28" s="153"/>
      <c r="N28" s="152"/>
      <c r="O28" s="153"/>
      <c r="P28" s="152"/>
    </row>
    <row r="29" spans="2:16" s="147" customFormat="1" ht="11.1" customHeight="1" x14ac:dyDescent="0.2">
      <c r="B29" s="156" t="s">
        <v>911</v>
      </c>
      <c r="C29" s="196" t="s">
        <v>910</v>
      </c>
      <c r="D29" s="196"/>
      <c r="E29" s="197">
        <v>30660</v>
      </c>
      <c r="F29" s="197"/>
      <c r="G29" s="159"/>
      <c r="H29" s="158"/>
      <c r="I29" s="157"/>
      <c r="J29" s="156"/>
      <c r="K29" s="155"/>
      <c r="L29" s="154"/>
      <c r="M29" s="153"/>
      <c r="N29" s="152"/>
      <c r="O29" s="153"/>
      <c r="P29" s="152"/>
    </row>
    <row r="30" spans="2:16" s="147" customFormat="1" ht="11.1" customHeight="1" x14ac:dyDescent="0.2">
      <c r="B30" s="156" t="s">
        <v>909</v>
      </c>
      <c r="C30" s="196" t="s">
        <v>908</v>
      </c>
      <c r="D30" s="196"/>
      <c r="E30" s="159"/>
      <c r="F30" s="157"/>
      <c r="G30" s="197">
        <v>30660</v>
      </c>
      <c r="H30" s="197"/>
      <c r="I30" s="197"/>
      <c r="J30" s="156"/>
      <c r="K30" s="155"/>
      <c r="L30" s="154"/>
      <c r="M30" s="153"/>
      <c r="N30" s="152"/>
      <c r="O30" s="153"/>
      <c r="P30" s="152"/>
    </row>
    <row r="31" spans="2:16" s="147" customFormat="1" ht="11.1" customHeight="1" x14ac:dyDescent="0.2">
      <c r="B31" s="156" t="s">
        <v>907</v>
      </c>
      <c r="C31" s="196" t="s">
        <v>906</v>
      </c>
      <c r="D31" s="196"/>
      <c r="E31" s="197">
        <v>30660</v>
      </c>
      <c r="F31" s="197"/>
      <c r="G31" s="159"/>
      <c r="H31" s="158"/>
      <c r="I31" s="157"/>
      <c r="J31" s="156"/>
      <c r="K31" s="155"/>
      <c r="L31" s="154"/>
      <c r="M31" s="153"/>
      <c r="N31" s="152"/>
      <c r="O31" s="153"/>
      <c r="P31" s="152"/>
    </row>
    <row r="32" spans="2:16" s="147" customFormat="1" ht="11.1" customHeight="1" x14ac:dyDescent="0.2">
      <c r="B32" s="156" t="s">
        <v>905</v>
      </c>
      <c r="C32" s="196" t="s">
        <v>904</v>
      </c>
      <c r="D32" s="196"/>
      <c r="E32" s="159"/>
      <c r="F32" s="157"/>
      <c r="G32" s="197">
        <v>30660</v>
      </c>
      <c r="H32" s="197"/>
      <c r="I32" s="197"/>
      <c r="J32" s="156"/>
      <c r="K32" s="155"/>
      <c r="L32" s="154"/>
      <c r="M32" s="153"/>
      <c r="N32" s="152"/>
      <c r="O32" s="153"/>
      <c r="P32" s="152"/>
    </row>
    <row r="33" spans="2:16" s="147" customFormat="1" ht="11.1" customHeight="1" x14ac:dyDescent="0.2">
      <c r="B33" s="156" t="s">
        <v>903</v>
      </c>
      <c r="C33" s="196" t="s">
        <v>902</v>
      </c>
      <c r="D33" s="196"/>
      <c r="E33" s="197">
        <v>30660</v>
      </c>
      <c r="F33" s="197"/>
      <c r="G33" s="159"/>
      <c r="H33" s="158"/>
      <c r="I33" s="157"/>
      <c r="J33" s="156"/>
      <c r="K33" s="155"/>
      <c r="L33" s="154"/>
      <c r="M33" s="153"/>
      <c r="N33" s="152"/>
      <c r="O33" s="153"/>
      <c r="P33" s="152"/>
    </row>
    <row r="34" spans="2:16" s="147" customFormat="1" ht="11.1" customHeight="1" x14ac:dyDescent="0.2">
      <c r="B34" s="194" t="s">
        <v>432</v>
      </c>
      <c r="C34" s="194"/>
      <c r="D34" s="194"/>
      <c r="E34" s="195">
        <v>367920</v>
      </c>
      <c r="F34" s="195"/>
      <c r="G34" s="195">
        <v>367920</v>
      </c>
      <c r="H34" s="195"/>
      <c r="I34" s="195"/>
      <c r="J34" s="194" t="s">
        <v>432</v>
      </c>
      <c r="K34" s="194"/>
      <c r="L34" s="194"/>
      <c r="M34" s="150"/>
      <c r="N34" s="149"/>
      <c r="O34" s="150"/>
      <c r="P34" s="149"/>
    </row>
    <row r="35" spans="2:16" s="147" customFormat="1" ht="11.1" customHeight="1" x14ac:dyDescent="0.2">
      <c r="B35" s="194" t="s">
        <v>901</v>
      </c>
      <c r="C35" s="194"/>
      <c r="D35" s="194"/>
      <c r="E35" s="195">
        <v>30380</v>
      </c>
      <c r="F35" s="195"/>
      <c r="G35" s="150"/>
      <c r="H35" s="151"/>
      <c r="I35" s="149"/>
      <c r="J35" s="194" t="s">
        <v>901</v>
      </c>
      <c r="K35" s="194"/>
      <c r="L35" s="194"/>
      <c r="M35" s="150"/>
      <c r="N35" s="149"/>
      <c r="O35" s="150"/>
      <c r="P35" s="149"/>
    </row>
    <row r="36" spans="2:16" s="147" customFormat="1" ht="11.1" customHeight="1" x14ac:dyDescent="0.2"/>
    <row r="37" spans="2:16" s="147" customFormat="1" ht="11.1" customHeight="1" x14ac:dyDescent="0.2">
      <c r="B37" s="198" t="s">
        <v>900</v>
      </c>
      <c r="C37" s="198"/>
      <c r="D37" s="198"/>
      <c r="E37" s="198"/>
      <c r="F37" s="198"/>
      <c r="G37" s="198"/>
      <c r="I37" s="198" t="s">
        <v>899</v>
      </c>
      <c r="J37" s="198"/>
      <c r="K37" s="198"/>
      <c r="L37" s="198"/>
      <c r="M37" s="198"/>
      <c r="N37" s="198"/>
      <c r="O37" s="198"/>
    </row>
    <row r="38" spans="2:16" s="147" customFormat="1" ht="21.95" customHeight="1" x14ac:dyDescent="0.2">
      <c r="B38" s="200" t="s">
        <v>898</v>
      </c>
      <c r="C38" s="200"/>
      <c r="D38" s="200"/>
      <c r="E38" s="200"/>
      <c r="F38" s="200"/>
      <c r="G38" s="200"/>
    </row>
    <row r="39" spans="2:16" s="147" customFormat="1" ht="12.95" customHeight="1" x14ac:dyDescent="0.2"/>
    <row r="40" spans="2:16" s="147" customFormat="1" ht="11.1" customHeight="1" x14ac:dyDescent="0.2">
      <c r="B40" s="198" t="s">
        <v>897</v>
      </c>
      <c r="C40" s="198"/>
      <c r="D40" s="198"/>
      <c r="E40" s="198"/>
      <c r="F40" s="198"/>
      <c r="G40" s="198"/>
      <c r="I40" s="198" t="s">
        <v>896</v>
      </c>
      <c r="J40" s="198"/>
      <c r="K40" s="198"/>
      <c r="L40" s="198"/>
      <c r="M40" s="198"/>
      <c r="N40" s="198"/>
      <c r="O40" s="198"/>
    </row>
    <row r="41" spans="2:16" s="147" customFormat="1" ht="11.1" customHeight="1" x14ac:dyDescent="0.2"/>
    <row r="42" spans="2:16" s="147" customFormat="1" ht="11.1" customHeight="1" x14ac:dyDescent="0.2">
      <c r="B42" s="198" t="s">
        <v>895</v>
      </c>
      <c r="C42" s="198"/>
      <c r="D42" s="198"/>
      <c r="E42" s="198"/>
      <c r="F42" s="198"/>
      <c r="G42" s="198"/>
      <c r="I42" s="198" t="s">
        <v>894</v>
      </c>
      <c r="J42" s="198"/>
      <c r="K42" s="198"/>
      <c r="L42" s="198"/>
      <c r="M42" s="198"/>
      <c r="N42" s="198"/>
      <c r="O42" s="198"/>
    </row>
    <row r="43" spans="2:16" s="147" customFormat="1" ht="11.1" customHeight="1" x14ac:dyDescent="0.2"/>
    <row r="44" spans="2:16" s="147" customFormat="1" ht="11.1" customHeight="1" x14ac:dyDescent="0.2">
      <c r="B44" s="148"/>
      <c r="C44" s="148"/>
      <c r="D44" s="198" t="s">
        <v>893</v>
      </c>
      <c r="E44" s="198"/>
      <c r="F44" s="198"/>
      <c r="G44" s="198"/>
      <c r="I44" s="148"/>
      <c r="J44" s="148"/>
      <c r="K44" s="148"/>
      <c r="L44" s="199" t="s">
        <v>892</v>
      </c>
      <c r="M44" s="199"/>
      <c r="N44" s="199"/>
      <c r="O44" s="199"/>
    </row>
    <row r="45" spans="2:16" s="147" customFormat="1" ht="11.1" customHeight="1" x14ac:dyDescent="0.2"/>
    <row r="46" spans="2:16" s="147" customFormat="1" ht="11.1" customHeight="1" x14ac:dyDescent="0.2">
      <c r="B46" s="147" t="s">
        <v>891</v>
      </c>
      <c r="I46" s="147" t="s">
        <v>891</v>
      </c>
    </row>
    <row r="47" spans="2:16" ht="11.1" customHeight="1" x14ac:dyDescent="0.2"/>
    <row r="48" spans="2:16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</sheetData>
  <mergeCells count="79">
    <mergeCell ref="B42:G42"/>
    <mergeCell ref="I42:O42"/>
    <mergeCell ref="D44:G44"/>
    <mergeCell ref="L44:O44"/>
    <mergeCell ref="B37:G37"/>
    <mergeCell ref="I37:O37"/>
    <mergeCell ref="B38:G38"/>
    <mergeCell ref="B40:G40"/>
    <mergeCell ref="I40:O40"/>
    <mergeCell ref="B34:D34"/>
    <mergeCell ref="E34:F34"/>
    <mergeCell ref="G34:I34"/>
    <mergeCell ref="J34:L34"/>
    <mergeCell ref="B35:D35"/>
    <mergeCell ref="E35:F35"/>
    <mergeCell ref="J35:L35"/>
    <mergeCell ref="C31:D31"/>
    <mergeCell ref="E31:F31"/>
    <mergeCell ref="C32:D32"/>
    <mergeCell ref="G32:I32"/>
    <mergeCell ref="C33:D33"/>
    <mergeCell ref="E33:F33"/>
    <mergeCell ref="C28:D28"/>
    <mergeCell ref="G28:I28"/>
    <mergeCell ref="C29:D29"/>
    <mergeCell ref="E29:F29"/>
    <mergeCell ref="C30:D30"/>
    <mergeCell ref="G30:I30"/>
    <mergeCell ref="C25:D25"/>
    <mergeCell ref="E25:F25"/>
    <mergeCell ref="C26:D26"/>
    <mergeCell ref="G26:I26"/>
    <mergeCell ref="C27:D27"/>
    <mergeCell ref="E27:F27"/>
    <mergeCell ref="C22:D22"/>
    <mergeCell ref="G22:I22"/>
    <mergeCell ref="C23:D23"/>
    <mergeCell ref="E23:F23"/>
    <mergeCell ref="C24:D24"/>
    <mergeCell ref="G24:I24"/>
    <mergeCell ref="C19:D19"/>
    <mergeCell ref="E19:F19"/>
    <mergeCell ref="C20:D20"/>
    <mergeCell ref="G20:I20"/>
    <mergeCell ref="C21:D21"/>
    <mergeCell ref="E21:F21"/>
    <mergeCell ref="C16:D16"/>
    <mergeCell ref="G16:I16"/>
    <mergeCell ref="C17:D17"/>
    <mergeCell ref="E17:F17"/>
    <mergeCell ref="C18:D18"/>
    <mergeCell ref="G18:I18"/>
    <mergeCell ref="C13:D13"/>
    <mergeCell ref="E13:F13"/>
    <mergeCell ref="C14:D14"/>
    <mergeCell ref="G14:I14"/>
    <mergeCell ref="C15:D15"/>
    <mergeCell ref="E15:F15"/>
    <mergeCell ref="C10:D10"/>
    <mergeCell ref="G10:I10"/>
    <mergeCell ref="C11:D11"/>
    <mergeCell ref="E11:F11"/>
    <mergeCell ref="C12:D12"/>
    <mergeCell ref="G12:I12"/>
    <mergeCell ref="O8:P8"/>
    <mergeCell ref="B9:D9"/>
    <mergeCell ref="E9:F9"/>
    <mergeCell ref="J9:L9"/>
    <mergeCell ref="O9:P9"/>
    <mergeCell ref="C8:D8"/>
    <mergeCell ref="E8:F8"/>
    <mergeCell ref="G8:I8"/>
    <mergeCell ref="K8:L8"/>
    <mergeCell ref="M8:N8"/>
    <mergeCell ref="B2:P2"/>
    <mergeCell ref="B3:P3"/>
    <mergeCell ref="B5:P5"/>
    <mergeCell ref="B7:I7"/>
    <mergeCell ref="J7:P7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244"/>
  <sheetViews>
    <sheetView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hidden="1" customWidth="1" outlineLevel="1"/>
    <col min="7" max="7" width="12.7109375" style="1" customWidth="1" collapsed="1"/>
    <col min="8" max="19" width="12.7109375" style="1" customWidth="1"/>
    <col min="20" max="16384" width="10.7109375" style="1"/>
  </cols>
  <sheetData>
    <row r="1" spans="1:19" ht="20.100000000000001" customHeight="1" x14ac:dyDescent="0.25">
      <c r="A1" s="210" t="s">
        <v>0</v>
      </c>
      <c r="B1" s="210" t="s">
        <v>1</v>
      </c>
      <c r="C1" s="210" t="s">
        <v>2</v>
      </c>
      <c r="D1" s="210" t="s">
        <v>3</v>
      </c>
      <c r="E1" s="210"/>
      <c r="F1" s="210" t="s">
        <v>4</v>
      </c>
      <c r="G1" s="201" t="s">
        <v>882</v>
      </c>
      <c r="H1" s="201"/>
      <c r="I1" s="201"/>
      <c r="J1" s="201"/>
      <c r="K1" s="201" t="s">
        <v>883</v>
      </c>
      <c r="L1" s="201" t="s">
        <v>1029</v>
      </c>
      <c r="M1" s="201"/>
      <c r="N1" s="201"/>
      <c r="O1" s="201"/>
      <c r="P1" s="201" t="s">
        <v>883</v>
      </c>
      <c r="Q1" s="201" t="s">
        <v>1030</v>
      </c>
      <c r="R1" s="201"/>
      <c r="S1" s="201"/>
    </row>
    <row r="2" spans="1:19" ht="24.95" customHeight="1" x14ac:dyDescent="0.25">
      <c r="A2" s="210"/>
      <c r="B2" s="210"/>
      <c r="C2" s="210"/>
      <c r="D2" s="210" t="s">
        <v>16</v>
      </c>
      <c r="E2" s="210" t="s">
        <v>17</v>
      </c>
      <c r="F2" s="21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24.95" customHeight="1" x14ac:dyDescent="0.25">
      <c r="A3" s="210"/>
      <c r="B3" s="210"/>
      <c r="C3" s="210"/>
      <c r="D3" s="210"/>
      <c r="E3" s="210"/>
      <c r="F3" s="21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ht="20.100000000000001" customHeight="1" x14ac:dyDescent="0.25">
      <c r="A4" s="210"/>
      <c r="B4" s="210"/>
      <c r="C4" s="210"/>
      <c r="D4" s="210"/>
      <c r="E4" s="210"/>
      <c r="F4" s="210"/>
      <c r="G4" s="145" t="s">
        <v>884</v>
      </c>
      <c r="H4" s="145" t="s">
        <v>885</v>
      </c>
      <c r="I4" s="145" t="s">
        <v>886</v>
      </c>
      <c r="J4" s="145" t="s">
        <v>887</v>
      </c>
      <c r="K4" s="201"/>
      <c r="L4" s="145" t="s">
        <v>884</v>
      </c>
      <c r="M4" s="145" t="s">
        <v>885</v>
      </c>
      <c r="N4" s="145" t="s">
        <v>886</v>
      </c>
      <c r="O4" s="145" t="s">
        <v>887</v>
      </c>
      <c r="P4" s="201"/>
      <c r="Q4" s="178" t="s">
        <v>1031</v>
      </c>
      <c r="R4" s="178" t="s">
        <v>1032</v>
      </c>
      <c r="S4" s="178" t="s">
        <v>1033</v>
      </c>
    </row>
    <row r="5" spans="1:19" ht="12" customHeight="1" x14ac:dyDescent="0.25">
      <c r="A5" s="5">
        <v>1</v>
      </c>
      <c r="B5" s="6" t="s">
        <v>70</v>
      </c>
      <c r="C5" s="7">
        <v>599.6</v>
      </c>
      <c r="D5" s="8">
        <v>599.6</v>
      </c>
      <c r="E5" s="8">
        <v>0</v>
      </c>
      <c r="F5" s="8">
        <v>47.8</v>
      </c>
      <c r="G5" s="17">
        <v>49197.270000000004</v>
      </c>
      <c r="H5" s="17">
        <v>49197.270000000004</v>
      </c>
      <c r="I5" s="17">
        <v>51157.83</v>
      </c>
      <c r="J5" s="17">
        <v>51157.83</v>
      </c>
      <c r="K5" s="110">
        <v>200710.2</v>
      </c>
      <c r="L5" s="17">
        <v>39569.919999999998</v>
      </c>
      <c r="M5" s="17">
        <v>41291.85</v>
      </c>
      <c r="N5" s="17">
        <v>67176.320000000007</v>
      </c>
      <c r="O5" s="17">
        <v>50182.080000000002</v>
      </c>
      <c r="P5" s="110">
        <v>198220.16999999998</v>
      </c>
      <c r="Q5" s="17">
        <v>176328.44</v>
      </c>
      <c r="R5" s="17">
        <v>0</v>
      </c>
      <c r="S5" s="110">
        <v>176328.44</v>
      </c>
    </row>
    <row r="6" spans="1:19" ht="12" customHeight="1" x14ac:dyDescent="0.25">
      <c r="A6" s="5">
        <v>2</v>
      </c>
      <c r="B6" s="6" t="s">
        <v>74</v>
      </c>
      <c r="C6" s="7">
        <v>464.76</v>
      </c>
      <c r="D6" s="8">
        <v>464.76</v>
      </c>
      <c r="E6" s="8">
        <v>0</v>
      </c>
      <c r="F6" s="8">
        <v>59.3</v>
      </c>
      <c r="G6" s="17">
        <v>38133.600000000006</v>
      </c>
      <c r="H6" s="17">
        <v>38133.600000000006</v>
      </c>
      <c r="I6" s="17">
        <v>39653.31</v>
      </c>
      <c r="J6" s="17">
        <v>39653.31</v>
      </c>
      <c r="K6" s="110">
        <v>155573.82</v>
      </c>
      <c r="L6" s="17">
        <v>45792.55</v>
      </c>
      <c r="M6" s="17">
        <v>35729.17</v>
      </c>
      <c r="N6" s="17">
        <v>23586.89</v>
      </c>
      <c r="O6" s="17">
        <v>26245.440000000002</v>
      </c>
      <c r="P6" s="110">
        <v>131354.04999999999</v>
      </c>
      <c r="Q6" s="17">
        <v>112039.07</v>
      </c>
      <c r="R6" s="17">
        <v>0</v>
      </c>
      <c r="S6" s="110">
        <v>112039.07</v>
      </c>
    </row>
    <row r="7" spans="1:19" ht="12" customHeight="1" x14ac:dyDescent="0.25">
      <c r="A7" s="5">
        <v>3</v>
      </c>
      <c r="B7" s="6" t="s">
        <v>75</v>
      </c>
      <c r="C7" s="7">
        <v>490.28</v>
      </c>
      <c r="D7" s="8">
        <v>490.28</v>
      </c>
      <c r="E7" s="8">
        <v>0</v>
      </c>
      <c r="F7" s="8">
        <v>67.7</v>
      </c>
      <c r="G7" s="17">
        <v>40227.51</v>
      </c>
      <c r="H7" s="17">
        <v>40227.51</v>
      </c>
      <c r="I7" s="17">
        <v>41830.68</v>
      </c>
      <c r="J7" s="17">
        <v>41830.68</v>
      </c>
      <c r="K7" s="110">
        <v>164116.38</v>
      </c>
      <c r="L7" s="17">
        <v>37859.67</v>
      </c>
      <c r="M7" s="17">
        <v>43271.4</v>
      </c>
      <c r="N7" s="17">
        <v>44216.350000000006</v>
      </c>
      <c r="O7" s="17">
        <v>41876.76</v>
      </c>
      <c r="P7" s="110">
        <v>167224.18000000002</v>
      </c>
      <c r="Q7" s="17">
        <v>13835.06</v>
      </c>
      <c r="R7" s="17">
        <v>0</v>
      </c>
      <c r="S7" s="110">
        <v>13835.06</v>
      </c>
    </row>
    <row r="8" spans="1:19" ht="12" customHeight="1" x14ac:dyDescent="0.25">
      <c r="A8" s="5">
        <v>4</v>
      </c>
      <c r="B8" s="6" t="s">
        <v>76</v>
      </c>
      <c r="C8" s="7">
        <v>1544.17</v>
      </c>
      <c r="D8" s="8">
        <v>1279.77</v>
      </c>
      <c r="E8" s="8">
        <v>264.39999999999998</v>
      </c>
      <c r="F8" s="8">
        <v>217.8</v>
      </c>
      <c r="G8" s="17">
        <v>105005.16</v>
      </c>
      <c r="H8" s="17">
        <v>105005.16</v>
      </c>
      <c r="I8" s="17">
        <v>109189.9</v>
      </c>
      <c r="J8" s="17">
        <v>109189.88999999998</v>
      </c>
      <c r="K8" s="110">
        <v>428390.11</v>
      </c>
      <c r="L8" s="17">
        <v>56281.799999999996</v>
      </c>
      <c r="M8" s="17">
        <v>65281.87</v>
      </c>
      <c r="N8" s="17">
        <v>77623.850000000006</v>
      </c>
      <c r="O8" s="17">
        <v>72750.69</v>
      </c>
      <c r="P8" s="110">
        <v>271938.21000000002</v>
      </c>
      <c r="Q8" s="17">
        <v>1089542.1100000001</v>
      </c>
      <c r="R8" s="17">
        <v>0</v>
      </c>
      <c r="S8" s="110">
        <v>1089542.1100000001</v>
      </c>
    </row>
    <row r="9" spans="1:19" ht="12" customHeight="1" x14ac:dyDescent="0.25">
      <c r="A9" s="5">
        <v>5</v>
      </c>
      <c r="B9" s="6" t="s">
        <v>77</v>
      </c>
      <c r="C9" s="7">
        <v>543.29999999999995</v>
      </c>
      <c r="D9" s="8">
        <v>543.29999999999995</v>
      </c>
      <c r="E9" s="8">
        <v>0</v>
      </c>
      <c r="F9" s="8">
        <v>84.8</v>
      </c>
      <c r="G9" s="17">
        <v>44577.87</v>
      </c>
      <c r="H9" s="17">
        <v>44577.87</v>
      </c>
      <c r="I9" s="17">
        <v>46354.350000000006</v>
      </c>
      <c r="J9" s="17">
        <v>46354.350000000006</v>
      </c>
      <c r="K9" s="110">
        <v>181864.44000000003</v>
      </c>
      <c r="L9" s="17">
        <v>44565.789999999994</v>
      </c>
      <c r="M9" s="17">
        <v>43130.229999999996</v>
      </c>
      <c r="N9" s="17">
        <v>45922.66</v>
      </c>
      <c r="O9" s="17">
        <v>53619.14</v>
      </c>
      <c r="P9" s="110">
        <v>187237.82</v>
      </c>
      <c r="Q9" s="17">
        <v>13071.58</v>
      </c>
      <c r="R9" s="17">
        <v>116.49</v>
      </c>
      <c r="S9" s="110">
        <v>12955.09</v>
      </c>
    </row>
    <row r="10" spans="1:19" ht="12" customHeight="1" x14ac:dyDescent="0.25">
      <c r="A10" s="5">
        <v>6</v>
      </c>
      <c r="B10" s="6" t="s">
        <v>78</v>
      </c>
      <c r="C10" s="7">
        <v>724.96</v>
      </c>
      <c r="D10" s="8">
        <v>724.96</v>
      </c>
      <c r="E10" s="8">
        <v>0</v>
      </c>
      <c r="F10" s="8">
        <v>94.7</v>
      </c>
      <c r="G10" s="17">
        <v>59483.16</v>
      </c>
      <c r="H10" s="17">
        <v>59483.16</v>
      </c>
      <c r="I10" s="17">
        <v>61853.62000000001</v>
      </c>
      <c r="J10" s="17">
        <v>61853.64</v>
      </c>
      <c r="K10" s="110">
        <v>242673.58000000002</v>
      </c>
      <c r="L10" s="17">
        <v>46530.32</v>
      </c>
      <c r="M10" s="17">
        <v>53577.64</v>
      </c>
      <c r="N10" s="17">
        <v>55679.180000000008</v>
      </c>
      <c r="O10" s="17">
        <v>61196.05</v>
      </c>
      <c r="P10" s="110">
        <v>216983.19</v>
      </c>
      <c r="Q10" s="17">
        <v>91458.39</v>
      </c>
      <c r="R10" s="17">
        <v>2645.81</v>
      </c>
      <c r="S10" s="110">
        <v>88812.58</v>
      </c>
    </row>
    <row r="11" spans="1:19" ht="12" customHeight="1" x14ac:dyDescent="0.25">
      <c r="A11" s="5">
        <v>7</v>
      </c>
      <c r="B11" s="6" t="s">
        <v>79</v>
      </c>
      <c r="C11" s="7">
        <v>1102.18</v>
      </c>
      <c r="D11" s="8">
        <v>1102.18</v>
      </c>
      <c r="E11" s="8">
        <v>0</v>
      </c>
      <c r="F11" s="8">
        <v>139.9</v>
      </c>
      <c r="G11" s="17">
        <v>90433.98</v>
      </c>
      <c r="H11" s="17">
        <v>90433.98</v>
      </c>
      <c r="I11" s="17">
        <v>94038</v>
      </c>
      <c r="J11" s="17">
        <v>94038</v>
      </c>
      <c r="K11" s="110">
        <v>368943.95999999996</v>
      </c>
      <c r="L11" s="17">
        <v>70092.319999999992</v>
      </c>
      <c r="M11" s="17">
        <v>73327.87</v>
      </c>
      <c r="N11" s="17">
        <v>73753.009999999995</v>
      </c>
      <c r="O11" s="17">
        <v>81288.31</v>
      </c>
      <c r="P11" s="110">
        <v>298461.51</v>
      </c>
      <c r="Q11" s="17">
        <v>631741.31000000006</v>
      </c>
      <c r="R11" s="17">
        <v>1843.87</v>
      </c>
      <c r="S11" s="110">
        <v>629897.44000000006</v>
      </c>
    </row>
    <row r="12" spans="1:19" ht="12" customHeight="1" x14ac:dyDescent="0.25">
      <c r="A12" s="5">
        <v>8</v>
      </c>
      <c r="B12" s="6" t="s">
        <v>80</v>
      </c>
      <c r="C12" s="7">
        <v>1647.35</v>
      </c>
      <c r="D12" s="8">
        <v>1311.85</v>
      </c>
      <c r="E12" s="8">
        <v>335.5</v>
      </c>
      <c r="F12" s="8">
        <v>230.1</v>
      </c>
      <c r="G12" s="17">
        <v>107637.42</v>
      </c>
      <c r="H12" s="17">
        <v>107637.42</v>
      </c>
      <c r="I12" s="17">
        <v>111927.06</v>
      </c>
      <c r="J12" s="17">
        <v>111927.06</v>
      </c>
      <c r="K12" s="110">
        <v>439128.96</v>
      </c>
      <c r="L12" s="17">
        <v>100965.43</v>
      </c>
      <c r="M12" s="17">
        <v>131834.20000000001</v>
      </c>
      <c r="N12" s="17">
        <v>111428.20999999999</v>
      </c>
      <c r="O12" s="17">
        <v>112105.20000000001</v>
      </c>
      <c r="P12" s="110">
        <v>456333.04</v>
      </c>
      <c r="Q12" s="17">
        <v>115417.77</v>
      </c>
      <c r="R12" s="17">
        <v>97.58</v>
      </c>
      <c r="S12" s="110">
        <v>115320.19</v>
      </c>
    </row>
    <row r="13" spans="1:19" ht="12" customHeight="1" x14ac:dyDescent="0.25">
      <c r="A13" s="5">
        <v>9</v>
      </c>
      <c r="B13" s="6" t="s">
        <v>81</v>
      </c>
      <c r="C13" s="7">
        <v>553.4</v>
      </c>
      <c r="D13" s="8">
        <v>553.4</v>
      </c>
      <c r="E13" s="8">
        <v>0</v>
      </c>
      <c r="F13" s="8">
        <v>82.8</v>
      </c>
      <c r="G13" s="17">
        <v>45406.590000000004</v>
      </c>
      <c r="H13" s="17">
        <v>45406.590000000004</v>
      </c>
      <c r="I13" s="17">
        <v>47216.100000000006</v>
      </c>
      <c r="J13" s="17">
        <v>47216.100000000006</v>
      </c>
      <c r="K13" s="110">
        <v>185245.38000000003</v>
      </c>
      <c r="L13" s="17">
        <v>43944.21</v>
      </c>
      <c r="M13" s="17">
        <v>42624.850000000006</v>
      </c>
      <c r="N13" s="17">
        <v>41503.43</v>
      </c>
      <c r="O13" s="17">
        <v>54425.319999999992</v>
      </c>
      <c r="P13" s="110">
        <v>182497.81</v>
      </c>
      <c r="Q13" s="17">
        <v>80302.95</v>
      </c>
      <c r="R13" s="17">
        <v>0</v>
      </c>
      <c r="S13" s="110">
        <v>80302.95</v>
      </c>
    </row>
    <row r="14" spans="1:19" ht="12" customHeight="1" x14ac:dyDescent="0.25">
      <c r="A14" s="5">
        <v>10</v>
      </c>
      <c r="B14" s="6" t="s">
        <v>82</v>
      </c>
      <c r="C14" s="7">
        <v>2262.31</v>
      </c>
      <c r="D14" s="8">
        <v>2262.31</v>
      </c>
      <c r="E14" s="8">
        <v>0</v>
      </c>
      <c r="F14" s="8">
        <v>484.5</v>
      </c>
      <c r="G14" s="17">
        <v>269780.84999999998</v>
      </c>
      <c r="H14" s="17">
        <v>269780.84999999998</v>
      </c>
      <c r="I14" s="17">
        <v>280571.78999999998</v>
      </c>
      <c r="J14" s="17">
        <v>280571.78999999998</v>
      </c>
      <c r="K14" s="110">
        <v>1100705.28</v>
      </c>
      <c r="L14" s="17">
        <v>246725.32</v>
      </c>
      <c r="M14" s="17">
        <v>260061.09999999998</v>
      </c>
      <c r="N14" s="17">
        <v>260095.87</v>
      </c>
      <c r="O14" s="17">
        <v>288555.40000000002</v>
      </c>
      <c r="P14" s="110">
        <v>1055437.69</v>
      </c>
      <c r="Q14" s="17">
        <v>172010.53</v>
      </c>
      <c r="R14" s="17">
        <v>2182.8200000000002</v>
      </c>
      <c r="S14" s="110">
        <v>169827.71</v>
      </c>
    </row>
    <row r="15" spans="1:19" ht="12" customHeight="1" x14ac:dyDescent="0.25">
      <c r="A15" s="5">
        <v>11</v>
      </c>
      <c r="B15" s="6" t="s">
        <v>84</v>
      </c>
      <c r="C15" s="7">
        <v>2252</v>
      </c>
      <c r="D15" s="8">
        <v>2252</v>
      </c>
      <c r="E15" s="8">
        <v>0</v>
      </c>
      <c r="F15" s="8">
        <v>485.9</v>
      </c>
      <c r="G15" s="17">
        <v>268551.33</v>
      </c>
      <c r="H15" s="17">
        <v>268551.33</v>
      </c>
      <c r="I15" s="17">
        <v>279293.07</v>
      </c>
      <c r="J15" s="17">
        <v>279293.07</v>
      </c>
      <c r="K15" s="110">
        <v>1095688.8</v>
      </c>
      <c r="L15" s="17">
        <v>239651.83000000002</v>
      </c>
      <c r="M15" s="17">
        <v>260253.74</v>
      </c>
      <c r="N15" s="17">
        <v>266238.55000000005</v>
      </c>
      <c r="O15" s="17">
        <v>310022.12</v>
      </c>
      <c r="P15" s="110">
        <v>1076166.2400000002</v>
      </c>
      <c r="Q15" s="17">
        <v>195088.25</v>
      </c>
      <c r="R15" s="17">
        <v>848.72</v>
      </c>
      <c r="S15" s="110">
        <v>194239.53</v>
      </c>
    </row>
    <row r="16" spans="1:19" ht="12" customHeight="1" x14ac:dyDescent="0.25">
      <c r="A16" s="5">
        <v>12</v>
      </c>
      <c r="B16" s="6" t="s">
        <v>85</v>
      </c>
      <c r="C16" s="7">
        <v>2252.2800000000002</v>
      </c>
      <c r="D16" s="8">
        <v>2252.2800000000002</v>
      </c>
      <c r="E16" s="8">
        <v>0</v>
      </c>
      <c r="F16" s="8">
        <v>485.9</v>
      </c>
      <c r="G16" s="17">
        <v>268584.81</v>
      </c>
      <c r="H16" s="17">
        <v>268584.81</v>
      </c>
      <c r="I16" s="17">
        <v>279327.83999999997</v>
      </c>
      <c r="J16" s="17">
        <v>279327.83999999997</v>
      </c>
      <c r="K16" s="110">
        <v>1095825.2999999998</v>
      </c>
      <c r="L16" s="17">
        <v>228643.68000000002</v>
      </c>
      <c r="M16" s="17">
        <v>242117.58000000002</v>
      </c>
      <c r="N16" s="17">
        <v>250625.34</v>
      </c>
      <c r="O16" s="17">
        <v>275271.15000000002</v>
      </c>
      <c r="P16" s="110">
        <v>996657.75</v>
      </c>
      <c r="Q16" s="17">
        <v>685862.37</v>
      </c>
      <c r="R16" s="17">
        <v>14.22</v>
      </c>
      <c r="S16" s="110">
        <v>685848.15</v>
      </c>
    </row>
    <row r="17" spans="1:19" ht="12" customHeight="1" x14ac:dyDescent="0.25">
      <c r="A17" s="5">
        <v>13</v>
      </c>
      <c r="B17" s="6" t="s">
        <v>86</v>
      </c>
      <c r="C17" s="7">
        <v>546.05999999999995</v>
      </c>
      <c r="D17" s="8">
        <v>546.05999999999995</v>
      </c>
      <c r="E17" s="8">
        <v>0</v>
      </c>
      <c r="F17" s="8">
        <v>89.7</v>
      </c>
      <c r="G17" s="17">
        <v>44804.37</v>
      </c>
      <c r="H17" s="17">
        <v>44804.37</v>
      </c>
      <c r="I17" s="17">
        <v>46589.79</v>
      </c>
      <c r="J17" s="17">
        <v>46589.79</v>
      </c>
      <c r="K17" s="110">
        <v>182788.32</v>
      </c>
      <c r="L17" s="17">
        <v>61670.979999999996</v>
      </c>
      <c r="M17" s="17">
        <v>39903.880000000005</v>
      </c>
      <c r="N17" s="17">
        <v>44472.92</v>
      </c>
      <c r="O17" s="17">
        <v>56033.659999999996</v>
      </c>
      <c r="P17" s="110">
        <v>202081.44</v>
      </c>
      <c r="Q17" s="17">
        <v>26019.01</v>
      </c>
      <c r="R17" s="17">
        <v>10771.94</v>
      </c>
      <c r="S17" s="110">
        <v>15247.069999999998</v>
      </c>
    </row>
    <row r="18" spans="1:19" ht="12" customHeight="1" x14ac:dyDescent="0.25">
      <c r="A18" s="5">
        <v>14</v>
      </c>
      <c r="B18" s="6" t="s">
        <v>88</v>
      </c>
      <c r="C18" s="7">
        <v>560.67999999999995</v>
      </c>
      <c r="D18" s="8">
        <v>560.67999999999995</v>
      </c>
      <c r="E18" s="8">
        <v>0</v>
      </c>
      <c r="F18" s="8">
        <v>100</v>
      </c>
      <c r="G18" s="17">
        <v>46003.95</v>
      </c>
      <c r="H18" s="17">
        <v>46003.95</v>
      </c>
      <c r="I18" s="17">
        <v>47837.22</v>
      </c>
      <c r="J18" s="17">
        <v>47837.22</v>
      </c>
      <c r="K18" s="110">
        <v>187682.34</v>
      </c>
      <c r="L18" s="17">
        <v>39943.61</v>
      </c>
      <c r="M18" s="17">
        <v>42169.82</v>
      </c>
      <c r="N18" s="17">
        <v>41981.270000000004</v>
      </c>
      <c r="O18" s="17">
        <v>45018.33</v>
      </c>
      <c r="P18" s="110">
        <v>169113.03</v>
      </c>
      <c r="Q18" s="17">
        <v>99000.25</v>
      </c>
      <c r="R18" s="17">
        <v>0</v>
      </c>
      <c r="S18" s="110">
        <v>99000.25</v>
      </c>
    </row>
    <row r="19" spans="1:19" ht="12" customHeight="1" x14ac:dyDescent="0.25">
      <c r="A19" s="5">
        <v>15</v>
      </c>
      <c r="B19" s="6" t="s">
        <v>89</v>
      </c>
      <c r="C19" s="7">
        <v>642.20000000000005</v>
      </c>
      <c r="D19" s="8">
        <v>642.20000000000005</v>
      </c>
      <c r="E19" s="8">
        <v>0</v>
      </c>
      <c r="F19" s="8">
        <v>65.400000000000006</v>
      </c>
      <c r="G19" s="17">
        <v>52692.63</v>
      </c>
      <c r="H19" s="17">
        <v>52692.63</v>
      </c>
      <c r="I19" s="17">
        <v>54792.54</v>
      </c>
      <c r="J19" s="17">
        <v>54792.54</v>
      </c>
      <c r="K19" s="110">
        <v>214970.34</v>
      </c>
      <c r="L19" s="17">
        <v>36948.47</v>
      </c>
      <c r="M19" s="17">
        <v>43443.59</v>
      </c>
      <c r="N19" s="17">
        <v>43644.04</v>
      </c>
      <c r="O19" s="17">
        <v>45354.61</v>
      </c>
      <c r="P19" s="110">
        <v>169390.71000000002</v>
      </c>
      <c r="Q19" s="17">
        <v>234343.49</v>
      </c>
      <c r="R19" s="17">
        <v>0</v>
      </c>
      <c r="S19" s="110">
        <v>234343.49</v>
      </c>
    </row>
    <row r="20" spans="1:19" ht="12" customHeight="1" x14ac:dyDescent="0.25">
      <c r="A20" s="5">
        <v>16</v>
      </c>
      <c r="B20" s="6" t="s">
        <v>90</v>
      </c>
      <c r="C20" s="7">
        <v>646.79999999999995</v>
      </c>
      <c r="D20" s="8">
        <v>646.79999999999995</v>
      </c>
      <c r="E20" s="8">
        <v>0</v>
      </c>
      <c r="F20" s="8">
        <v>65.400000000000006</v>
      </c>
      <c r="G20" s="17">
        <v>53070.09</v>
      </c>
      <c r="H20" s="17">
        <v>53070.09</v>
      </c>
      <c r="I20" s="17">
        <v>55185.03</v>
      </c>
      <c r="J20" s="17">
        <v>55185.03</v>
      </c>
      <c r="K20" s="110">
        <v>216510.24</v>
      </c>
      <c r="L20" s="17">
        <v>47989.979999999996</v>
      </c>
      <c r="M20" s="17">
        <v>48474.22</v>
      </c>
      <c r="N20" s="17">
        <v>52770.789999999994</v>
      </c>
      <c r="O20" s="17">
        <v>60128.69</v>
      </c>
      <c r="P20" s="110">
        <v>209363.68</v>
      </c>
      <c r="Q20" s="17">
        <v>64481.279999999999</v>
      </c>
      <c r="R20" s="17">
        <v>0</v>
      </c>
      <c r="S20" s="110">
        <v>64481.279999999999</v>
      </c>
    </row>
    <row r="21" spans="1:19" ht="12" customHeight="1" x14ac:dyDescent="0.25">
      <c r="A21" s="5">
        <v>17</v>
      </c>
      <c r="B21" s="6" t="s">
        <v>91</v>
      </c>
      <c r="C21" s="7">
        <v>633</v>
      </c>
      <c r="D21" s="8">
        <v>633</v>
      </c>
      <c r="E21" s="8">
        <v>0</v>
      </c>
      <c r="F21" s="8">
        <v>65.400000000000006</v>
      </c>
      <c r="G21" s="17">
        <v>51937.740000000005</v>
      </c>
      <c r="H21" s="17">
        <v>51937.740000000005</v>
      </c>
      <c r="I21" s="17">
        <v>54007.59</v>
      </c>
      <c r="J21" s="17">
        <v>54007.59</v>
      </c>
      <c r="K21" s="110">
        <v>211890.66</v>
      </c>
      <c r="L21" s="17">
        <v>39694.909999999996</v>
      </c>
      <c r="M21" s="17">
        <v>51584.630000000005</v>
      </c>
      <c r="N21" s="17">
        <v>53394.100000000006</v>
      </c>
      <c r="O21" s="17">
        <v>63575.26</v>
      </c>
      <c r="P21" s="110">
        <v>208248.90000000002</v>
      </c>
      <c r="Q21" s="17">
        <v>75609.320000000007</v>
      </c>
      <c r="R21" s="17">
        <v>13.26</v>
      </c>
      <c r="S21" s="110">
        <v>75596.060000000012</v>
      </c>
    </row>
    <row r="22" spans="1:19" ht="12" customHeight="1" x14ac:dyDescent="0.25">
      <c r="A22" s="5">
        <v>18</v>
      </c>
      <c r="B22" s="6" t="s">
        <v>92</v>
      </c>
      <c r="C22" s="7">
        <v>604.79999999999995</v>
      </c>
      <c r="D22" s="8">
        <v>604.79999999999995</v>
      </c>
      <c r="E22" s="8">
        <v>0</v>
      </c>
      <c r="F22" s="8">
        <v>67.400000000000006</v>
      </c>
      <c r="G22" s="17">
        <v>49623.930000000008</v>
      </c>
      <c r="H22" s="17">
        <v>49623.930000000008</v>
      </c>
      <c r="I22" s="17">
        <v>51601.440000000002</v>
      </c>
      <c r="J22" s="17">
        <v>51601.440000000002</v>
      </c>
      <c r="K22" s="110">
        <v>202450.74000000002</v>
      </c>
      <c r="L22" s="17">
        <v>40311.51</v>
      </c>
      <c r="M22" s="17">
        <v>64703.380000000005</v>
      </c>
      <c r="N22" s="17">
        <v>46103.840000000004</v>
      </c>
      <c r="O22" s="17">
        <v>53455.630000000005</v>
      </c>
      <c r="P22" s="110">
        <v>204574.36000000002</v>
      </c>
      <c r="Q22" s="17">
        <v>91091.71</v>
      </c>
      <c r="R22" s="17">
        <v>29.92</v>
      </c>
      <c r="S22" s="110">
        <v>91061.790000000008</v>
      </c>
    </row>
    <row r="23" spans="1:19" ht="12" customHeight="1" x14ac:dyDescent="0.25">
      <c r="A23" s="5">
        <v>19</v>
      </c>
      <c r="B23" s="6" t="s">
        <v>93</v>
      </c>
      <c r="C23" s="7">
        <v>1021.96</v>
      </c>
      <c r="D23" s="8">
        <v>1021.96</v>
      </c>
      <c r="E23" s="8">
        <v>0</v>
      </c>
      <c r="F23" s="8">
        <v>90.7</v>
      </c>
      <c r="G23" s="17">
        <v>83851.89</v>
      </c>
      <c r="H23" s="17">
        <v>83851.89</v>
      </c>
      <c r="I23" s="17">
        <v>87193.65</v>
      </c>
      <c r="J23" s="17">
        <v>87193.65</v>
      </c>
      <c r="K23" s="110">
        <v>342091.07999999996</v>
      </c>
      <c r="L23" s="17">
        <v>73773.600000000006</v>
      </c>
      <c r="M23" s="17">
        <v>72338.329999999987</v>
      </c>
      <c r="N23" s="17">
        <v>74308.88</v>
      </c>
      <c r="O23" s="17">
        <v>90043.28</v>
      </c>
      <c r="P23" s="110">
        <v>310464.08999999997</v>
      </c>
      <c r="Q23" s="17">
        <v>114913.74</v>
      </c>
      <c r="R23" s="17">
        <v>0.16</v>
      </c>
      <c r="S23" s="110">
        <v>114913.58</v>
      </c>
    </row>
    <row r="24" spans="1:19" ht="12" customHeight="1" x14ac:dyDescent="0.25">
      <c r="A24" s="5">
        <v>20</v>
      </c>
      <c r="B24" s="6" t="s">
        <v>94</v>
      </c>
      <c r="C24" s="7">
        <v>385.6</v>
      </c>
      <c r="D24" s="8">
        <v>385.6</v>
      </c>
      <c r="E24" s="8">
        <v>0</v>
      </c>
      <c r="F24" s="8">
        <v>54.9</v>
      </c>
      <c r="G24" s="17">
        <v>0</v>
      </c>
      <c r="H24" s="17">
        <v>0</v>
      </c>
      <c r="I24" s="17">
        <v>0</v>
      </c>
      <c r="J24" s="17">
        <v>0</v>
      </c>
      <c r="K24" s="110">
        <v>0</v>
      </c>
      <c r="L24" s="17">
        <v>0</v>
      </c>
      <c r="M24" s="17">
        <v>0</v>
      </c>
      <c r="N24" s="17">
        <v>0</v>
      </c>
      <c r="O24" s="17">
        <v>0</v>
      </c>
      <c r="P24" s="110">
        <v>0</v>
      </c>
      <c r="Q24" s="17">
        <v>0</v>
      </c>
      <c r="R24" s="17">
        <v>0</v>
      </c>
      <c r="S24" s="110">
        <v>0</v>
      </c>
    </row>
    <row r="25" spans="1:19" ht="12" customHeight="1" x14ac:dyDescent="0.25">
      <c r="A25" s="5">
        <v>21</v>
      </c>
      <c r="B25" s="6" t="s">
        <v>96</v>
      </c>
      <c r="C25" s="7">
        <v>385.6</v>
      </c>
      <c r="D25" s="8">
        <v>385.6</v>
      </c>
      <c r="E25" s="8">
        <v>0</v>
      </c>
      <c r="F25" s="8">
        <v>54.9</v>
      </c>
      <c r="G25" s="17">
        <v>0</v>
      </c>
      <c r="H25" s="17">
        <v>0</v>
      </c>
      <c r="I25" s="17">
        <v>0</v>
      </c>
      <c r="J25" s="17">
        <v>0</v>
      </c>
      <c r="K25" s="110">
        <v>0</v>
      </c>
      <c r="L25" s="17">
        <v>0</v>
      </c>
      <c r="M25" s="17">
        <v>0</v>
      </c>
      <c r="N25" s="17">
        <v>0</v>
      </c>
      <c r="O25" s="17">
        <v>0</v>
      </c>
      <c r="P25" s="110">
        <v>0</v>
      </c>
      <c r="Q25" s="17">
        <v>0</v>
      </c>
      <c r="R25" s="17">
        <v>0</v>
      </c>
      <c r="S25" s="110">
        <v>0</v>
      </c>
    </row>
    <row r="26" spans="1:19" ht="12" customHeight="1" x14ac:dyDescent="0.25">
      <c r="A26" s="5">
        <v>22</v>
      </c>
      <c r="B26" s="6" t="s">
        <v>97</v>
      </c>
      <c r="C26" s="7">
        <v>10450.300000000001</v>
      </c>
      <c r="D26" s="8">
        <v>9759.6</v>
      </c>
      <c r="E26" s="8">
        <v>690.7</v>
      </c>
      <c r="F26" s="8">
        <v>2001.5</v>
      </c>
      <c r="G26" s="17">
        <v>1175281.06</v>
      </c>
      <c r="H26" s="17">
        <v>1163964.76</v>
      </c>
      <c r="I26" s="17">
        <v>1210385.94</v>
      </c>
      <c r="J26" s="17">
        <v>1210385.94</v>
      </c>
      <c r="K26" s="110">
        <v>4760017.7</v>
      </c>
      <c r="L26" s="17">
        <v>1025064.99</v>
      </c>
      <c r="M26" s="17">
        <v>1187496.58</v>
      </c>
      <c r="N26" s="17">
        <v>1149022.8500000001</v>
      </c>
      <c r="O26" s="17">
        <v>1387873.06</v>
      </c>
      <c r="P26" s="110">
        <v>4749457.4800000004</v>
      </c>
      <c r="Q26" s="17">
        <v>574602.89</v>
      </c>
      <c r="R26" s="17">
        <v>8435.43</v>
      </c>
      <c r="S26" s="110">
        <v>566167.46</v>
      </c>
    </row>
    <row r="27" spans="1:19" ht="12" customHeight="1" x14ac:dyDescent="0.25">
      <c r="A27" s="5">
        <v>23</v>
      </c>
      <c r="B27" s="6" t="s">
        <v>99</v>
      </c>
      <c r="C27" s="7">
        <v>3844.53</v>
      </c>
      <c r="D27" s="8">
        <v>3633.53</v>
      </c>
      <c r="E27" s="8">
        <v>211</v>
      </c>
      <c r="F27" s="8">
        <v>808.1</v>
      </c>
      <c r="G27" s="17">
        <v>433299.03</v>
      </c>
      <c r="H27" s="17">
        <v>433299.03</v>
      </c>
      <c r="I27" s="17">
        <v>450630.51</v>
      </c>
      <c r="J27" s="17">
        <v>450630.51</v>
      </c>
      <c r="K27" s="110">
        <v>1767859.08</v>
      </c>
      <c r="L27" s="17">
        <v>370668.42000000004</v>
      </c>
      <c r="M27" s="17">
        <v>461894.92000000004</v>
      </c>
      <c r="N27" s="17">
        <v>444183.4</v>
      </c>
      <c r="O27" s="17">
        <v>473040.73</v>
      </c>
      <c r="P27" s="110">
        <v>1749787.4700000002</v>
      </c>
      <c r="Q27" s="17">
        <v>399980.91</v>
      </c>
      <c r="R27" s="17">
        <v>1.42</v>
      </c>
      <c r="S27" s="110">
        <v>399979.49</v>
      </c>
    </row>
    <row r="28" spans="1:19" ht="12" customHeight="1" x14ac:dyDescent="0.25">
      <c r="A28" s="5">
        <v>24</v>
      </c>
      <c r="B28" s="6" t="s">
        <v>100</v>
      </c>
      <c r="C28" s="7">
        <v>8950.7999999999993</v>
      </c>
      <c r="D28" s="8">
        <v>8950.7999999999993</v>
      </c>
      <c r="E28" s="8">
        <v>0</v>
      </c>
      <c r="F28" s="8">
        <v>1174.4000000000001</v>
      </c>
      <c r="G28" s="17">
        <v>1061206.74</v>
      </c>
      <c r="H28" s="17">
        <v>992751.96</v>
      </c>
      <c r="I28" s="17">
        <v>1103633.6400000001</v>
      </c>
      <c r="J28" s="17">
        <v>1103633.6400000001</v>
      </c>
      <c r="K28" s="110">
        <v>4261225.9800000004</v>
      </c>
      <c r="L28" s="17">
        <v>941540.53</v>
      </c>
      <c r="M28" s="17">
        <v>965652.6100000001</v>
      </c>
      <c r="N28" s="17">
        <v>1052479.54</v>
      </c>
      <c r="O28" s="17">
        <v>1213251.83</v>
      </c>
      <c r="P28" s="110">
        <v>4172924.5100000002</v>
      </c>
      <c r="Q28" s="17">
        <v>680700.67</v>
      </c>
      <c r="R28" s="17">
        <v>1173.4000000000001</v>
      </c>
      <c r="S28" s="110">
        <v>679527.27</v>
      </c>
    </row>
    <row r="29" spans="1:19" ht="12" customHeight="1" x14ac:dyDescent="0.25">
      <c r="A29" s="5">
        <v>25</v>
      </c>
      <c r="B29" s="6" t="s">
        <v>101</v>
      </c>
      <c r="C29" s="7">
        <v>3811.9</v>
      </c>
      <c r="D29" s="8">
        <v>3811.9</v>
      </c>
      <c r="E29" s="8">
        <v>0</v>
      </c>
      <c r="F29" s="8">
        <v>523.44000000000005</v>
      </c>
      <c r="G29" s="108">
        <v>420262.56204825459</v>
      </c>
      <c r="H29" s="108">
        <v>419438.32121123571</v>
      </c>
      <c r="I29" s="108">
        <v>420262.56204825459</v>
      </c>
      <c r="J29" s="108">
        <v>420262.56204825459</v>
      </c>
      <c r="K29" s="141">
        <v>1680226.0073559994</v>
      </c>
      <c r="L29" s="108">
        <v>376683.48142460373</v>
      </c>
      <c r="M29" s="108">
        <v>411096.84719370294</v>
      </c>
      <c r="N29" s="108">
        <v>411873.26115924277</v>
      </c>
      <c r="O29" s="108">
        <v>442115.43332648865</v>
      </c>
      <c r="P29" s="141">
        <v>1641769.0231040381</v>
      </c>
      <c r="Q29" s="108">
        <v>394760.65</v>
      </c>
      <c r="R29" s="108">
        <v>8452.75</v>
      </c>
      <c r="S29" s="141">
        <v>193830.23798373085</v>
      </c>
    </row>
    <row r="30" spans="1:19" ht="12" customHeight="1" x14ac:dyDescent="0.25">
      <c r="A30" s="5">
        <v>26</v>
      </c>
      <c r="B30" s="6" t="s">
        <v>103</v>
      </c>
      <c r="C30" s="7">
        <v>3817.2000000000003</v>
      </c>
      <c r="D30" s="8">
        <v>3785.3</v>
      </c>
      <c r="E30" s="8">
        <v>31.9</v>
      </c>
      <c r="F30" s="8">
        <v>524.16</v>
      </c>
      <c r="G30" s="108">
        <v>417329.90795174532</v>
      </c>
      <c r="H30" s="108">
        <v>416511.41878876428</v>
      </c>
      <c r="I30" s="108">
        <v>417329.90795174532</v>
      </c>
      <c r="J30" s="108">
        <v>417329.90795174532</v>
      </c>
      <c r="K30" s="141">
        <v>1668501.1426440002</v>
      </c>
      <c r="L30" s="108">
        <v>374054.92857539619</v>
      </c>
      <c r="M30" s="108">
        <v>408228.15280629706</v>
      </c>
      <c r="N30" s="108">
        <v>408999.14884075709</v>
      </c>
      <c r="O30" s="108">
        <v>439030.28667351126</v>
      </c>
      <c r="P30" s="141">
        <v>1630312.5168959615</v>
      </c>
      <c r="Q30" s="17">
        <v>0</v>
      </c>
      <c r="R30" s="17">
        <v>0</v>
      </c>
      <c r="S30" s="141">
        <v>192477.66201626917</v>
      </c>
    </row>
    <row r="31" spans="1:19" ht="12" customHeight="1" x14ac:dyDescent="0.25">
      <c r="A31" s="5">
        <v>27</v>
      </c>
      <c r="B31" s="6" t="s">
        <v>104</v>
      </c>
      <c r="C31" s="7">
        <v>8096.3</v>
      </c>
      <c r="D31" s="8">
        <v>7660</v>
      </c>
      <c r="E31" s="8">
        <v>436.3</v>
      </c>
      <c r="F31" s="8">
        <v>1661.3</v>
      </c>
      <c r="G31" s="17">
        <v>839436.86999999988</v>
      </c>
      <c r="H31" s="17">
        <v>839436.86999999988</v>
      </c>
      <c r="I31" s="17">
        <v>839509.71</v>
      </c>
      <c r="J31" s="17">
        <v>839689.02</v>
      </c>
      <c r="K31" s="110">
        <v>3358072.4699999997</v>
      </c>
      <c r="L31" s="17">
        <v>773049.51</v>
      </c>
      <c r="M31" s="17">
        <v>828292.14999999991</v>
      </c>
      <c r="N31" s="17">
        <v>828981.52</v>
      </c>
      <c r="O31" s="17">
        <v>887773.78</v>
      </c>
      <c r="P31" s="110">
        <v>3318096.96</v>
      </c>
      <c r="Q31" s="17">
        <v>402020.03</v>
      </c>
      <c r="R31" s="17">
        <v>0.33</v>
      </c>
      <c r="S31" s="110">
        <v>402019.7</v>
      </c>
    </row>
    <row r="32" spans="1:19" ht="12" customHeight="1" x14ac:dyDescent="0.25">
      <c r="A32" s="5">
        <v>28</v>
      </c>
      <c r="B32" s="6" t="s">
        <v>105</v>
      </c>
      <c r="C32" s="7">
        <v>1596.9</v>
      </c>
      <c r="D32" s="8">
        <v>1545.9</v>
      </c>
      <c r="E32" s="8">
        <v>51</v>
      </c>
      <c r="F32" s="8">
        <v>87.4</v>
      </c>
      <c r="G32" s="17">
        <v>94794.569999999992</v>
      </c>
      <c r="H32" s="17">
        <v>94794.569999999992</v>
      </c>
      <c r="I32" s="17">
        <v>94794.569999999992</v>
      </c>
      <c r="J32" s="17">
        <v>94794.569999999992</v>
      </c>
      <c r="K32" s="110">
        <v>379178.27999999997</v>
      </c>
      <c r="L32" s="17">
        <v>81214.27</v>
      </c>
      <c r="M32" s="17">
        <v>96860.21</v>
      </c>
      <c r="N32" s="17">
        <v>84799.31</v>
      </c>
      <c r="O32" s="17">
        <v>113778.31</v>
      </c>
      <c r="P32" s="110">
        <v>376652.10000000003</v>
      </c>
      <c r="Q32" s="17">
        <v>62133.59</v>
      </c>
      <c r="R32" s="17">
        <v>0</v>
      </c>
      <c r="S32" s="110">
        <v>62133.59</v>
      </c>
    </row>
    <row r="33" spans="1:19" ht="12" customHeight="1" x14ac:dyDescent="0.25">
      <c r="A33" s="5">
        <v>29</v>
      </c>
      <c r="B33" s="6" t="s">
        <v>107</v>
      </c>
      <c r="C33" s="7">
        <v>2617.3000000000002</v>
      </c>
      <c r="D33" s="8">
        <v>2539.3000000000002</v>
      </c>
      <c r="E33" s="8">
        <v>78</v>
      </c>
      <c r="F33" s="8">
        <v>193.2</v>
      </c>
      <c r="G33" s="17">
        <v>155709.81</v>
      </c>
      <c r="H33" s="17">
        <v>155709.81</v>
      </c>
      <c r="I33" s="17">
        <v>155709.81</v>
      </c>
      <c r="J33" s="17">
        <v>155709.81</v>
      </c>
      <c r="K33" s="110">
        <v>622839.24</v>
      </c>
      <c r="L33" s="17">
        <v>140704.95000000001</v>
      </c>
      <c r="M33" s="17">
        <v>147613.93</v>
      </c>
      <c r="N33" s="17">
        <v>155009.66999999998</v>
      </c>
      <c r="O33" s="17">
        <v>161007.58000000002</v>
      </c>
      <c r="P33" s="110">
        <v>604336.13</v>
      </c>
      <c r="Q33" s="17">
        <v>126853.36</v>
      </c>
      <c r="R33" s="17">
        <v>1447.96</v>
      </c>
      <c r="S33" s="110">
        <v>125405.4</v>
      </c>
    </row>
    <row r="34" spans="1:19" ht="12" customHeight="1" x14ac:dyDescent="0.25">
      <c r="A34" s="5">
        <v>30</v>
      </c>
      <c r="B34" s="6" t="s">
        <v>108</v>
      </c>
      <c r="C34" s="7">
        <v>794.16</v>
      </c>
      <c r="D34" s="8">
        <v>794.16</v>
      </c>
      <c r="E34" s="8">
        <v>0</v>
      </c>
      <c r="F34" s="8">
        <v>96</v>
      </c>
      <c r="G34" s="17">
        <v>36408.449999999997</v>
      </c>
      <c r="H34" s="17">
        <v>36408.449999999997</v>
      </c>
      <c r="I34" s="17">
        <v>103658.65000000001</v>
      </c>
      <c r="J34" s="17">
        <v>38667.659999999996</v>
      </c>
      <c r="K34" s="110">
        <v>215143.21</v>
      </c>
      <c r="L34" s="17">
        <v>32144.800000000003</v>
      </c>
      <c r="M34" s="17">
        <v>42882.61</v>
      </c>
      <c r="N34" s="17">
        <v>33590.67</v>
      </c>
      <c r="O34" s="17">
        <v>34398.71</v>
      </c>
      <c r="P34" s="110">
        <v>143016.79</v>
      </c>
      <c r="Q34" s="17">
        <v>97231.22</v>
      </c>
      <c r="R34" s="17">
        <v>0</v>
      </c>
      <c r="S34" s="110">
        <v>97231.22</v>
      </c>
    </row>
    <row r="35" spans="1:19" ht="12" customHeight="1" x14ac:dyDescent="0.25">
      <c r="A35" s="5">
        <v>31</v>
      </c>
      <c r="B35" s="6" t="s">
        <v>109</v>
      </c>
      <c r="C35" s="7">
        <v>3900.4</v>
      </c>
      <c r="D35" s="8">
        <v>3900.4</v>
      </c>
      <c r="E35" s="8">
        <v>0</v>
      </c>
      <c r="F35" s="8">
        <v>628</v>
      </c>
      <c r="G35" s="17">
        <v>427561.80000000005</v>
      </c>
      <c r="H35" s="17">
        <v>427561.80000000005</v>
      </c>
      <c r="I35" s="17">
        <v>427561.80000000005</v>
      </c>
      <c r="J35" s="17">
        <v>427561.80000000005</v>
      </c>
      <c r="K35" s="110">
        <v>1710247.2000000002</v>
      </c>
      <c r="L35" s="17">
        <v>353512.9</v>
      </c>
      <c r="M35" s="17">
        <v>418414.00000000006</v>
      </c>
      <c r="N35" s="17">
        <v>388637.8</v>
      </c>
      <c r="O35" s="17">
        <v>522498.65</v>
      </c>
      <c r="P35" s="110">
        <v>1683063.35</v>
      </c>
      <c r="Q35" s="17">
        <v>292380.78000000003</v>
      </c>
      <c r="R35" s="17">
        <v>12030.58</v>
      </c>
      <c r="S35" s="110">
        <v>280350.2</v>
      </c>
    </row>
    <row r="36" spans="1:19" ht="12" customHeight="1" x14ac:dyDescent="0.25">
      <c r="A36" s="5">
        <v>32</v>
      </c>
      <c r="B36" s="6" t="s">
        <v>110</v>
      </c>
      <c r="C36" s="7">
        <v>330.3</v>
      </c>
      <c r="D36" s="8">
        <v>330.3</v>
      </c>
      <c r="E36" s="8">
        <v>0</v>
      </c>
      <c r="F36" s="8">
        <v>148.6</v>
      </c>
      <c r="G36" s="17">
        <v>15874.170000000002</v>
      </c>
      <c r="H36" s="17">
        <v>15874.170000000002</v>
      </c>
      <c r="I36" s="17">
        <v>15874.170000000002</v>
      </c>
      <c r="J36" s="17">
        <v>15874.170000000002</v>
      </c>
      <c r="K36" s="110">
        <v>63496.680000000008</v>
      </c>
      <c r="L36" s="17">
        <v>11857.29</v>
      </c>
      <c r="M36" s="17">
        <v>15087.51</v>
      </c>
      <c r="N36" s="17">
        <v>13611.23</v>
      </c>
      <c r="O36" s="17">
        <v>15403.95</v>
      </c>
      <c r="P36" s="110">
        <v>55959.979999999996</v>
      </c>
      <c r="Q36" s="17">
        <v>29173.69</v>
      </c>
      <c r="R36" s="17">
        <v>0</v>
      </c>
      <c r="S36" s="110">
        <v>29173.69</v>
      </c>
    </row>
    <row r="37" spans="1:19" ht="12" customHeight="1" x14ac:dyDescent="0.25">
      <c r="A37" s="5">
        <v>33</v>
      </c>
      <c r="B37" s="6" t="s">
        <v>113</v>
      </c>
      <c r="C37" s="7">
        <v>331.2</v>
      </c>
      <c r="D37" s="8">
        <v>331.2</v>
      </c>
      <c r="E37" s="8">
        <v>0</v>
      </c>
      <c r="F37" s="8">
        <v>41.4</v>
      </c>
      <c r="G37" s="17">
        <v>15917.46</v>
      </c>
      <c r="H37" s="17">
        <v>15917.46</v>
      </c>
      <c r="I37" s="17">
        <v>15917.46</v>
      </c>
      <c r="J37" s="17">
        <v>15917.46</v>
      </c>
      <c r="K37" s="110">
        <v>63669.84</v>
      </c>
      <c r="L37" s="17">
        <v>10611.64</v>
      </c>
      <c r="M37" s="17">
        <v>16720.060000000001</v>
      </c>
      <c r="N37" s="17">
        <v>15917.470000000001</v>
      </c>
      <c r="O37" s="17">
        <v>17746.28</v>
      </c>
      <c r="P37" s="110">
        <v>60995.45</v>
      </c>
      <c r="Q37" s="17">
        <v>3480.78</v>
      </c>
      <c r="R37" s="17">
        <v>3.79</v>
      </c>
      <c r="S37" s="110">
        <v>3476.9900000000002</v>
      </c>
    </row>
    <row r="38" spans="1:19" ht="12" customHeight="1" x14ac:dyDescent="0.25">
      <c r="A38" s="5">
        <v>34</v>
      </c>
      <c r="B38" s="6" t="s">
        <v>114</v>
      </c>
      <c r="C38" s="7">
        <v>169.6</v>
      </c>
      <c r="D38" s="8">
        <v>169.6</v>
      </c>
      <c r="E38" s="8">
        <v>0</v>
      </c>
      <c r="F38" s="8">
        <v>11.9</v>
      </c>
      <c r="G38" s="17">
        <v>8150.9699999999993</v>
      </c>
      <c r="H38" s="17">
        <v>8150.9699999999993</v>
      </c>
      <c r="I38" s="17">
        <v>8150.9699999999993</v>
      </c>
      <c r="J38" s="17">
        <v>8150.9699999999993</v>
      </c>
      <c r="K38" s="110">
        <v>32603.879999999997</v>
      </c>
      <c r="L38" s="17">
        <v>5894.2800000000007</v>
      </c>
      <c r="M38" s="17">
        <v>5154.3</v>
      </c>
      <c r="N38" s="17">
        <v>3469.92</v>
      </c>
      <c r="O38" s="17">
        <v>2486.3000000000002</v>
      </c>
      <c r="P38" s="110">
        <v>17004.800000000003</v>
      </c>
      <c r="Q38" s="17">
        <v>20207.28</v>
      </c>
      <c r="R38" s="17">
        <v>0</v>
      </c>
      <c r="S38" s="110">
        <v>20207.28</v>
      </c>
    </row>
    <row r="39" spans="1:19" ht="12" customHeight="1" x14ac:dyDescent="0.25">
      <c r="A39" s="5">
        <v>35</v>
      </c>
      <c r="B39" s="6" t="s">
        <v>116</v>
      </c>
      <c r="C39" s="7">
        <v>10785.62</v>
      </c>
      <c r="D39" s="8">
        <v>10785.62</v>
      </c>
      <c r="E39" s="8">
        <v>0</v>
      </c>
      <c r="F39" s="8">
        <v>980.8</v>
      </c>
      <c r="G39" s="17">
        <v>1286186.79</v>
      </c>
      <c r="H39" s="17">
        <v>1286186.79</v>
      </c>
      <c r="I39" s="17">
        <v>1337632.47</v>
      </c>
      <c r="J39" s="17">
        <v>1337597.74</v>
      </c>
      <c r="K39" s="110">
        <v>5247603.79</v>
      </c>
      <c r="L39" s="17">
        <v>1115227.32</v>
      </c>
      <c r="M39" s="17">
        <v>1222222.8700000001</v>
      </c>
      <c r="N39" s="17">
        <v>1278865.44</v>
      </c>
      <c r="O39" s="17">
        <v>1478977.73</v>
      </c>
      <c r="P39" s="110">
        <v>5095293.3600000003</v>
      </c>
      <c r="Q39" s="17">
        <v>1352183.47</v>
      </c>
      <c r="R39" s="17">
        <v>2679.05</v>
      </c>
      <c r="S39" s="110">
        <v>1349504.42</v>
      </c>
    </row>
    <row r="40" spans="1:19" ht="12" customHeight="1" x14ac:dyDescent="0.25">
      <c r="A40" s="5">
        <v>36</v>
      </c>
      <c r="B40" s="6" t="s">
        <v>117</v>
      </c>
      <c r="C40" s="7">
        <v>10772.68</v>
      </c>
      <c r="D40" s="8">
        <v>10772.68</v>
      </c>
      <c r="E40" s="8">
        <v>0</v>
      </c>
      <c r="F40" s="8">
        <v>1031.5999999999999</v>
      </c>
      <c r="G40" s="17">
        <v>1284755.06</v>
      </c>
      <c r="H40" s="17">
        <v>1284643.77</v>
      </c>
      <c r="I40" s="17">
        <v>1336027.98</v>
      </c>
      <c r="J40" s="17">
        <v>1336061.04</v>
      </c>
      <c r="K40" s="110">
        <v>5241487.8499999996</v>
      </c>
      <c r="L40" s="17">
        <v>1150816.52</v>
      </c>
      <c r="M40" s="17">
        <v>1208922.1299999999</v>
      </c>
      <c r="N40" s="17">
        <v>1260440.49</v>
      </c>
      <c r="O40" s="17">
        <v>1382050.09</v>
      </c>
      <c r="P40" s="110">
        <v>5002229.2299999995</v>
      </c>
      <c r="Q40" s="17">
        <v>1475608.38</v>
      </c>
      <c r="R40" s="17">
        <v>14583.99</v>
      </c>
      <c r="S40" s="110">
        <v>1461024.39</v>
      </c>
    </row>
    <row r="41" spans="1:19" ht="12" customHeight="1" x14ac:dyDescent="0.25">
      <c r="A41" s="5">
        <v>37</v>
      </c>
      <c r="B41" s="6" t="s">
        <v>118</v>
      </c>
      <c r="C41" s="7">
        <v>10745.800000000001</v>
      </c>
      <c r="D41" s="8">
        <v>10719.1</v>
      </c>
      <c r="E41" s="8">
        <v>26.7</v>
      </c>
      <c r="F41" s="8">
        <v>907.7</v>
      </c>
      <c r="G41" s="17">
        <v>1278170.9099999999</v>
      </c>
      <c r="H41" s="17">
        <v>1278254.3999999999</v>
      </c>
      <c r="I41" s="17">
        <v>1329382.7999999998</v>
      </c>
      <c r="J41" s="17">
        <v>1329382.7999999998</v>
      </c>
      <c r="K41" s="110">
        <v>5215190.9099999992</v>
      </c>
      <c r="L41" s="17">
        <v>1123641.03</v>
      </c>
      <c r="M41" s="17">
        <v>1256411.23</v>
      </c>
      <c r="N41" s="17">
        <v>1290492.3900000001</v>
      </c>
      <c r="O41" s="17">
        <v>1525299.13</v>
      </c>
      <c r="P41" s="110">
        <v>5195843.7799999993</v>
      </c>
      <c r="Q41" s="17">
        <v>1121640.93</v>
      </c>
      <c r="R41" s="17">
        <v>6592.35</v>
      </c>
      <c r="S41" s="110">
        <v>1115048.5799999998</v>
      </c>
    </row>
    <row r="42" spans="1:19" ht="12" customHeight="1" x14ac:dyDescent="0.25">
      <c r="A42" s="5">
        <v>38</v>
      </c>
      <c r="B42" s="6" t="s">
        <v>119</v>
      </c>
      <c r="C42" s="7">
        <v>4054.4</v>
      </c>
      <c r="D42" s="8">
        <v>3427.5</v>
      </c>
      <c r="E42" s="8">
        <v>626.9</v>
      </c>
      <c r="F42" s="8">
        <v>442.5</v>
      </c>
      <c r="G42" s="17">
        <v>408729.78</v>
      </c>
      <c r="H42" s="17">
        <v>408729.78</v>
      </c>
      <c r="I42" s="17">
        <v>425078.55000000005</v>
      </c>
      <c r="J42" s="17">
        <v>425078.55000000005</v>
      </c>
      <c r="K42" s="110">
        <v>1667616.6600000001</v>
      </c>
      <c r="L42" s="17">
        <v>370631.85000000003</v>
      </c>
      <c r="M42" s="17">
        <v>388089.06</v>
      </c>
      <c r="N42" s="17">
        <v>409941.01</v>
      </c>
      <c r="O42" s="17">
        <v>467281.72</v>
      </c>
      <c r="P42" s="110">
        <v>1635943.64</v>
      </c>
      <c r="Q42" s="17">
        <v>208633.5</v>
      </c>
      <c r="R42" s="17">
        <v>6189.23</v>
      </c>
      <c r="S42" s="110">
        <v>202444.27</v>
      </c>
    </row>
    <row r="43" spans="1:19" ht="12" customHeight="1" x14ac:dyDescent="0.25">
      <c r="A43" s="5">
        <v>39</v>
      </c>
      <c r="B43" s="6" t="s">
        <v>120</v>
      </c>
      <c r="C43" s="7">
        <v>3567.1</v>
      </c>
      <c r="D43" s="8">
        <v>3567.1</v>
      </c>
      <c r="E43" s="8">
        <v>0</v>
      </c>
      <c r="F43" s="8">
        <v>685.7</v>
      </c>
      <c r="G43" s="17">
        <v>425091</v>
      </c>
      <c r="H43" s="17">
        <v>425281.80000000005</v>
      </c>
      <c r="I43" s="17">
        <v>442391.88</v>
      </c>
      <c r="J43" s="17">
        <v>442391.88</v>
      </c>
      <c r="K43" s="110">
        <v>1735156.56</v>
      </c>
      <c r="L43" s="17">
        <v>413214.48</v>
      </c>
      <c r="M43" s="17">
        <v>407409.17000000004</v>
      </c>
      <c r="N43" s="17">
        <v>414113.16999999993</v>
      </c>
      <c r="O43" s="17">
        <v>445051.27</v>
      </c>
      <c r="P43" s="110">
        <v>1679788.0899999999</v>
      </c>
      <c r="Q43" s="17">
        <v>547710.13</v>
      </c>
      <c r="R43" s="17">
        <v>0</v>
      </c>
      <c r="S43" s="110">
        <v>547710.13</v>
      </c>
    </row>
    <row r="44" spans="1:19" ht="12" customHeight="1" x14ac:dyDescent="0.25">
      <c r="A44" s="5">
        <v>40</v>
      </c>
      <c r="B44" s="6" t="s">
        <v>121</v>
      </c>
      <c r="C44" s="7">
        <v>21973.200000000001</v>
      </c>
      <c r="D44" s="8">
        <v>20211.400000000001</v>
      </c>
      <c r="E44" s="8">
        <v>1761.8</v>
      </c>
      <c r="F44" s="8">
        <v>3728</v>
      </c>
      <c r="G44" s="17">
        <v>2396429.25</v>
      </c>
      <c r="H44" s="17">
        <v>2396429.25</v>
      </c>
      <c r="I44" s="17">
        <v>2492207.5499999998</v>
      </c>
      <c r="J44" s="17">
        <v>2492065.62</v>
      </c>
      <c r="K44" s="110">
        <v>9777131.6699999999</v>
      </c>
      <c r="L44" s="17">
        <v>2071885.98</v>
      </c>
      <c r="M44" s="17">
        <v>2329157.31</v>
      </c>
      <c r="N44" s="17">
        <v>2339745.33</v>
      </c>
      <c r="O44" s="17">
        <v>2884629.54</v>
      </c>
      <c r="P44" s="110">
        <v>9625418.1600000001</v>
      </c>
      <c r="Q44" s="17">
        <v>1856568.55</v>
      </c>
      <c r="R44" s="17">
        <v>29331.16</v>
      </c>
      <c r="S44" s="110">
        <v>1827237.3900000001</v>
      </c>
    </row>
    <row r="45" spans="1:19" ht="12" customHeight="1" x14ac:dyDescent="0.25">
      <c r="A45" s="5">
        <v>41</v>
      </c>
      <c r="B45" s="6" t="s">
        <v>122</v>
      </c>
      <c r="C45" s="7">
        <v>644.9</v>
      </c>
      <c r="D45" s="8">
        <v>644.9</v>
      </c>
      <c r="E45" s="8">
        <v>0</v>
      </c>
      <c r="F45" s="8">
        <v>62.2</v>
      </c>
      <c r="G45" s="17">
        <v>52914.09</v>
      </c>
      <c r="H45" s="17">
        <v>52914.09</v>
      </c>
      <c r="I45" s="17">
        <v>55022.91</v>
      </c>
      <c r="J45" s="17">
        <v>55022.91</v>
      </c>
      <c r="K45" s="110">
        <v>215874</v>
      </c>
      <c r="L45" s="17">
        <v>47558.66</v>
      </c>
      <c r="M45" s="17">
        <v>52021.83</v>
      </c>
      <c r="N45" s="17">
        <v>53444.84</v>
      </c>
      <c r="O45" s="17">
        <v>65522.46</v>
      </c>
      <c r="P45" s="110">
        <v>218547.79</v>
      </c>
      <c r="Q45" s="17">
        <v>13975.17</v>
      </c>
      <c r="R45" s="17">
        <v>4366.8900000000003</v>
      </c>
      <c r="S45" s="110">
        <v>9608.2799999999988</v>
      </c>
    </row>
    <row r="46" spans="1:19" ht="12" customHeight="1" x14ac:dyDescent="0.25">
      <c r="A46" s="5">
        <v>42</v>
      </c>
      <c r="B46" s="6" t="s">
        <v>123</v>
      </c>
      <c r="C46" s="7">
        <v>1486.2</v>
      </c>
      <c r="D46" s="8">
        <v>1376.2</v>
      </c>
      <c r="E46" s="8">
        <v>110</v>
      </c>
      <c r="F46" s="8">
        <v>88.8</v>
      </c>
      <c r="G46" s="17">
        <v>84388.56</v>
      </c>
      <c r="H46" s="17">
        <v>84388.56</v>
      </c>
      <c r="I46" s="17">
        <v>84388.56</v>
      </c>
      <c r="J46" s="17">
        <v>84388.56</v>
      </c>
      <c r="K46" s="110">
        <v>337554.24</v>
      </c>
      <c r="L46" s="17">
        <v>76926.850000000006</v>
      </c>
      <c r="M46" s="17">
        <v>85050.73</v>
      </c>
      <c r="N46" s="17">
        <v>84046.22</v>
      </c>
      <c r="O46" s="17">
        <v>93733.28</v>
      </c>
      <c r="P46" s="110">
        <v>339757.08</v>
      </c>
      <c r="Q46" s="17">
        <v>25481.78</v>
      </c>
      <c r="R46" s="17">
        <v>2048.92</v>
      </c>
      <c r="S46" s="110">
        <v>23432.86</v>
      </c>
    </row>
    <row r="47" spans="1:19" ht="12" customHeight="1" x14ac:dyDescent="0.25">
      <c r="A47" s="5">
        <v>43</v>
      </c>
      <c r="B47" s="6" t="s">
        <v>124</v>
      </c>
      <c r="C47" s="7">
        <v>879.9</v>
      </c>
      <c r="D47" s="8">
        <v>879.9</v>
      </c>
      <c r="E47" s="8">
        <v>0</v>
      </c>
      <c r="F47" s="8">
        <v>88.8</v>
      </c>
      <c r="G47" s="17">
        <v>53955.42</v>
      </c>
      <c r="H47" s="17">
        <v>53955.42</v>
      </c>
      <c r="I47" s="17">
        <v>53955.42</v>
      </c>
      <c r="J47" s="17">
        <v>53955.42</v>
      </c>
      <c r="K47" s="110">
        <v>215821.68</v>
      </c>
      <c r="L47" s="17">
        <v>46057.83</v>
      </c>
      <c r="M47" s="17">
        <v>54463.55</v>
      </c>
      <c r="N47" s="17">
        <v>55722.479999999996</v>
      </c>
      <c r="O47" s="17">
        <v>56097.94</v>
      </c>
      <c r="P47" s="110">
        <v>212341.8</v>
      </c>
      <c r="Q47" s="17">
        <v>18960.98</v>
      </c>
      <c r="R47" s="17">
        <v>0</v>
      </c>
      <c r="S47" s="110">
        <v>18960.98</v>
      </c>
    </row>
    <row r="48" spans="1:19" ht="12" customHeight="1" x14ac:dyDescent="0.25">
      <c r="A48" s="5">
        <v>44</v>
      </c>
      <c r="B48" s="6" t="s">
        <v>125</v>
      </c>
      <c r="C48" s="7">
        <v>886.63</v>
      </c>
      <c r="D48" s="8">
        <v>886.63</v>
      </c>
      <c r="E48" s="8">
        <v>0</v>
      </c>
      <c r="F48" s="8">
        <v>89.5</v>
      </c>
      <c r="G48" s="17">
        <v>54368.22</v>
      </c>
      <c r="H48" s="17">
        <v>54368.22</v>
      </c>
      <c r="I48" s="17">
        <v>54368.22</v>
      </c>
      <c r="J48" s="17">
        <v>54368.22</v>
      </c>
      <c r="K48" s="110">
        <v>217472.88</v>
      </c>
      <c r="L48" s="17">
        <v>55810.840000000004</v>
      </c>
      <c r="M48" s="17">
        <v>46401.79</v>
      </c>
      <c r="N48" s="17">
        <v>48128.42</v>
      </c>
      <c r="O48" s="17">
        <v>49966.240000000005</v>
      </c>
      <c r="P48" s="110">
        <v>200307.28999999998</v>
      </c>
      <c r="Q48" s="17">
        <v>48582.97</v>
      </c>
      <c r="R48" s="17">
        <v>0</v>
      </c>
      <c r="S48" s="110">
        <v>48582.97</v>
      </c>
    </row>
    <row r="49" spans="1:19" ht="12" customHeight="1" x14ac:dyDescent="0.25">
      <c r="A49" s="5">
        <v>45</v>
      </c>
      <c r="B49" s="6" t="s">
        <v>126</v>
      </c>
      <c r="C49" s="7">
        <v>885.3</v>
      </c>
      <c r="D49" s="8">
        <v>885.3</v>
      </c>
      <c r="E49" s="8">
        <v>0</v>
      </c>
      <c r="F49" s="8">
        <v>88.8</v>
      </c>
      <c r="G49" s="17">
        <v>54593.22</v>
      </c>
      <c r="H49" s="17">
        <v>54253.65</v>
      </c>
      <c r="I49" s="17">
        <v>54286.62</v>
      </c>
      <c r="J49" s="17">
        <v>54286.62</v>
      </c>
      <c r="K49" s="110">
        <v>217420.11</v>
      </c>
      <c r="L49" s="17">
        <v>54623.15</v>
      </c>
      <c r="M49" s="17">
        <v>51491.899999999994</v>
      </c>
      <c r="N49" s="17">
        <v>44565.26</v>
      </c>
      <c r="O49" s="17">
        <v>58064.97</v>
      </c>
      <c r="P49" s="110">
        <v>208745.28</v>
      </c>
      <c r="Q49" s="17">
        <v>28383.119999999999</v>
      </c>
      <c r="R49" s="17">
        <v>0</v>
      </c>
      <c r="S49" s="110">
        <v>28383.119999999999</v>
      </c>
    </row>
    <row r="50" spans="1:19" ht="12" customHeight="1" x14ac:dyDescent="0.25">
      <c r="A50" s="5">
        <v>46</v>
      </c>
      <c r="B50" s="6" t="s">
        <v>127</v>
      </c>
      <c r="C50" s="7">
        <v>1380.65</v>
      </c>
      <c r="D50" s="8">
        <v>1380.65</v>
      </c>
      <c r="E50" s="8">
        <v>0</v>
      </c>
      <c r="F50" s="8">
        <v>142.19999999999999</v>
      </c>
      <c r="G50" s="17">
        <v>84661.47</v>
      </c>
      <c r="H50" s="17">
        <v>84661.47</v>
      </c>
      <c r="I50" s="17">
        <v>84661.47</v>
      </c>
      <c r="J50" s="17">
        <v>84661.47</v>
      </c>
      <c r="K50" s="110">
        <v>338645.88</v>
      </c>
      <c r="L50" s="17">
        <v>72985.570000000007</v>
      </c>
      <c r="M50" s="17">
        <v>81087.26999999999</v>
      </c>
      <c r="N50" s="17">
        <v>68204.95</v>
      </c>
      <c r="O50" s="17">
        <v>123272</v>
      </c>
      <c r="P50" s="110">
        <v>345549.79</v>
      </c>
      <c r="Q50" s="17">
        <v>59648.45</v>
      </c>
      <c r="R50" s="17">
        <v>0</v>
      </c>
      <c r="S50" s="110">
        <v>59648.45</v>
      </c>
    </row>
    <row r="51" spans="1:19" ht="12" customHeight="1" x14ac:dyDescent="0.25">
      <c r="A51" s="5">
        <v>47</v>
      </c>
      <c r="B51" s="6" t="s">
        <v>128</v>
      </c>
      <c r="C51" s="7">
        <v>379.15</v>
      </c>
      <c r="D51" s="8">
        <v>379.15</v>
      </c>
      <c r="E51" s="8">
        <v>0</v>
      </c>
      <c r="F51" s="8">
        <v>160.9</v>
      </c>
      <c r="G51" s="17">
        <v>28766.100000000002</v>
      </c>
      <c r="H51" s="17">
        <v>28766.100000000002</v>
      </c>
      <c r="I51" s="17">
        <v>28766.100000000002</v>
      </c>
      <c r="J51" s="17">
        <v>28766.100000000002</v>
      </c>
      <c r="K51" s="110">
        <v>115064.40000000001</v>
      </c>
      <c r="L51" s="17">
        <v>25357.66</v>
      </c>
      <c r="M51" s="17">
        <v>28760.06</v>
      </c>
      <c r="N51" s="17">
        <v>26354.879999999997</v>
      </c>
      <c r="O51" s="17">
        <v>27443.760000000002</v>
      </c>
      <c r="P51" s="110">
        <v>107916.36000000002</v>
      </c>
      <c r="Q51" s="17">
        <v>24060.35</v>
      </c>
      <c r="R51" s="17">
        <v>318.64999999999998</v>
      </c>
      <c r="S51" s="110">
        <v>23741.699999999997</v>
      </c>
    </row>
    <row r="52" spans="1:19" ht="12" customHeight="1" x14ac:dyDescent="0.25">
      <c r="A52" s="5">
        <v>48</v>
      </c>
      <c r="B52" s="6" t="s">
        <v>129</v>
      </c>
      <c r="C52" s="7">
        <v>502.68</v>
      </c>
      <c r="D52" s="8">
        <v>502.68</v>
      </c>
      <c r="E52" s="8">
        <v>0</v>
      </c>
      <c r="F52" s="8">
        <v>65.2</v>
      </c>
      <c r="G52" s="17">
        <v>30824.31</v>
      </c>
      <c r="H52" s="17">
        <v>30824.31</v>
      </c>
      <c r="I52" s="17">
        <v>30824.31</v>
      </c>
      <c r="J52" s="17">
        <v>30824.31</v>
      </c>
      <c r="K52" s="110">
        <v>123297.24</v>
      </c>
      <c r="L52" s="17">
        <v>26518.5</v>
      </c>
      <c r="M52" s="17">
        <v>27768.910000000003</v>
      </c>
      <c r="N52" s="17">
        <v>30171.19</v>
      </c>
      <c r="O52" s="17">
        <v>33790.04</v>
      </c>
      <c r="P52" s="110">
        <v>118248.64000000001</v>
      </c>
      <c r="Q52" s="17">
        <v>19511.939999999999</v>
      </c>
      <c r="R52" s="17">
        <v>15.45</v>
      </c>
      <c r="S52" s="110">
        <v>19496.489999999998</v>
      </c>
    </row>
    <row r="53" spans="1:19" ht="12" customHeight="1" x14ac:dyDescent="0.25">
      <c r="A53" s="5">
        <v>49</v>
      </c>
      <c r="B53" s="6" t="s">
        <v>130</v>
      </c>
      <c r="C53" s="7">
        <v>758.99</v>
      </c>
      <c r="D53" s="8">
        <v>758.99</v>
      </c>
      <c r="E53" s="8">
        <v>0</v>
      </c>
      <c r="F53" s="8">
        <v>99.8</v>
      </c>
      <c r="G53" s="17">
        <v>46541.25</v>
      </c>
      <c r="H53" s="17">
        <v>46541.25</v>
      </c>
      <c r="I53" s="17">
        <v>46541.25</v>
      </c>
      <c r="J53" s="17">
        <v>46541.25</v>
      </c>
      <c r="K53" s="110">
        <v>186165</v>
      </c>
      <c r="L53" s="17">
        <v>37671.210000000006</v>
      </c>
      <c r="M53" s="17">
        <v>51085.16</v>
      </c>
      <c r="N53" s="17">
        <v>44886.75</v>
      </c>
      <c r="O53" s="17">
        <v>50087.73</v>
      </c>
      <c r="P53" s="110">
        <v>183730.85</v>
      </c>
      <c r="Q53" s="17">
        <v>24356.959999999999</v>
      </c>
      <c r="R53" s="17">
        <v>0</v>
      </c>
      <c r="S53" s="110">
        <v>24356.959999999999</v>
      </c>
    </row>
    <row r="54" spans="1:19" ht="12" customHeight="1" x14ac:dyDescent="0.25">
      <c r="A54" s="5">
        <v>50</v>
      </c>
      <c r="B54" s="6" t="s">
        <v>131</v>
      </c>
      <c r="C54" s="7">
        <v>5789.9398064828247</v>
      </c>
      <c r="D54" s="8">
        <v>5758.6998064828249</v>
      </c>
      <c r="E54" s="8">
        <v>31.24</v>
      </c>
      <c r="F54" s="8">
        <v>1030.1199999999999</v>
      </c>
      <c r="G54" s="108">
        <v>686725.69547888415</v>
      </c>
      <c r="H54" s="108">
        <v>686725.69547888415</v>
      </c>
      <c r="I54" s="108">
        <v>714200.15112518519</v>
      </c>
      <c r="J54" s="108">
        <v>714212.51154335844</v>
      </c>
      <c r="K54" s="141">
        <v>2801864.0536263119</v>
      </c>
      <c r="L54" s="186">
        <v>613518.15075350238</v>
      </c>
      <c r="M54" s="186">
        <v>665144.206147352</v>
      </c>
      <c r="N54" s="108">
        <v>714155.27115396119</v>
      </c>
      <c r="O54" s="108">
        <v>797550.27054577379</v>
      </c>
      <c r="P54" s="141">
        <v>2790367.8986005895</v>
      </c>
      <c r="Q54" s="108">
        <v>1768900.85</v>
      </c>
      <c r="R54" s="108">
        <v>9861.77</v>
      </c>
      <c r="S54" s="141">
        <v>876005.58468935743</v>
      </c>
    </row>
    <row r="55" spans="1:19" ht="12" customHeight="1" x14ac:dyDescent="0.25">
      <c r="A55" s="5">
        <v>51</v>
      </c>
      <c r="B55" s="6" t="s">
        <v>132</v>
      </c>
      <c r="C55" s="7">
        <v>5804.9</v>
      </c>
      <c r="D55" s="8">
        <v>5804.9</v>
      </c>
      <c r="E55" s="8">
        <v>0</v>
      </c>
      <c r="F55" s="8">
        <v>1032.78</v>
      </c>
      <c r="G55" s="108">
        <v>692235.07452111598</v>
      </c>
      <c r="H55" s="108">
        <v>692235.07452111598</v>
      </c>
      <c r="I55" s="108">
        <v>719929.94887481502</v>
      </c>
      <c r="J55" s="108">
        <v>719942.4084566416</v>
      </c>
      <c r="K55" s="141">
        <v>2824342.5063736886</v>
      </c>
      <c r="L55" s="186">
        <v>618440.20924649795</v>
      </c>
      <c r="M55" s="186">
        <v>670480.44385264814</v>
      </c>
      <c r="N55" s="108">
        <v>719884.70884603891</v>
      </c>
      <c r="O55" s="108">
        <v>803948.75945422647</v>
      </c>
      <c r="P55" s="141">
        <v>2812754.1213994115</v>
      </c>
      <c r="Q55" s="17">
        <v>0</v>
      </c>
      <c r="R55" s="17">
        <v>0</v>
      </c>
      <c r="S55" s="141">
        <v>883033.49531064276</v>
      </c>
    </row>
    <row r="56" spans="1:19" ht="12" customHeight="1" x14ac:dyDescent="0.25">
      <c r="A56" s="5">
        <v>52</v>
      </c>
      <c r="B56" s="6" t="s">
        <v>133</v>
      </c>
      <c r="C56" s="7">
        <v>10302.899999999998</v>
      </c>
      <c r="D56" s="8">
        <v>9629.5999999999985</v>
      </c>
      <c r="E56" s="8">
        <v>673.3</v>
      </c>
      <c r="F56" s="8">
        <v>1358.8</v>
      </c>
      <c r="G56" s="17">
        <v>1141685.46</v>
      </c>
      <c r="H56" s="17">
        <v>1141685.46</v>
      </c>
      <c r="I56" s="17">
        <v>1187329.68</v>
      </c>
      <c r="J56" s="17">
        <v>1187329.68</v>
      </c>
      <c r="K56" s="110">
        <v>4658030.2799999993</v>
      </c>
      <c r="L56" s="17">
        <v>1055231.33</v>
      </c>
      <c r="M56" s="17">
        <v>1118382.6200000001</v>
      </c>
      <c r="N56" s="17">
        <v>1153199.29</v>
      </c>
      <c r="O56" s="17">
        <v>1278256.49</v>
      </c>
      <c r="P56" s="110">
        <v>4605069.7300000004</v>
      </c>
      <c r="Q56" s="17">
        <v>717208.1</v>
      </c>
      <c r="R56" s="17">
        <v>3721.16</v>
      </c>
      <c r="S56" s="110">
        <v>713486.94</v>
      </c>
    </row>
    <row r="57" spans="1:19" ht="12" customHeight="1" x14ac:dyDescent="0.25">
      <c r="A57" s="5">
        <v>53</v>
      </c>
      <c r="B57" s="6" t="s">
        <v>134</v>
      </c>
      <c r="C57" s="7">
        <v>4904.3</v>
      </c>
      <c r="D57" s="8">
        <v>4904.3</v>
      </c>
      <c r="E57" s="8">
        <v>0</v>
      </c>
      <c r="F57" s="8">
        <v>536.79999999999995</v>
      </c>
      <c r="G57" s="17">
        <v>581453.76</v>
      </c>
      <c r="H57" s="17">
        <v>581453.76</v>
      </c>
      <c r="I57" s="17">
        <v>604700.19000000006</v>
      </c>
      <c r="J57" s="17">
        <v>604700.19000000006</v>
      </c>
      <c r="K57" s="110">
        <v>2372307.9</v>
      </c>
      <c r="L57" s="17">
        <v>500609.13</v>
      </c>
      <c r="M57" s="17">
        <v>560623.51</v>
      </c>
      <c r="N57" s="17">
        <v>559045.51</v>
      </c>
      <c r="O57" s="17">
        <v>728169.85</v>
      </c>
      <c r="P57" s="110">
        <v>2348448</v>
      </c>
      <c r="Q57" s="17">
        <v>320010.8</v>
      </c>
      <c r="R57" s="17">
        <v>0</v>
      </c>
      <c r="S57" s="110">
        <v>320010.8</v>
      </c>
    </row>
    <row r="58" spans="1:19" ht="12" customHeight="1" x14ac:dyDescent="0.25">
      <c r="A58" s="5">
        <v>54</v>
      </c>
      <c r="B58" s="6" t="s">
        <v>135</v>
      </c>
      <c r="C58" s="7">
        <v>3072.3</v>
      </c>
      <c r="D58" s="8">
        <v>3018.9</v>
      </c>
      <c r="E58" s="8">
        <v>53.4</v>
      </c>
      <c r="F58" s="8">
        <v>530.6</v>
      </c>
      <c r="G58" s="17">
        <v>332834.27999999997</v>
      </c>
      <c r="H58" s="17">
        <v>332834.27999999997</v>
      </c>
      <c r="I58" s="17">
        <v>332834.27999999997</v>
      </c>
      <c r="J58" s="17">
        <v>332834.27</v>
      </c>
      <c r="K58" s="110">
        <v>1331337.1099999999</v>
      </c>
      <c r="L58" s="17">
        <v>306276.73</v>
      </c>
      <c r="M58" s="17">
        <v>322708.17000000004</v>
      </c>
      <c r="N58" s="17">
        <v>327857.01</v>
      </c>
      <c r="O58" s="17">
        <v>349825.68</v>
      </c>
      <c r="P58" s="110">
        <v>1306667.5900000001</v>
      </c>
      <c r="Q58" s="17">
        <v>214430.13</v>
      </c>
      <c r="R58" s="17">
        <v>1554.86</v>
      </c>
      <c r="S58" s="110">
        <v>212875.27000000002</v>
      </c>
    </row>
    <row r="59" spans="1:19" ht="12" customHeight="1" x14ac:dyDescent="0.25">
      <c r="A59" s="5">
        <v>55</v>
      </c>
      <c r="B59" s="6" t="s">
        <v>136</v>
      </c>
      <c r="C59" s="7">
        <v>4398.8</v>
      </c>
      <c r="D59" s="8">
        <v>3854.6</v>
      </c>
      <c r="E59" s="8">
        <v>544.20000000000005</v>
      </c>
      <c r="F59" s="8">
        <v>1214.2</v>
      </c>
      <c r="G59" s="17">
        <v>422541.12</v>
      </c>
      <c r="H59" s="17">
        <v>422541.12</v>
      </c>
      <c r="I59" s="17">
        <v>422541.12</v>
      </c>
      <c r="J59" s="17">
        <v>422541.12</v>
      </c>
      <c r="K59" s="110">
        <v>1690164.48</v>
      </c>
      <c r="L59" s="17">
        <v>386680.17</v>
      </c>
      <c r="M59" s="17">
        <v>428633.05</v>
      </c>
      <c r="N59" s="17">
        <v>428720.36</v>
      </c>
      <c r="O59" s="17">
        <v>453152.83999999997</v>
      </c>
      <c r="P59" s="110">
        <v>1697186.42</v>
      </c>
      <c r="Q59" s="17">
        <v>179069.72</v>
      </c>
      <c r="R59" s="17">
        <v>7736.05</v>
      </c>
      <c r="S59" s="110">
        <v>171333.67</v>
      </c>
    </row>
    <row r="60" spans="1:19" ht="12" customHeight="1" x14ac:dyDescent="0.25">
      <c r="A60" s="5">
        <v>56</v>
      </c>
      <c r="B60" s="6" t="s">
        <v>137</v>
      </c>
      <c r="C60" s="7">
        <v>7902.2</v>
      </c>
      <c r="D60" s="8">
        <v>7770.8</v>
      </c>
      <c r="E60" s="8">
        <v>131.4</v>
      </c>
      <c r="F60" s="8">
        <v>1429.18</v>
      </c>
      <c r="G60" s="17">
        <v>856732.02</v>
      </c>
      <c r="H60" s="17">
        <v>856732.02</v>
      </c>
      <c r="I60" s="17">
        <v>856732.02</v>
      </c>
      <c r="J60" s="17">
        <v>856732.02</v>
      </c>
      <c r="K60" s="110">
        <v>3426928.08</v>
      </c>
      <c r="L60" s="17">
        <v>726699.79</v>
      </c>
      <c r="M60" s="17">
        <v>833745.42999999993</v>
      </c>
      <c r="N60" s="17">
        <v>814390.67999999993</v>
      </c>
      <c r="O60" s="17">
        <v>936353.34000000008</v>
      </c>
      <c r="P60" s="110">
        <v>3311189.24</v>
      </c>
      <c r="Q60" s="17">
        <v>526249.01</v>
      </c>
      <c r="R60" s="17">
        <v>8.2799999999999994</v>
      </c>
      <c r="S60" s="110">
        <v>526240.73</v>
      </c>
    </row>
    <row r="61" spans="1:19" ht="12" customHeight="1" x14ac:dyDescent="0.25">
      <c r="A61" s="5">
        <v>57</v>
      </c>
      <c r="B61" s="6" t="s">
        <v>138</v>
      </c>
      <c r="C61" s="7">
        <v>6108.4400000000005</v>
      </c>
      <c r="D61" s="8">
        <v>5292.14</v>
      </c>
      <c r="E61" s="8">
        <v>816.3</v>
      </c>
      <c r="F61" s="8">
        <v>984.8</v>
      </c>
      <c r="G61" s="17">
        <v>580179.24</v>
      </c>
      <c r="H61" s="17">
        <v>580179.24</v>
      </c>
      <c r="I61" s="17">
        <v>580124.42999999993</v>
      </c>
      <c r="J61" s="17">
        <v>580124.42999999993</v>
      </c>
      <c r="K61" s="110">
        <v>2320607.34</v>
      </c>
      <c r="L61" s="17">
        <v>513910.78</v>
      </c>
      <c r="M61" s="17">
        <v>551517.14</v>
      </c>
      <c r="N61" s="17">
        <v>557375.49</v>
      </c>
      <c r="O61" s="17">
        <v>659586.53999999992</v>
      </c>
      <c r="P61" s="110">
        <v>2282389.9499999997</v>
      </c>
      <c r="Q61" s="17">
        <v>262038.66</v>
      </c>
      <c r="R61" s="17">
        <v>1511.2</v>
      </c>
      <c r="S61" s="110">
        <v>260527.46</v>
      </c>
    </row>
    <row r="62" spans="1:19" ht="12" customHeight="1" x14ac:dyDescent="0.25">
      <c r="A62" s="5">
        <v>58</v>
      </c>
      <c r="B62" s="6" t="s">
        <v>139</v>
      </c>
      <c r="C62" s="7">
        <v>5301.46</v>
      </c>
      <c r="D62" s="8">
        <v>5301.46</v>
      </c>
      <c r="E62" s="8">
        <v>0</v>
      </c>
      <c r="F62" s="8">
        <v>996.3</v>
      </c>
      <c r="G62" s="17">
        <v>581146.05000000005</v>
      </c>
      <c r="H62" s="17">
        <v>581146.05000000005</v>
      </c>
      <c r="I62" s="17">
        <v>581146.05000000005</v>
      </c>
      <c r="J62" s="17">
        <v>581146.05000000005</v>
      </c>
      <c r="K62" s="110">
        <v>2324584.2000000002</v>
      </c>
      <c r="L62" s="17">
        <v>590719.91</v>
      </c>
      <c r="M62" s="17">
        <v>587691.62</v>
      </c>
      <c r="N62" s="17">
        <v>572199.32999999996</v>
      </c>
      <c r="O62" s="17">
        <v>571840.9</v>
      </c>
      <c r="P62" s="110">
        <v>2322451.7599999998</v>
      </c>
      <c r="Q62" s="17">
        <v>306663.34000000003</v>
      </c>
      <c r="R62" s="17">
        <v>179.54</v>
      </c>
      <c r="S62" s="110">
        <v>306483.80000000005</v>
      </c>
    </row>
    <row r="63" spans="1:19" ht="12" customHeight="1" x14ac:dyDescent="0.25">
      <c r="A63" s="5">
        <v>59</v>
      </c>
      <c r="B63" s="6" t="s">
        <v>140</v>
      </c>
      <c r="C63" s="7">
        <v>5275.3899999999967</v>
      </c>
      <c r="D63" s="8">
        <v>5275.3899999999967</v>
      </c>
      <c r="E63" s="8">
        <v>0</v>
      </c>
      <c r="F63" s="8">
        <v>932.6</v>
      </c>
      <c r="G63" s="17">
        <v>578047.26</v>
      </c>
      <c r="H63" s="17">
        <v>578127.65</v>
      </c>
      <c r="I63" s="17">
        <v>578288.42999999993</v>
      </c>
      <c r="J63" s="17">
        <v>578288.42999999993</v>
      </c>
      <c r="K63" s="110">
        <v>2312751.77</v>
      </c>
      <c r="L63" s="17">
        <v>567121.29</v>
      </c>
      <c r="M63" s="17">
        <v>566624.74</v>
      </c>
      <c r="N63" s="17">
        <v>577715.55999999994</v>
      </c>
      <c r="O63" s="17">
        <v>628610.46</v>
      </c>
      <c r="P63" s="110">
        <v>2340072.0499999998</v>
      </c>
      <c r="Q63" s="17">
        <v>248611</v>
      </c>
      <c r="R63" s="17">
        <v>14386.69</v>
      </c>
      <c r="S63" s="110">
        <v>234224.31</v>
      </c>
    </row>
    <row r="64" spans="1:19" ht="12" customHeight="1" x14ac:dyDescent="0.25">
      <c r="A64" s="5">
        <v>60</v>
      </c>
      <c r="B64" s="6" t="s">
        <v>141</v>
      </c>
      <c r="C64" s="7">
        <v>4404.8</v>
      </c>
      <c r="D64" s="8">
        <v>4242.8</v>
      </c>
      <c r="E64" s="8">
        <v>162</v>
      </c>
      <c r="F64" s="8">
        <v>1118.2</v>
      </c>
      <c r="G64" s="17">
        <v>503026.44000000006</v>
      </c>
      <c r="H64" s="17">
        <v>503026.44000000006</v>
      </c>
      <c r="I64" s="17">
        <v>523137.24</v>
      </c>
      <c r="J64" s="17">
        <v>523137.24</v>
      </c>
      <c r="K64" s="110">
        <v>2052327.36</v>
      </c>
      <c r="L64" s="17">
        <v>433668.43000000005</v>
      </c>
      <c r="M64" s="17">
        <v>532221.40999999992</v>
      </c>
      <c r="N64" s="17">
        <v>466140.73</v>
      </c>
      <c r="O64" s="17">
        <v>578143.65</v>
      </c>
      <c r="P64" s="110">
        <v>2010174.2199999997</v>
      </c>
      <c r="Q64" s="17">
        <v>275605.24</v>
      </c>
      <c r="R64" s="17">
        <v>0</v>
      </c>
      <c r="S64" s="110">
        <v>275605.24</v>
      </c>
    </row>
    <row r="65" spans="1:19" ht="12" customHeight="1" x14ac:dyDescent="0.25">
      <c r="A65" s="5">
        <v>61</v>
      </c>
      <c r="B65" s="6" t="s">
        <v>142</v>
      </c>
      <c r="C65" s="7">
        <v>6112.2000000000007</v>
      </c>
      <c r="D65" s="8">
        <v>5951.6</v>
      </c>
      <c r="E65" s="8">
        <v>160.6</v>
      </c>
      <c r="F65" s="8">
        <v>792.3</v>
      </c>
      <c r="G65" s="17">
        <v>709856.52</v>
      </c>
      <c r="H65" s="17">
        <v>709729.32000000007</v>
      </c>
      <c r="I65" s="17">
        <v>738117.39</v>
      </c>
      <c r="J65" s="17">
        <v>738117.39</v>
      </c>
      <c r="K65" s="110">
        <v>2895820.62</v>
      </c>
      <c r="L65" s="17">
        <v>629972.14</v>
      </c>
      <c r="M65" s="17">
        <v>717553.07000000007</v>
      </c>
      <c r="N65" s="17">
        <v>693826.05</v>
      </c>
      <c r="O65" s="17">
        <v>806282.78</v>
      </c>
      <c r="P65" s="110">
        <v>2847634.04</v>
      </c>
      <c r="Q65" s="17">
        <v>386123.36</v>
      </c>
      <c r="R65" s="17">
        <v>2629.92</v>
      </c>
      <c r="S65" s="110">
        <v>383493.44</v>
      </c>
    </row>
    <row r="66" spans="1:19" ht="12" customHeight="1" x14ac:dyDescent="0.25">
      <c r="A66" s="5">
        <v>62</v>
      </c>
      <c r="B66" s="6" t="s">
        <v>144</v>
      </c>
      <c r="C66" s="7">
        <v>2826.5</v>
      </c>
      <c r="D66" s="8">
        <v>2826.5</v>
      </c>
      <c r="E66" s="8">
        <v>0</v>
      </c>
      <c r="F66" s="8">
        <v>514.29999999999995</v>
      </c>
      <c r="G66" s="17">
        <v>337060.65</v>
      </c>
      <c r="H66" s="17">
        <v>337060.65</v>
      </c>
      <c r="I66" s="17">
        <v>350542.58999999997</v>
      </c>
      <c r="J66" s="17">
        <v>321723.45999999996</v>
      </c>
      <c r="K66" s="110">
        <v>1346387.35</v>
      </c>
      <c r="L66" s="17">
        <v>289012.95999999996</v>
      </c>
      <c r="M66" s="17">
        <v>325866.25</v>
      </c>
      <c r="N66" s="17">
        <v>339344.96</v>
      </c>
      <c r="O66" s="17">
        <v>391083.94999999995</v>
      </c>
      <c r="P66" s="110">
        <v>1345308.1199999999</v>
      </c>
      <c r="Q66" s="17">
        <v>288014.03000000003</v>
      </c>
      <c r="R66" s="17">
        <v>11824.98</v>
      </c>
      <c r="S66" s="110">
        <v>276189.05000000005</v>
      </c>
    </row>
    <row r="67" spans="1:19" ht="12" customHeight="1" x14ac:dyDescent="0.25">
      <c r="A67" s="5">
        <v>63</v>
      </c>
      <c r="B67" s="6" t="s">
        <v>145</v>
      </c>
      <c r="C67" s="7">
        <v>2848.6</v>
      </c>
      <c r="D67" s="8">
        <v>2848.6</v>
      </c>
      <c r="E67" s="8">
        <v>0</v>
      </c>
      <c r="F67" s="8">
        <v>471.5</v>
      </c>
      <c r="G67" s="17">
        <v>339696.12</v>
      </c>
      <c r="H67" s="17">
        <v>339696.12</v>
      </c>
      <c r="I67" s="17">
        <v>353283.39</v>
      </c>
      <c r="J67" s="17">
        <v>353246.19</v>
      </c>
      <c r="K67" s="110">
        <v>1385921.82</v>
      </c>
      <c r="L67" s="17">
        <v>300237.41000000003</v>
      </c>
      <c r="M67" s="17">
        <v>322912.03000000003</v>
      </c>
      <c r="N67" s="17">
        <v>350045.33</v>
      </c>
      <c r="O67" s="17">
        <v>375347.68</v>
      </c>
      <c r="P67" s="110">
        <v>1348542.45</v>
      </c>
      <c r="Q67" s="17">
        <v>186691.42</v>
      </c>
      <c r="R67" s="17">
        <v>0</v>
      </c>
      <c r="S67" s="110">
        <v>186691.42</v>
      </c>
    </row>
    <row r="68" spans="1:19" ht="12" customHeight="1" x14ac:dyDescent="0.25">
      <c r="A68" s="5">
        <v>64</v>
      </c>
      <c r="B68" s="6" t="s">
        <v>146</v>
      </c>
      <c r="C68" s="7">
        <v>9513.2000000000044</v>
      </c>
      <c r="D68" s="8">
        <v>9513.2000000000044</v>
      </c>
      <c r="E68" s="8">
        <v>0</v>
      </c>
      <c r="F68" s="8">
        <v>2004.8</v>
      </c>
      <c r="G68" s="17">
        <v>1134402.78</v>
      </c>
      <c r="H68" s="17">
        <v>1134402.78</v>
      </c>
      <c r="I68" s="17">
        <v>1179788.6399999999</v>
      </c>
      <c r="J68" s="17">
        <v>1180952.8799999999</v>
      </c>
      <c r="K68" s="110">
        <v>4629547.08</v>
      </c>
      <c r="L68" s="17">
        <v>1075423.81</v>
      </c>
      <c r="M68" s="17">
        <v>1069323.3600000001</v>
      </c>
      <c r="N68" s="17">
        <v>1189950.1000000001</v>
      </c>
      <c r="O68" s="17">
        <v>1272176.6200000001</v>
      </c>
      <c r="P68" s="110">
        <v>4606873.8900000006</v>
      </c>
      <c r="Q68" s="17">
        <v>1090731.1399999999</v>
      </c>
      <c r="R68" s="17">
        <v>1669.18</v>
      </c>
      <c r="S68" s="110">
        <v>1089061.96</v>
      </c>
    </row>
    <row r="69" spans="1:19" ht="12" customHeight="1" x14ac:dyDescent="0.25">
      <c r="A69" s="5">
        <v>65</v>
      </c>
      <c r="B69" s="6" t="s">
        <v>147</v>
      </c>
      <c r="C69" s="7">
        <v>2869.6</v>
      </c>
      <c r="D69" s="8">
        <v>2869.6</v>
      </c>
      <c r="E69" s="8">
        <v>0</v>
      </c>
      <c r="F69" s="8">
        <v>487.4</v>
      </c>
      <c r="G69" s="17">
        <v>342200.37</v>
      </c>
      <c r="H69" s="17">
        <v>342200.37</v>
      </c>
      <c r="I69" s="17">
        <v>355887.72000000003</v>
      </c>
      <c r="J69" s="17">
        <v>355887.72000000003</v>
      </c>
      <c r="K69" s="110">
        <v>1396176.18</v>
      </c>
      <c r="L69" s="17">
        <v>297676.68</v>
      </c>
      <c r="M69" s="17">
        <v>353463.83</v>
      </c>
      <c r="N69" s="17">
        <v>370626.83</v>
      </c>
      <c r="O69" s="17">
        <v>371444</v>
      </c>
      <c r="P69" s="110">
        <v>1393211.34</v>
      </c>
      <c r="Q69" s="17">
        <v>224793.42</v>
      </c>
      <c r="R69" s="17">
        <v>378.94</v>
      </c>
      <c r="S69" s="110">
        <v>224414.48</v>
      </c>
    </row>
    <row r="70" spans="1:19" ht="12" customHeight="1" x14ac:dyDescent="0.25">
      <c r="A70" s="5">
        <v>66</v>
      </c>
      <c r="B70" s="6" t="s">
        <v>148</v>
      </c>
      <c r="C70" s="7">
        <v>2864.7</v>
      </c>
      <c r="D70" s="8">
        <v>2864.7</v>
      </c>
      <c r="E70" s="8">
        <v>0</v>
      </c>
      <c r="F70" s="8">
        <v>487.4</v>
      </c>
      <c r="G70" s="17">
        <v>341317.98</v>
      </c>
      <c r="H70" s="17">
        <v>342112.94</v>
      </c>
      <c r="I70" s="17">
        <v>355280.01</v>
      </c>
      <c r="J70" s="17">
        <v>355280.01</v>
      </c>
      <c r="K70" s="110">
        <v>1393990.94</v>
      </c>
      <c r="L70" s="17">
        <v>300590.2</v>
      </c>
      <c r="M70" s="17">
        <v>325520.21999999997</v>
      </c>
      <c r="N70" s="17">
        <v>353750.12</v>
      </c>
      <c r="O70" s="17">
        <v>440303.04000000004</v>
      </c>
      <c r="P70" s="110">
        <v>1420163.58</v>
      </c>
      <c r="Q70" s="17">
        <v>190441.46</v>
      </c>
      <c r="R70" s="17">
        <v>4025.06</v>
      </c>
      <c r="S70" s="110">
        <v>186416.4</v>
      </c>
    </row>
    <row r="71" spans="1:19" ht="12" customHeight="1" x14ac:dyDescent="0.25">
      <c r="A71" s="5">
        <v>67</v>
      </c>
      <c r="B71" s="6" t="s">
        <v>149</v>
      </c>
      <c r="C71" s="7">
        <v>6521.800000000002</v>
      </c>
      <c r="D71" s="8">
        <v>6015.2000000000016</v>
      </c>
      <c r="E71" s="8">
        <v>506.6</v>
      </c>
      <c r="F71" s="8">
        <v>1729.2</v>
      </c>
      <c r="G71" s="17">
        <v>713162.07000000007</v>
      </c>
      <c r="H71" s="17">
        <v>713162.07000000007</v>
      </c>
      <c r="I71" s="17">
        <v>741674.19000000006</v>
      </c>
      <c r="J71" s="17">
        <v>741674.19000000006</v>
      </c>
      <c r="K71" s="110">
        <v>2909672.52</v>
      </c>
      <c r="L71" s="17">
        <v>617733.78</v>
      </c>
      <c r="M71" s="17">
        <v>749138.41999999993</v>
      </c>
      <c r="N71" s="17">
        <v>671487.95</v>
      </c>
      <c r="O71" s="17">
        <v>782983.13</v>
      </c>
      <c r="P71" s="110">
        <v>2821343.28</v>
      </c>
      <c r="Q71" s="17">
        <v>507099.02</v>
      </c>
      <c r="R71" s="17">
        <v>0</v>
      </c>
      <c r="S71" s="110">
        <v>507099.02</v>
      </c>
    </row>
    <row r="72" spans="1:19" ht="12" customHeight="1" x14ac:dyDescent="0.25">
      <c r="A72" s="5">
        <v>68</v>
      </c>
      <c r="B72" s="6" t="s">
        <v>150</v>
      </c>
      <c r="C72" s="7">
        <v>3038</v>
      </c>
      <c r="D72" s="8">
        <v>3038</v>
      </c>
      <c r="E72" s="8">
        <v>0</v>
      </c>
      <c r="F72" s="8">
        <v>359.49</v>
      </c>
      <c r="G72" s="108">
        <v>362282.01626795833</v>
      </c>
      <c r="H72" s="108">
        <v>362282.01127986208</v>
      </c>
      <c r="I72" s="108">
        <v>376772.83482144319</v>
      </c>
      <c r="J72" s="108">
        <v>376772.83482144319</v>
      </c>
      <c r="K72" s="141">
        <v>1478109.6971907066</v>
      </c>
      <c r="L72" s="186">
        <v>324659.20080124785</v>
      </c>
      <c r="M72" s="186">
        <v>356950.90862819145</v>
      </c>
      <c r="N72" s="108">
        <v>344476.54293407768</v>
      </c>
      <c r="O72" s="108">
        <v>434479.26198505872</v>
      </c>
      <c r="P72" s="141">
        <v>1460565.9143485758</v>
      </c>
      <c r="Q72" s="108">
        <v>473769.93</v>
      </c>
      <c r="R72" s="108">
        <v>612.98</v>
      </c>
      <c r="S72" s="141">
        <v>236015.23915934653</v>
      </c>
    </row>
    <row r="73" spans="1:19" ht="12" customHeight="1" x14ac:dyDescent="0.25">
      <c r="A73" s="5">
        <v>69</v>
      </c>
      <c r="B73" s="6" t="s">
        <v>151</v>
      </c>
      <c r="C73" s="7">
        <v>3052.5</v>
      </c>
      <c r="D73" s="8">
        <v>3052.5</v>
      </c>
      <c r="E73" s="8">
        <v>0</v>
      </c>
      <c r="F73" s="8">
        <v>361.21</v>
      </c>
      <c r="G73" s="108">
        <v>364011.1437320417</v>
      </c>
      <c r="H73" s="108">
        <v>364011.13872013794</v>
      </c>
      <c r="I73" s="108">
        <v>378571.12517855677</v>
      </c>
      <c r="J73" s="108">
        <v>378571.12517855677</v>
      </c>
      <c r="K73" s="141">
        <v>1485164.5328092934</v>
      </c>
      <c r="L73" s="186">
        <v>326208.75919875217</v>
      </c>
      <c r="M73" s="186">
        <v>358654.59137180855</v>
      </c>
      <c r="N73" s="108">
        <v>346120.68706592231</v>
      </c>
      <c r="O73" s="108">
        <v>436552.97801494133</v>
      </c>
      <c r="P73" s="141">
        <v>1467537.0156514244</v>
      </c>
      <c r="Q73" s="17">
        <v>0</v>
      </c>
      <c r="R73" s="17">
        <v>0</v>
      </c>
      <c r="S73" s="141">
        <v>237141.71084065348</v>
      </c>
    </row>
    <row r="74" spans="1:19" ht="12" customHeight="1" x14ac:dyDescent="0.25">
      <c r="A74" s="5">
        <v>70</v>
      </c>
      <c r="B74" s="6" t="s">
        <v>152</v>
      </c>
      <c r="C74" s="7">
        <v>2889</v>
      </c>
      <c r="D74" s="8">
        <v>2889</v>
      </c>
      <c r="E74" s="8">
        <v>0</v>
      </c>
      <c r="F74" s="8">
        <v>457.14</v>
      </c>
      <c r="G74" s="108">
        <v>344339.97636525007</v>
      </c>
      <c r="H74" s="108">
        <v>344339.97636525007</v>
      </c>
      <c r="I74" s="108">
        <v>358293.75285057956</v>
      </c>
      <c r="J74" s="108">
        <v>358293.75285057956</v>
      </c>
      <c r="K74" s="141">
        <v>1405267.4584316593</v>
      </c>
      <c r="L74" s="186">
        <v>303761.06486895692</v>
      </c>
      <c r="M74" s="186">
        <v>352432.26335491281</v>
      </c>
      <c r="N74" s="108">
        <v>344189.46299467474</v>
      </c>
      <c r="O74" s="108">
        <v>396835.16569907073</v>
      </c>
      <c r="P74" s="141">
        <v>1397217.9569176151</v>
      </c>
      <c r="Q74" s="108">
        <v>449568.69</v>
      </c>
      <c r="R74" s="108">
        <v>3977.39</v>
      </c>
      <c r="S74" s="141">
        <v>224028.62164560927</v>
      </c>
    </row>
    <row r="75" spans="1:19" ht="12" customHeight="1" x14ac:dyDescent="0.25">
      <c r="A75" s="5">
        <v>71</v>
      </c>
      <c r="B75" s="6" t="s">
        <v>154</v>
      </c>
      <c r="C75" s="7">
        <v>2857.2</v>
      </c>
      <c r="D75" s="8">
        <v>2857.2</v>
      </c>
      <c r="E75" s="8">
        <v>0</v>
      </c>
      <c r="F75" s="8">
        <v>452.56</v>
      </c>
      <c r="G75" s="108">
        <v>340549.73363474989</v>
      </c>
      <c r="H75" s="108">
        <v>340549.73363474989</v>
      </c>
      <c r="I75" s="108">
        <v>354349.91714942054</v>
      </c>
      <c r="J75" s="108">
        <v>354349.91714942054</v>
      </c>
      <c r="K75" s="141">
        <v>1389799.301568341</v>
      </c>
      <c r="L75" s="186">
        <v>300417.48513104313</v>
      </c>
      <c r="M75" s="186">
        <v>348552.94664508716</v>
      </c>
      <c r="N75" s="108">
        <v>340400.87700532522</v>
      </c>
      <c r="O75" s="108">
        <v>392467.09430092928</v>
      </c>
      <c r="P75" s="141">
        <v>1381838.4030823847</v>
      </c>
      <c r="Q75" s="17">
        <v>0</v>
      </c>
      <c r="R75" s="17">
        <v>0</v>
      </c>
      <c r="S75" s="141">
        <v>221562.67835439069</v>
      </c>
    </row>
    <row r="76" spans="1:19" ht="12" customHeight="1" x14ac:dyDescent="0.25">
      <c r="A76" s="5">
        <v>72</v>
      </c>
      <c r="B76" s="6" t="s">
        <v>155</v>
      </c>
      <c r="C76" s="7">
        <v>3103.7</v>
      </c>
      <c r="D76" s="8">
        <v>3103.7</v>
      </c>
      <c r="E76" s="8">
        <v>0</v>
      </c>
      <c r="F76" s="8">
        <v>798.9</v>
      </c>
      <c r="G76" s="108">
        <v>370116.86</v>
      </c>
      <c r="H76" s="108">
        <v>370116.87</v>
      </c>
      <c r="I76" s="108">
        <v>384920.79</v>
      </c>
      <c r="J76" s="108">
        <v>384920.79</v>
      </c>
      <c r="K76" s="141">
        <v>1510075.31</v>
      </c>
      <c r="L76" s="186">
        <v>311226.32</v>
      </c>
      <c r="M76" s="186">
        <v>345962.04</v>
      </c>
      <c r="N76" s="108">
        <v>338835.93</v>
      </c>
      <c r="O76" s="108">
        <v>425324.95</v>
      </c>
      <c r="P76" s="141">
        <v>1421349.24</v>
      </c>
      <c r="Q76" s="108">
        <v>738969.72</v>
      </c>
      <c r="R76" s="108">
        <v>2303.38</v>
      </c>
      <c r="S76" s="141">
        <v>736666.34</v>
      </c>
    </row>
    <row r="77" spans="1:19" ht="12" customHeight="1" x14ac:dyDescent="0.25">
      <c r="A77" s="5">
        <v>73</v>
      </c>
      <c r="B77" s="6" t="s">
        <v>156</v>
      </c>
      <c r="C77" s="7">
        <v>3039</v>
      </c>
      <c r="D77" s="8">
        <v>3039</v>
      </c>
      <c r="E77" s="8">
        <v>0</v>
      </c>
      <c r="F77" s="8">
        <v>338.66</v>
      </c>
      <c r="G77" s="108">
        <v>362401.24758699397</v>
      </c>
      <c r="H77" s="108">
        <v>362401.24758699397</v>
      </c>
      <c r="I77" s="108">
        <v>376896.71063938877</v>
      </c>
      <c r="J77" s="108">
        <v>377072.12262007152</v>
      </c>
      <c r="K77" s="141">
        <v>1478771.3284334482</v>
      </c>
      <c r="L77" s="186">
        <v>320251.0453707992</v>
      </c>
      <c r="M77" s="186">
        <v>359935.15618384496</v>
      </c>
      <c r="N77" s="108">
        <v>360298.99279902095</v>
      </c>
      <c r="O77" s="108">
        <v>435761.63400535862</v>
      </c>
      <c r="P77" s="141">
        <v>1476246.8283590237</v>
      </c>
      <c r="Q77" s="108">
        <v>298493.21999999997</v>
      </c>
      <c r="R77" s="108">
        <v>1696.92</v>
      </c>
      <c r="S77" s="141">
        <v>149173.71588052396</v>
      </c>
    </row>
    <row r="78" spans="1:19" ht="12" customHeight="1" x14ac:dyDescent="0.25">
      <c r="A78" s="5">
        <v>74</v>
      </c>
      <c r="B78" s="6" t="s">
        <v>157</v>
      </c>
      <c r="C78" s="7">
        <v>3007.4</v>
      </c>
      <c r="D78" s="8">
        <v>3007.4</v>
      </c>
      <c r="E78" s="8">
        <v>0</v>
      </c>
      <c r="F78" s="8">
        <v>335.14</v>
      </c>
      <c r="G78" s="108">
        <v>358632.94241300609</v>
      </c>
      <c r="H78" s="108">
        <v>358632.94241300609</v>
      </c>
      <c r="I78" s="108">
        <v>372977.67936061131</v>
      </c>
      <c r="J78" s="108">
        <v>373151.26737992861</v>
      </c>
      <c r="K78" s="141">
        <v>1463394.8315665522</v>
      </c>
      <c r="L78" s="186">
        <v>316921.02462920087</v>
      </c>
      <c r="M78" s="186">
        <v>356192.49381615513</v>
      </c>
      <c r="N78" s="108">
        <v>356552.54720097914</v>
      </c>
      <c r="O78" s="108">
        <v>431230.51599464152</v>
      </c>
      <c r="P78" s="141">
        <v>1460896.5816409767</v>
      </c>
      <c r="Q78" s="17">
        <v>0</v>
      </c>
      <c r="R78" s="17">
        <v>0</v>
      </c>
      <c r="S78" s="141">
        <v>147622.58411947606</v>
      </c>
    </row>
    <row r="79" spans="1:19" ht="12" customHeight="1" x14ac:dyDescent="0.25">
      <c r="A79" s="5">
        <v>75</v>
      </c>
      <c r="B79" s="6" t="s">
        <v>158</v>
      </c>
      <c r="C79" s="7">
        <v>6944.01</v>
      </c>
      <c r="D79" s="8">
        <v>6944.01</v>
      </c>
      <c r="E79" s="8">
        <v>0</v>
      </c>
      <c r="F79" s="8">
        <v>706.4</v>
      </c>
      <c r="G79" s="17">
        <v>569763.87</v>
      </c>
      <c r="H79" s="17">
        <v>569757.17999999993</v>
      </c>
      <c r="I79" s="17">
        <v>592463.07000000007</v>
      </c>
      <c r="J79" s="17">
        <v>592463.07000000007</v>
      </c>
      <c r="K79" s="110">
        <v>2324447.19</v>
      </c>
      <c r="L79" s="17">
        <v>547891.94999999995</v>
      </c>
      <c r="M79" s="17">
        <v>561486.15999999992</v>
      </c>
      <c r="N79" s="17">
        <v>577871.96</v>
      </c>
      <c r="O79" s="17">
        <v>659145.4</v>
      </c>
      <c r="P79" s="110">
        <v>2346395.4699999997</v>
      </c>
      <c r="Q79" s="17">
        <v>737980.02</v>
      </c>
      <c r="R79" s="17">
        <v>413.37</v>
      </c>
      <c r="S79" s="110">
        <v>737566.65</v>
      </c>
    </row>
    <row r="80" spans="1:19" ht="12" customHeight="1" x14ac:dyDescent="0.25">
      <c r="A80" s="5">
        <v>76</v>
      </c>
      <c r="B80" s="6" t="s">
        <v>159</v>
      </c>
      <c r="C80" s="7">
        <v>6622.8</v>
      </c>
      <c r="D80" s="8">
        <v>5469.6</v>
      </c>
      <c r="E80" s="8">
        <v>1153.2</v>
      </c>
      <c r="F80" s="8">
        <v>1385.2</v>
      </c>
      <c r="G80" s="17">
        <v>599577.51</v>
      </c>
      <c r="H80" s="17">
        <v>599577.51</v>
      </c>
      <c r="I80" s="17">
        <v>599577.51</v>
      </c>
      <c r="J80" s="17">
        <v>545794.43000000005</v>
      </c>
      <c r="K80" s="110">
        <v>2344526.96</v>
      </c>
      <c r="L80" s="17">
        <v>494331.39999999997</v>
      </c>
      <c r="M80" s="17">
        <v>577642.41999999993</v>
      </c>
      <c r="N80" s="17">
        <v>581398.24</v>
      </c>
      <c r="O80" s="17">
        <v>665454.19000000006</v>
      </c>
      <c r="P80" s="110">
        <v>2318826.25</v>
      </c>
      <c r="Q80" s="17">
        <v>494160.11</v>
      </c>
      <c r="R80" s="17">
        <v>1869.61</v>
      </c>
      <c r="S80" s="110">
        <v>492290.5</v>
      </c>
    </row>
    <row r="81" spans="1:19" ht="12" customHeight="1" x14ac:dyDescent="0.25">
      <c r="A81" s="5">
        <v>77</v>
      </c>
      <c r="B81" s="6" t="s">
        <v>161</v>
      </c>
      <c r="C81" s="7">
        <v>3447.6</v>
      </c>
      <c r="D81" s="8">
        <v>2670.2</v>
      </c>
      <c r="E81" s="8">
        <v>777.4</v>
      </c>
      <c r="F81" s="8">
        <v>329.4</v>
      </c>
      <c r="G81" s="17">
        <v>180575.45</v>
      </c>
      <c r="H81" s="17">
        <v>43432.430000000008</v>
      </c>
      <c r="I81" s="17">
        <v>223735.01</v>
      </c>
      <c r="J81" s="17">
        <v>227821.47000000003</v>
      </c>
      <c r="K81" s="110">
        <v>675564.3600000001</v>
      </c>
      <c r="L81" s="17">
        <v>187763.69</v>
      </c>
      <c r="M81" s="17">
        <v>700024.10000000009</v>
      </c>
      <c r="N81" s="17">
        <v>831.26</v>
      </c>
      <c r="O81" s="17">
        <v>2501.3000000000002</v>
      </c>
      <c r="P81" s="110">
        <v>891120.35000000009</v>
      </c>
      <c r="Q81" s="17">
        <v>137199.85999999999</v>
      </c>
      <c r="R81" s="17">
        <v>152473.97</v>
      </c>
      <c r="S81" s="110">
        <v>-15274.110000000015</v>
      </c>
    </row>
    <row r="82" spans="1:19" ht="12" customHeight="1" x14ac:dyDescent="0.25">
      <c r="A82" s="5">
        <v>78</v>
      </c>
      <c r="B82" s="6" t="s">
        <v>162</v>
      </c>
      <c r="C82" s="7">
        <v>3176.2</v>
      </c>
      <c r="D82" s="8">
        <v>3176.2</v>
      </c>
      <c r="E82" s="8">
        <v>0</v>
      </c>
      <c r="F82" s="8">
        <v>326.8</v>
      </c>
      <c r="G82" s="17">
        <v>260607.57</v>
      </c>
      <c r="H82" s="17">
        <v>260607.57</v>
      </c>
      <c r="I82" s="17">
        <v>270993.48</v>
      </c>
      <c r="J82" s="17">
        <v>270993.48</v>
      </c>
      <c r="K82" s="110">
        <v>1063202.1000000001</v>
      </c>
      <c r="L82" s="17">
        <v>212331.91</v>
      </c>
      <c r="M82" s="17">
        <v>238525.61</v>
      </c>
      <c r="N82" s="17">
        <v>237560.34000000003</v>
      </c>
      <c r="O82" s="17">
        <v>268569.74</v>
      </c>
      <c r="P82" s="110">
        <v>956987.60000000009</v>
      </c>
      <c r="Q82" s="17">
        <v>416991.13</v>
      </c>
      <c r="R82" s="17">
        <v>3657.25</v>
      </c>
      <c r="S82" s="110">
        <v>413333.88</v>
      </c>
    </row>
    <row r="83" spans="1:19" ht="12" customHeight="1" x14ac:dyDescent="0.25">
      <c r="A83" s="5">
        <v>79</v>
      </c>
      <c r="B83" s="6" t="s">
        <v>163</v>
      </c>
      <c r="C83" s="7">
        <v>10284.4</v>
      </c>
      <c r="D83" s="8">
        <v>10284.4</v>
      </c>
      <c r="E83" s="8">
        <v>0</v>
      </c>
      <c r="F83" s="8">
        <v>1304.9000000000001</v>
      </c>
      <c r="G83" s="17">
        <v>1227714.6000000001</v>
      </c>
      <c r="H83" s="17">
        <v>1226415.93</v>
      </c>
      <c r="I83" s="17">
        <v>1275471.3599999999</v>
      </c>
      <c r="J83" s="17">
        <v>1086891.53</v>
      </c>
      <c r="K83" s="110">
        <v>4816493.42</v>
      </c>
      <c r="L83" s="17">
        <v>1084123.8999999999</v>
      </c>
      <c r="M83" s="17">
        <v>1208151.19</v>
      </c>
      <c r="N83" s="17">
        <v>1329410.75</v>
      </c>
      <c r="O83" s="17">
        <v>1461819.72</v>
      </c>
      <c r="P83" s="110">
        <v>5083505.5599999996</v>
      </c>
      <c r="Q83" s="17">
        <v>1178714.42</v>
      </c>
      <c r="R83" s="17">
        <v>1802.86</v>
      </c>
      <c r="S83" s="110">
        <v>1176911.5599999998</v>
      </c>
    </row>
    <row r="84" spans="1:19" ht="12" customHeight="1" x14ac:dyDescent="0.25">
      <c r="A84" s="5">
        <v>80</v>
      </c>
      <c r="B84" s="6" t="s">
        <v>164</v>
      </c>
      <c r="C84" s="7">
        <v>22940.107170224412</v>
      </c>
      <c r="D84" s="8">
        <v>22219.20717022441</v>
      </c>
      <c r="E84" s="8">
        <v>720.9</v>
      </c>
      <c r="F84" s="8">
        <v>5560</v>
      </c>
      <c r="G84" s="17">
        <v>2435135.9700000002</v>
      </c>
      <c r="H84" s="17">
        <v>2434836.36</v>
      </c>
      <c r="I84" s="17">
        <v>2435947.19</v>
      </c>
      <c r="J84" s="17">
        <v>2435669.4899999998</v>
      </c>
      <c r="K84" s="110">
        <v>9741589.0099999998</v>
      </c>
      <c r="L84" s="17">
        <v>2160969.2999999998</v>
      </c>
      <c r="M84" s="17">
        <v>2434701.63</v>
      </c>
      <c r="N84" s="17">
        <v>2312750.1800000002</v>
      </c>
      <c r="O84" s="17">
        <v>2637762.38</v>
      </c>
      <c r="P84" s="110">
        <v>9546183.4899999984</v>
      </c>
      <c r="Q84" s="17">
        <v>2879942.5</v>
      </c>
      <c r="R84" s="17">
        <v>21121.81</v>
      </c>
      <c r="S84" s="110">
        <v>2858820.69</v>
      </c>
    </row>
    <row r="85" spans="1:19" ht="12" customHeight="1" x14ac:dyDescent="0.25">
      <c r="A85" s="5">
        <v>81</v>
      </c>
      <c r="B85" s="6" t="s">
        <v>165</v>
      </c>
      <c r="C85" s="7">
        <v>3520.6</v>
      </c>
      <c r="D85" s="8">
        <v>3520.6</v>
      </c>
      <c r="E85" s="8">
        <v>0</v>
      </c>
      <c r="F85" s="8">
        <v>328.2</v>
      </c>
      <c r="G85" s="17">
        <v>288865.80000000005</v>
      </c>
      <c r="H85" s="17">
        <v>288865.80000000005</v>
      </c>
      <c r="I85" s="17">
        <v>300377.69999999995</v>
      </c>
      <c r="J85" s="17">
        <v>300377.69999999995</v>
      </c>
      <c r="K85" s="110">
        <v>1178487</v>
      </c>
      <c r="L85" s="17">
        <v>272291.13</v>
      </c>
      <c r="M85" s="17">
        <v>316153.52</v>
      </c>
      <c r="N85" s="17">
        <v>281055.01</v>
      </c>
      <c r="O85" s="17">
        <v>284636.81</v>
      </c>
      <c r="P85" s="110">
        <v>1154136.47</v>
      </c>
      <c r="Q85" s="17">
        <v>353175.39</v>
      </c>
      <c r="R85" s="17">
        <v>0</v>
      </c>
      <c r="S85" s="110">
        <v>353175.39</v>
      </c>
    </row>
    <row r="86" spans="1:19" ht="12" customHeight="1" x14ac:dyDescent="0.25">
      <c r="A86" s="5">
        <v>82</v>
      </c>
      <c r="B86" s="6" t="s">
        <v>166</v>
      </c>
      <c r="C86" s="7">
        <v>3523.58</v>
      </c>
      <c r="D86" s="8">
        <v>3523.58</v>
      </c>
      <c r="E86" s="8">
        <v>0</v>
      </c>
      <c r="F86" s="8">
        <v>313.8</v>
      </c>
      <c r="G86" s="17">
        <v>289110.48</v>
      </c>
      <c r="H86" s="17">
        <v>289110.48</v>
      </c>
      <c r="I86" s="17">
        <v>300631.94999999995</v>
      </c>
      <c r="J86" s="17">
        <v>299360.68</v>
      </c>
      <c r="K86" s="110">
        <v>1178213.5899999999</v>
      </c>
      <c r="L86" s="17">
        <v>254444.13</v>
      </c>
      <c r="M86" s="17">
        <v>241122.13</v>
      </c>
      <c r="N86" s="17">
        <v>282281.69</v>
      </c>
      <c r="O86" s="17">
        <v>303017.38</v>
      </c>
      <c r="P86" s="110">
        <v>1080865.33</v>
      </c>
      <c r="Q86" s="17">
        <v>894189.95</v>
      </c>
      <c r="R86" s="17">
        <v>8232.42</v>
      </c>
      <c r="S86" s="110">
        <v>885957.52999999991</v>
      </c>
    </row>
    <row r="87" spans="1:19" ht="12" customHeight="1" x14ac:dyDescent="0.25">
      <c r="A87" s="5">
        <v>83</v>
      </c>
      <c r="B87" s="6" t="s">
        <v>167</v>
      </c>
      <c r="C87" s="7">
        <v>3477.26</v>
      </c>
      <c r="D87" s="8">
        <v>3477.26</v>
      </c>
      <c r="E87" s="8">
        <v>0</v>
      </c>
      <c r="F87" s="8">
        <v>363.6</v>
      </c>
      <c r="G87" s="17">
        <v>285375.39</v>
      </c>
      <c r="H87" s="17">
        <v>285309.75</v>
      </c>
      <c r="I87" s="17">
        <v>296679.87</v>
      </c>
      <c r="J87" s="17">
        <v>296679.87</v>
      </c>
      <c r="K87" s="110">
        <v>1164044.8799999999</v>
      </c>
      <c r="L87" s="17">
        <v>228709.11</v>
      </c>
      <c r="M87" s="17">
        <v>240770.03</v>
      </c>
      <c r="N87" s="17">
        <v>257281.19999999998</v>
      </c>
      <c r="O87" s="17">
        <v>329451.90000000002</v>
      </c>
      <c r="P87" s="110">
        <v>1056212.24</v>
      </c>
      <c r="Q87" s="17">
        <v>480577.4</v>
      </c>
      <c r="R87" s="17">
        <v>13587.94</v>
      </c>
      <c r="S87" s="110">
        <v>466989.46</v>
      </c>
    </row>
    <row r="88" spans="1:19" ht="12" customHeight="1" x14ac:dyDescent="0.25">
      <c r="A88" s="5">
        <v>84</v>
      </c>
      <c r="B88" s="6" t="s">
        <v>168</v>
      </c>
      <c r="C88" s="7">
        <v>3071.9</v>
      </c>
      <c r="D88" s="8">
        <v>3071.9</v>
      </c>
      <c r="E88" s="8">
        <v>0</v>
      </c>
      <c r="F88" s="8">
        <v>340.85</v>
      </c>
      <c r="G88" s="108">
        <v>366324.65557115502</v>
      </c>
      <c r="H88" s="108">
        <v>365679.27659008722</v>
      </c>
      <c r="I88" s="108">
        <v>380977.05006381619</v>
      </c>
      <c r="J88" s="108">
        <v>380977.05006381619</v>
      </c>
      <c r="K88" s="141">
        <v>1493958.0322888745</v>
      </c>
      <c r="L88" s="186">
        <v>301371.24947457988</v>
      </c>
      <c r="M88" s="186">
        <v>375503.77707509045</v>
      </c>
      <c r="N88" s="108">
        <v>411246.02447989787</v>
      </c>
      <c r="O88" s="108">
        <v>418413.82130610506</v>
      </c>
      <c r="P88" s="141">
        <v>1506534.8723356733</v>
      </c>
      <c r="Q88" s="108">
        <v>620931.59</v>
      </c>
      <c r="R88" s="108">
        <v>918.22</v>
      </c>
      <c r="S88" s="141">
        <v>311655.30595830671</v>
      </c>
    </row>
    <row r="89" spans="1:19" ht="12" customHeight="1" x14ac:dyDescent="0.25">
      <c r="A89" s="5">
        <v>85</v>
      </c>
      <c r="B89" s="6" t="s">
        <v>169</v>
      </c>
      <c r="C89" s="7">
        <v>3039.4</v>
      </c>
      <c r="D89" s="8">
        <v>3039.4</v>
      </c>
      <c r="E89" s="8">
        <v>0</v>
      </c>
      <c r="F89" s="8">
        <v>337.25</v>
      </c>
      <c r="G89" s="108">
        <v>362449.02442884492</v>
      </c>
      <c r="H89" s="108">
        <v>361810.47340991278</v>
      </c>
      <c r="I89" s="108">
        <v>376946.39993618376</v>
      </c>
      <c r="J89" s="108">
        <v>376946.39993618376</v>
      </c>
      <c r="K89" s="141">
        <v>1478152.2977111253</v>
      </c>
      <c r="L89" s="186">
        <v>298182.81052542012</v>
      </c>
      <c r="M89" s="186">
        <v>371531.03292490961</v>
      </c>
      <c r="N89" s="108">
        <v>406895.13552010211</v>
      </c>
      <c r="O89" s="108">
        <v>413987.09869389492</v>
      </c>
      <c r="P89" s="141">
        <v>1490596.0776643266</v>
      </c>
      <c r="Q89" s="17">
        <v>0</v>
      </c>
      <c r="R89" s="17">
        <v>0</v>
      </c>
      <c r="S89" s="141">
        <v>308358.06404169323</v>
      </c>
    </row>
    <row r="90" spans="1:19" ht="12" customHeight="1" x14ac:dyDescent="0.25">
      <c r="A90" s="5">
        <v>86</v>
      </c>
      <c r="B90" s="6" t="s">
        <v>170</v>
      </c>
      <c r="C90" s="7">
        <v>8990.7000000000007</v>
      </c>
      <c r="D90" s="8">
        <v>8990.7000000000007</v>
      </c>
      <c r="E90" s="8">
        <v>0</v>
      </c>
      <c r="F90" s="8">
        <v>835.8</v>
      </c>
      <c r="G90" s="17">
        <v>1072142.73</v>
      </c>
      <c r="H90" s="17">
        <v>1072142.73</v>
      </c>
      <c r="I90" s="17">
        <v>1115026.74</v>
      </c>
      <c r="J90" s="17">
        <v>1115026.74</v>
      </c>
      <c r="K90" s="110">
        <v>4374338.9400000004</v>
      </c>
      <c r="L90" s="17">
        <v>934152.3600000001</v>
      </c>
      <c r="M90" s="17">
        <v>1002397.12</v>
      </c>
      <c r="N90" s="17">
        <v>1014477.62</v>
      </c>
      <c r="O90" s="17">
        <v>1161119.6200000001</v>
      </c>
      <c r="P90" s="110">
        <v>4112146.72</v>
      </c>
      <c r="Q90" s="17">
        <v>1393149.24</v>
      </c>
      <c r="R90" s="17">
        <v>3017.58</v>
      </c>
      <c r="S90" s="110">
        <v>1390131.66</v>
      </c>
    </row>
    <row r="91" spans="1:19" ht="12" customHeight="1" x14ac:dyDescent="0.25">
      <c r="A91" s="5">
        <v>87</v>
      </c>
      <c r="B91" s="6" t="s">
        <v>171</v>
      </c>
      <c r="C91" s="7">
        <v>3242.2</v>
      </c>
      <c r="D91" s="8">
        <v>2712.7</v>
      </c>
      <c r="E91" s="8">
        <v>529.5</v>
      </c>
      <c r="F91" s="8">
        <v>305.5</v>
      </c>
      <c r="G91" s="17">
        <v>213100.74</v>
      </c>
      <c r="H91" s="17">
        <v>240266.97000000003</v>
      </c>
      <c r="I91" s="17">
        <v>231447.41999999998</v>
      </c>
      <c r="J91" s="17">
        <v>231447.41999999998</v>
      </c>
      <c r="K91" s="110">
        <v>916262.55</v>
      </c>
      <c r="L91" s="17">
        <v>203766.46000000002</v>
      </c>
      <c r="M91" s="17">
        <v>217367.8</v>
      </c>
      <c r="N91" s="17">
        <v>209340.89</v>
      </c>
      <c r="O91" s="17">
        <v>242788.47000000003</v>
      </c>
      <c r="P91" s="110">
        <v>873263.62000000011</v>
      </c>
      <c r="Q91" s="17">
        <v>293906.28000000003</v>
      </c>
      <c r="R91" s="17">
        <v>2102.87</v>
      </c>
      <c r="S91" s="110">
        <v>291803.41000000003</v>
      </c>
    </row>
    <row r="92" spans="1:19" ht="12" customHeight="1" x14ac:dyDescent="0.25">
      <c r="A92" s="5">
        <v>88</v>
      </c>
      <c r="B92" s="6" t="s">
        <v>172</v>
      </c>
      <c r="C92" s="7">
        <v>3473.5</v>
      </c>
      <c r="D92" s="8">
        <v>3473.5</v>
      </c>
      <c r="E92" s="8">
        <v>0</v>
      </c>
      <c r="F92" s="8">
        <v>325.60000000000002</v>
      </c>
      <c r="G92" s="17">
        <v>284990.38</v>
      </c>
      <c r="H92" s="17">
        <v>285001.32</v>
      </c>
      <c r="I92" s="17">
        <v>296359.08</v>
      </c>
      <c r="J92" s="17">
        <v>296359.08</v>
      </c>
      <c r="K92" s="110">
        <v>1162709.8600000001</v>
      </c>
      <c r="L92" s="17">
        <v>273338.05</v>
      </c>
      <c r="M92" s="17">
        <v>297160.08</v>
      </c>
      <c r="N92" s="17">
        <v>256237.76</v>
      </c>
      <c r="O92" s="17">
        <v>302662.45999999996</v>
      </c>
      <c r="P92" s="110">
        <v>1129398.3500000001</v>
      </c>
      <c r="Q92" s="17">
        <v>432168.42</v>
      </c>
      <c r="R92" s="17">
        <v>1566.52</v>
      </c>
      <c r="S92" s="110">
        <v>430601.89999999997</v>
      </c>
    </row>
    <row r="93" spans="1:19" ht="12" customHeight="1" x14ac:dyDescent="0.25">
      <c r="A93" s="5">
        <v>89</v>
      </c>
      <c r="B93" s="6" t="s">
        <v>173</v>
      </c>
      <c r="C93" s="7">
        <v>3480.2</v>
      </c>
      <c r="D93" s="8">
        <v>3480.2</v>
      </c>
      <c r="E93" s="8">
        <v>0</v>
      </c>
      <c r="F93" s="8">
        <v>307.7</v>
      </c>
      <c r="G93" s="17">
        <v>285551.03999999998</v>
      </c>
      <c r="H93" s="17">
        <v>285551.03999999998</v>
      </c>
      <c r="I93" s="17">
        <v>296930.84999999998</v>
      </c>
      <c r="J93" s="17">
        <v>296930.84999999998</v>
      </c>
      <c r="K93" s="110">
        <v>1164963.7799999998</v>
      </c>
      <c r="L93" s="17">
        <v>272783.31</v>
      </c>
      <c r="M93" s="17">
        <v>269135.39</v>
      </c>
      <c r="N93" s="17">
        <v>283882.88</v>
      </c>
      <c r="O93" s="17">
        <v>325422.05999999994</v>
      </c>
      <c r="P93" s="110">
        <v>1151223.6399999999</v>
      </c>
      <c r="Q93" s="17">
        <v>260396.2</v>
      </c>
      <c r="R93" s="17">
        <v>5564.5</v>
      </c>
      <c r="S93" s="110">
        <v>254831.7</v>
      </c>
    </row>
    <row r="94" spans="1:19" ht="12" customHeight="1" x14ac:dyDescent="0.25">
      <c r="A94" s="5">
        <v>90</v>
      </c>
      <c r="B94" s="6" t="s">
        <v>174</v>
      </c>
      <c r="C94" s="7">
        <v>3501.57</v>
      </c>
      <c r="D94" s="8">
        <v>3501.57</v>
      </c>
      <c r="E94" s="8">
        <v>0</v>
      </c>
      <c r="F94" s="8">
        <v>302.8</v>
      </c>
      <c r="G94" s="17">
        <v>287304.39</v>
      </c>
      <c r="H94" s="17">
        <v>287304.39</v>
      </c>
      <c r="I94" s="17">
        <v>298753.89</v>
      </c>
      <c r="J94" s="17">
        <v>298753.89</v>
      </c>
      <c r="K94" s="110">
        <v>1172116.56</v>
      </c>
      <c r="L94" s="17">
        <v>260920.74</v>
      </c>
      <c r="M94" s="17">
        <v>291863.52</v>
      </c>
      <c r="N94" s="17">
        <v>281048.21999999997</v>
      </c>
      <c r="O94" s="17">
        <v>330580.17000000004</v>
      </c>
      <c r="P94" s="110">
        <v>1164412.6499999999</v>
      </c>
      <c r="Q94" s="17">
        <v>103937.15</v>
      </c>
      <c r="R94" s="17">
        <v>33.4</v>
      </c>
      <c r="S94" s="110">
        <v>103903.75</v>
      </c>
    </row>
    <row r="95" spans="1:19" ht="12" customHeight="1" x14ac:dyDescent="0.25">
      <c r="A95" s="5">
        <v>91</v>
      </c>
      <c r="B95" s="6" t="s">
        <v>175</v>
      </c>
      <c r="C95" s="7">
        <v>3661.5</v>
      </c>
      <c r="D95" s="8">
        <v>3513.8</v>
      </c>
      <c r="E95" s="8">
        <v>147.69999999999999</v>
      </c>
      <c r="F95" s="8">
        <v>431</v>
      </c>
      <c r="G95" s="17">
        <v>420285.03</v>
      </c>
      <c r="H95" s="17">
        <v>419021.25</v>
      </c>
      <c r="I95" s="17">
        <v>435781.41000000003</v>
      </c>
      <c r="J95" s="17">
        <v>453523.29</v>
      </c>
      <c r="K95" s="110">
        <v>1728610.98</v>
      </c>
      <c r="L95" s="17">
        <v>386775.91</v>
      </c>
      <c r="M95" s="17">
        <v>447283.29000000004</v>
      </c>
      <c r="N95" s="17">
        <v>444732.85000000003</v>
      </c>
      <c r="O95" s="17">
        <v>512028.1</v>
      </c>
      <c r="P95" s="110">
        <v>1790820.15</v>
      </c>
      <c r="Q95" s="17">
        <v>304316.31</v>
      </c>
      <c r="R95" s="17">
        <v>25436.53</v>
      </c>
      <c r="S95" s="110">
        <v>278879.78000000003</v>
      </c>
    </row>
    <row r="96" spans="1:19" ht="12" customHeight="1" x14ac:dyDescent="0.25">
      <c r="A96" s="5">
        <v>92</v>
      </c>
      <c r="B96" s="6" t="s">
        <v>176</v>
      </c>
      <c r="C96" s="7">
        <v>3644.4</v>
      </c>
      <c r="D96" s="8">
        <v>3644.4</v>
      </c>
      <c r="E96" s="8">
        <v>0</v>
      </c>
      <c r="F96" s="8">
        <v>441.1</v>
      </c>
      <c r="G96" s="17">
        <v>434595.44999999995</v>
      </c>
      <c r="H96" s="17">
        <v>434595.44999999995</v>
      </c>
      <c r="I96" s="17">
        <v>451978.47</v>
      </c>
      <c r="J96" s="17">
        <v>451978.45999999996</v>
      </c>
      <c r="K96" s="110">
        <v>1773147.8299999998</v>
      </c>
      <c r="L96" s="17">
        <v>383480.99</v>
      </c>
      <c r="M96" s="17">
        <v>435689.98000000004</v>
      </c>
      <c r="N96" s="17">
        <v>435918.54999999993</v>
      </c>
      <c r="O96" s="17">
        <v>484560.10000000003</v>
      </c>
      <c r="P96" s="110">
        <v>1739649.62</v>
      </c>
      <c r="Q96" s="17">
        <v>219833.65</v>
      </c>
      <c r="R96" s="17">
        <v>9858.89</v>
      </c>
      <c r="S96" s="110">
        <v>209974.76</v>
      </c>
    </row>
    <row r="97" spans="1:19" ht="12" customHeight="1" x14ac:dyDescent="0.25">
      <c r="A97" s="5">
        <v>93</v>
      </c>
      <c r="B97" s="6" t="s">
        <v>177</v>
      </c>
      <c r="C97" s="7">
        <v>8981.23</v>
      </c>
      <c r="D97" s="8">
        <v>8981.23</v>
      </c>
      <c r="E97" s="8">
        <v>0</v>
      </c>
      <c r="F97" s="8">
        <v>907.9</v>
      </c>
      <c r="G97" s="17">
        <v>1071044.97</v>
      </c>
      <c r="H97" s="17">
        <v>1071013.17</v>
      </c>
      <c r="I97" s="17">
        <v>1113852.03</v>
      </c>
      <c r="J97" s="17">
        <v>1113852.03</v>
      </c>
      <c r="K97" s="110">
        <v>4369762.2</v>
      </c>
      <c r="L97" s="17">
        <v>960849.51</v>
      </c>
      <c r="M97" s="17">
        <v>1048639.06</v>
      </c>
      <c r="N97" s="17">
        <v>1038308</v>
      </c>
      <c r="O97" s="17">
        <v>1185597.8399999999</v>
      </c>
      <c r="P97" s="110">
        <v>4233394.41</v>
      </c>
      <c r="Q97" s="17">
        <v>811271.67</v>
      </c>
      <c r="R97" s="17">
        <v>3507.58</v>
      </c>
      <c r="S97" s="110">
        <v>807764.09000000008</v>
      </c>
    </row>
    <row r="98" spans="1:19" ht="12" customHeight="1" x14ac:dyDescent="0.25">
      <c r="A98" s="5">
        <v>94</v>
      </c>
      <c r="B98" s="6" t="s">
        <v>178</v>
      </c>
      <c r="C98" s="7">
        <v>8840.4</v>
      </c>
      <c r="D98" s="8">
        <v>6805.3</v>
      </c>
      <c r="E98" s="8">
        <v>2035.1</v>
      </c>
      <c r="F98" s="8">
        <v>891.3</v>
      </c>
      <c r="G98" s="17">
        <v>811533.2</v>
      </c>
      <c r="H98" s="17">
        <v>811533.21</v>
      </c>
      <c r="I98" s="17">
        <v>843993.33</v>
      </c>
      <c r="J98" s="17">
        <v>844165.98</v>
      </c>
      <c r="K98" s="110">
        <v>3311225.7199999997</v>
      </c>
      <c r="L98" s="17">
        <v>704983.04000000004</v>
      </c>
      <c r="M98" s="17">
        <v>810769.96</v>
      </c>
      <c r="N98" s="17">
        <v>777387.67999999993</v>
      </c>
      <c r="O98" s="17">
        <v>966821.89999999991</v>
      </c>
      <c r="P98" s="110">
        <v>3259962.5799999996</v>
      </c>
      <c r="Q98" s="17">
        <v>647864.15</v>
      </c>
      <c r="R98" s="17">
        <v>14369</v>
      </c>
      <c r="S98" s="110">
        <v>633495.15</v>
      </c>
    </row>
    <row r="99" spans="1:19" ht="12" customHeight="1" x14ac:dyDescent="0.25">
      <c r="A99" s="5">
        <v>95</v>
      </c>
      <c r="B99" s="6" t="s">
        <v>179</v>
      </c>
      <c r="C99" s="7">
        <v>6129.1</v>
      </c>
      <c r="D99" s="8">
        <v>5037.1000000000004</v>
      </c>
      <c r="E99" s="8">
        <v>1092</v>
      </c>
      <c r="F99" s="8">
        <v>913.65</v>
      </c>
      <c r="G99" s="17">
        <v>600674.94000000006</v>
      </c>
      <c r="H99" s="17">
        <v>600674.94000000006</v>
      </c>
      <c r="I99" s="17">
        <v>624701.07000000007</v>
      </c>
      <c r="J99" s="17">
        <v>624701.07000000007</v>
      </c>
      <c r="K99" s="110">
        <v>2450752.0200000005</v>
      </c>
      <c r="L99" s="17">
        <v>540010.56000000006</v>
      </c>
      <c r="M99" s="17">
        <v>616415.34</v>
      </c>
      <c r="N99" s="17">
        <v>615920.51</v>
      </c>
      <c r="O99" s="17">
        <v>739030.69</v>
      </c>
      <c r="P99" s="110">
        <v>2511377.0999999996</v>
      </c>
      <c r="Q99" s="17">
        <v>313891.40000000002</v>
      </c>
      <c r="R99" s="17">
        <v>4984.26</v>
      </c>
      <c r="S99" s="110">
        <v>308907.14</v>
      </c>
    </row>
    <row r="100" spans="1:19" ht="12" customHeight="1" x14ac:dyDescent="0.25">
      <c r="A100" s="5">
        <v>96</v>
      </c>
      <c r="B100" s="6" t="s">
        <v>180</v>
      </c>
      <c r="C100" s="7">
        <v>5021.8999999999996</v>
      </c>
      <c r="D100" s="8">
        <v>5021.8999999999996</v>
      </c>
      <c r="E100" s="8">
        <v>0</v>
      </c>
      <c r="F100" s="8">
        <v>913.65</v>
      </c>
      <c r="G100" s="17">
        <v>598910.12</v>
      </c>
      <c r="H100" s="17">
        <v>598862.39999999991</v>
      </c>
      <c r="I100" s="17">
        <v>622815.96</v>
      </c>
      <c r="J100" s="17">
        <v>622815.96</v>
      </c>
      <c r="K100" s="110">
        <v>2443404.44</v>
      </c>
      <c r="L100" s="17">
        <v>532776.28</v>
      </c>
      <c r="M100" s="17">
        <v>582780.66</v>
      </c>
      <c r="N100" s="17">
        <v>585125.89</v>
      </c>
      <c r="O100" s="17">
        <v>622228.05000000005</v>
      </c>
      <c r="P100" s="110">
        <v>2322910.88</v>
      </c>
      <c r="Q100" s="17">
        <v>402484.86</v>
      </c>
      <c r="R100" s="17">
        <v>145</v>
      </c>
      <c r="S100" s="110">
        <v>402339.86</v>
      </c>
    </row>
    <row r="101" spans="1:19" ht="12" customHeight="1" x14ac:dyDescent="0.25">
      <c r="A101" s="5">
        <v>97</v>
      </c>
      <c r="B101" s="6" t="s">
        <v>181</v>
      </c>
      <c r="C101" s="7">
        <v>8658.6000000000022</v>
      </c>
      <c r="D101" s="8">
        <v>5980.5000000000018</v>
      </c>
      <c r="E101" s="8">
        <v>2678.1</v>
      </c>
      <c r="F101" s="8">
        <v>2125.5</v>
      </c>
      <c r="G101" s="17">
        <v>655582.47</v>
      </c>
      <c r="H101" s="17">
        <v>655582.47</v>
      </c>
      <c r="I101" s="17">
        <v>138902.65999999997</v>
      </c>
      <c r="J101" s="17">
        <v>655582.47</v>
      </c>
      <c r="K101" s="110">
        <v>2105650.0699999998</v>
      </c>
      <c r="L101" s="17">
        <v>564409.01</v>
      </c>
      <c r="M101" s="17">
        <v>705828.84</v>
      </c>
      <c r="N101" s="17">
        <v>639757.6</v>
      </c>
      <c r="O101" s="17">
        <v>710462.15999999992</v>
      </c>
      <c r="P101" s="110">
        <v>2620457.6100000003</v>
      </c>
      <c r="Q101" s="17">
        <v>635017.48</v>
      </c>
      <c r="R101" s="17">
        <v>527.69000000000005</v>
      </c>
      <c r="S101" s="110">
        <v>634489.79</v>
      </c>
    </row>
    <row r="102" spans="1:19" ht="12" customHeight="1" x14ac:dyDescent="0.25">
      <c r="A102" s="5">
        <v>98</v>
      </c>
      <c r="B102" s="6" t="s">
        <v>182</v>
      </c>
      <c r="C102" s="7">
        <v>3369.8</v>
      </c>
      <c r="D102" s="8">
        <v>3369.8</v>
      </c>
      <c r="E102" s="8">
        <v>0</v>
      </c>
      <c r="F102" s="8">
        <v>333.8</v>
      </c>
      <c r="G102" s="17">
        <v>276492.63</v>
      </c>
      <c r="H102" s="17">
        <v>276492.63</v>
      </c>
      <c r="I102" s="17">
        <v>287511.36</v>
      </c>
      <c r="J102" s="17">
        <v>287511.36</v>
      </c>
      <c r="K102" s="110">
        <v>1128007.98</v>
      </c>
      <c r="L102" s="17">
        <v>224308.26</v>
      </c>
      <c r="M102" s="17">
        <v>247712.66999999998</v>
      </c>
      <c r="N102" s="17">
        <v>269478.27</v>
      </c>
      <c r="O102" s="17">
        <v>309525.12</v>
      </c>
      <c r="P102" s="110">
        <v>1051024.3199999998</v>
      </c>
      <c r="Q102" s="17">
        <v>559313.17000000004</v>
      </c>
      <c r="R102" s="17">
        <v>3594.29</v>
      </c>
      <c r="S102" s="110">
        <v>555718.88</v>
      </c>
    </row>
    <row r="103" spans="1:19" ht="12" customHeight="1" x14ac:dyDescent="0.25">
      <c r="A103" s="5">
        <v>99</v>
      </c>
      <c r="B103" s="6" t="s">
        <v>183</v>
      </c>
      <c r="C103" s="7">
        <v>3053.6</v>
      </c>
      <c r="D103" s="8">
        <v>3053.6</v>
      </c>
      <c r="E103" s="8">
        <v>0</v>
      </c>
      <c r="F103" s="8">
        <v>550.02</v>
      </c>
      <c r="G103" s="108">
        <v>363981.23611805477</v>
      </c>
      <c r="H103" s="108">
        <v>374219.18402680376</v>
      </c>
      <c r="I103" s="108">
        <v>378707.52014584397</v>
      </c>
      <c r="J103" s="108">
        <v>364450.19168361061</v>
      </c>
      <c r="K103" s="141">
        <v>1481358.1319743132</v>
      </c>
      <c r="L103" s="186">
        <v>311337.99862170906</v>
      </c>
      <c r="M103" s="186">
        <v>348191.35021531687</v>
      </c>
      <c r="N103" s="108">
        <v>393883.97784486011</v>
      </c>
      <c r="O103" s="108">
        <v>418991.59412288334</v>
      </c>
      <c r="P103" s="141">
        <v>1472404.9208047695</v>
      </c>
      <c r="Q103" s="108">
        <v>654535.90999999992</v>
      </c>
      <c r="R103" s="108">
        <v>7905.86</v>
      </c>
      <c r="S103" s="141">
        <v>324297.39035918994</v>
      </c>
    </row>
    <row r="104" spans="1:19" ht="12" customHeight="1" x14ac:dyDescent="0.25">
      <c r="A104" s="5">
        <v>100</v>
      </c>
      <c r="B104" s="6" t="s">
        <v>184</v>
      </c>
      <c r="C104" s="7">
        <v>3035.1</v>
      </c>
      <c r="D104" s="8">
        <v>3035.1</v>
      </c>
      <c r="E104" s="8">
        <v>0</v>
      </c>
      <c r="F104" s="8">
        <v>546.67999999999995</v>
      </c>
      <c r="G104" s="108">
        <v>361776.08388194523</v>
      </c>
      <c r="H104" s="108">
        <v>371952.00597319624</v>
      </c>
      <c r="I104" s="108">
        <v>376413.14985415607</v>
      </c>
      <c r="J104" s="108">
        <v>362242.1983163894</v>
      </c>
      <c r="K104" s="141">
        <v>1472383.4380256871</v>
      </c>
      <c r="L104" s="186">
        <v>309451.78137829091</v>
      </c>
      <c r="M104" s="186">
        <v>346081.8597846831</v>
      </c>
      <c r="N104" s="108">
        <v>391497.66215513984</v>
      </c>
      <c r="O104" s="108">
        <v>416453.16587711661</v>
      </c>
      <c r="P104" s="141">
        <v>1463484.4691952304</v>
      </c>
      <c r="Q104" s="17">
        <v>0</v>
      </c>
      <c r="R104" s="17">
        <v>0</v>
      </c>
      <c r="S104" s="141">
        <v>322332.65964080999</v>
      </c>
    </row>
    <row r="105" spans="1:19" ht="12" customHeight="1" x14ac:dyDescent="0.25">
      <c r="A105" s="5">
        <v>101</v>
      </c>
      <c r="B105" s="6" t="s">
        <v>185</v>
      </c>
      <c r="C105" s="7">
        <v>4505.5999999999995</v>
      </c>
      <c r="D105" s="8">
        <v>4185.3999999999996</v>
      </c>
      <c r="E105" s="8">
        <v>320.2</v>
      </c>
      <c r="F105" s="8">
        <v>571.5</v>
      </c>
      <c r="G105" s="17">
        <v>343412.88</v>
      </c>
      <c r="H105" s="17">
        <v>343412.88</v>
      </c>
      <c r="I105" s="17">
        <v>357098.25</v>
      </c>
      <c r="J105" s="17">
        <v>357098.25</v>
      </c>
      <c r="K105" s="110">
        <v>1401022.26</v>
      </c>
      <c r="L105" s="17">
        <v>329960.07999999996</v>
      </c>
      <c r="M105" s="17">
        <v>345069.73</v>
      </c>
      <c r="N105" s="17">
        <v>314323.52</v>
      </c>
      <c r="O105" s="17">
        <v>368647.63</v>
      </c>
      <c r="P105" s="110">
        <v>1358000.96</v>
      </c>
      <c r="Q105" s="17">
        <v>379274.48</v>
      </c>
      <c r="R105" s="17">
        <v>202.45</v>
      </c>
      <c r="S105" s="110">
        <v>379072.02999999997</v>
      </c>
    </row>
    <row r="106" spans="1:19" ht="12" customHeight="1" x14ac:dyDescent="0.25">
      <c r="A106" s="5">
        <v>102</v>
      </c>
      <c r="B106" s="6" t="s">
        <v>186</v>
      </c>
      <c r="C106" s="7">
        <v>4500.9799999999996</v>
      </c>
      <c r="D106" s="8">
        <v>4500.9799999999996</v>
      </c>
      <c r="E106" s="8">
        <v>0</v>
      </c>
      <c r="F106" s="8">
        <v>571.5</v>
      </c>
      <c r="G106" s="17">
        <v>369481.05</v>
      </c>
      <c r="H106" s="17">
        <v>369306.02999999997</v>
      </c>
      <c r="I106" s="17">
        <v>384023.64</v>
      </c>
      <c r="J106" s="17">
        <v>384023.64</v>
      </c>
      <c r="K106" s="110">
        <v>1506834.3599999999</v>
      </c>
      <c r="L106" s="17">
        <v>347039.19</v>
      </c>
      <c r="M106" s="17">
        <v>358959.08</v>
      </c>
      <c r="N106" s="17">
        <v>389096.27</v>
      </c>
      <c r="O106" s="17">
        <v>402693.67</v>
      </c>
      <c r="P106" s="110">
        <v>1497788.21</v>
      </c>
      <c r="Q106" s="17">
        <v>326479.84999999998</v>
      </c>
      <c r="R106" s="17">
        <v>66.38</v>
      </c>
      <c r="S106" s="110">
        <v>326413.46999999997</v>
      </c>
    </row>
    <row r="107" spans="1:19" ht="12" customHeight="1" x14ac:dyDescent="0.25">
      <c r="A107" s="5">
        <v>103</v>
      </c>
      <c r="B107" s="6" t="s">
        <v>187</v>
      </c>
      <c r="C107" s="7">
        <v>6866.78</v>
      </c>
      <c r="D107" s="8">
        <v>6866.78</v>
      </c>
      <c r="E107" s="8">
        <v>0</v>
      </c>
      <c r="F107" s="8">
        <v>706.4</v>
      </c>
      <c r="G107" s="17">
        <v>551637.05000000005</v>
      </c>
      <c r="H107" s="17">
        <v>563010.21</v>
      </c>
      <c r="I107" s="17">
        <v>585527.55000000005</v>
      </c>
      <c r="J107" s="17">
        <v>585873.60000000009</v>
      </c>
      <c r="K107" s="110">
        <v>2286048.41</v>
      </c>
      <c r="L107" s="17">
        <v>585967.77</v>
      </c>
      <c r="M107" s="17">
        <v>538556.46</v>
      </c>
      <c r="N107" s="17">
        <v>576872.81000000006</v>
      </c>
      <c r="O107" s="17">
        <v>597040.30000000005</v>
      </c>
      <c r="P107" s="110">
        <v>2298437.34</v>
      </c>
      <c r="Q107" s="17">
        <v>671909.29</v>
      </c>
      <c r="R107" s="17">
        <v>1260.8800000000001</v>
      </c>
      <c r="S107" s="110">
        <v>670648.41</v>
      </c>
    </row>
    <row r="108" spans="1:19" ht="12" customHeight="1" x14ac:dyDescent="0.25">
      <c r="A108" s="5">
        <v>104</v>
      </c>
      <c r="B108" s="6" t="s">
        <v>188</v>
      </c>
      <c r="C108" s="7">
        <v>4577.38</v>
      </c>
      <c r="D108" s="8">
        <v>4577.38</v>
      </c>
      <c r="E108" s="8">
        <v>0</v>
      </c>
      <c r="F108" s="8">
        <v>565.79999999999995</v>
      </c>
      <c r="G108" s="17">
        <v>375525.66000000003</v>
      </c>
      <c r="H108" s="17">
        <v>375542.07</v>
      </c>
      <c r="I108" s="17">
        <v>390542.01</v>
      </c>
      <c r="J108" s="17">
        <v>390542.01</v>
      </c>
      <c r="K108" s="110">
        <v>1532151.75</v>
      </c>
      <c r="L108" s="17">
        <v>326790.79000000004</v>
      </c>
      <c r="M108" s="17">
        <v>383275.33</v>
      </c>
      <c r="N108" s="17">
        <v>387921.13</v>
      </c>
      <c r="O108" s="17">
        <v>420971.58</v>
      </c>
      <c r="P108" s="110">
        <v>1518958.83</v>
      </c>
      <c r="Q108" s="17">
        <v>312743.59000000003</v>
      </c>
      <c r="R108" s="17">
        <v>827.29</v>
      </c>
      <c r="S108" s="110">
        <v>311916.30000000005</v>
      </c>
    </row>
    <row r="109" spans="1:19" ht="12" customHeight="1" x14ac:dyDescent="0.25">
      <c r="A109" s="5">
        <v>105</v>
      </c>
      <c r="B109" s="6" t="s">
        <v>189</v>
      </c>
      <c r="C109" s="7">
        <v>3516.8</v>
      </c>
      <c r="D109" s="8">
        <v>3516.8</v>
      </c>
      <c r="E109" s="8">
        <v>0</v>
      </c>
      <c r="F109" s="8">
        <v>353.2</v>
      </c>
      <c r="G109" s="17">
        <v>288554.16000000003</v>
      </c>
      <c r="H109" s="17">
        <v>288554.16000000003</v>
      </c>
      <c r="I109" s="17">
        <v>300053.25</v>
      </c>
      <c r="J109" s="17">
        <v>300053.25</v>
      </c>
      <c r="K109" s="110">
        <v>1177214.82</v>
      </c>
      <c r="L109" s="17">
        <v>256949.05</v>
      </c>
      <c r="M109" s="17">
        <v>293153.13</v>
      </c>
      <c r="N109" s="17">
        <v>287049.86</v>
      </c>
      <c r="O109" s="17">
        <v>310743.05000000005</v>
      </c>
      <c r="P109" s="110">
        <v>1147895.0899999999</v>
      </c>
      <c r="Q109" s="17">
        <v>283234.75</v>
      </c>
      <c r="R109" s="17">
        <v>4734.05</v>
      </c>
      <c r="S109" s="110">
        <v>278500.7</v>
      </c>
    </row>
    <row r="110" spans="1:19" ht="12" customHeight="1" x14ac:dyDescent="0.25">
      <c r="A110" s="5">
        <v>106</v>
      </c>
      <c r="B110" s="6" t="s">
        <v>190</v>
      </c>
      <c r="C110" s="7">
        <v>2721.6000000000008</v>
      </c>
      <c r="D110" s="8">
        <v>2721.6000000000008</v>
      </c>
      <c r="E110" s="8">
        <v>0</v>
      </c>
      <c r="F110" s="8">
        <v>355</v>
      </c>
      <c r="G110" s="17">
        <v>223307.69999999998</v>
      </c>
      <c r="H110" s="17">
        <v>223307.69999999998</v>
      </c>
      <c r="I110" s="17">
        <v>232206.93</v>
      </c>
      <c r="J110" s="17">
        <v>232206.93</v>
      </c>
      <c r="K110" s="110">
        <v>911029.26</v>
      </c>
      <c r="L110" s="17">
        <v>212736.08000000002</v>
      </c>
      <c r="M110" s="17">
        <v>227051.27999999997</v>
      </c>
      <c r="N110" s="17">
        <v>227868.38</v>
      </c>
      <c r="O110" s="17">
        <v>262317.27</v>
      </c>
      <c r="P110" s="110">
        <v>929973.01</v>
      </c>
      <c r="Q110" s="17">
        <v>210540.29</v>
      </c>
      <c r="R110" s="17">
        <v>2636.55</v>
      </c>
      <c r="S110" s="110">
        <v>207903.74000000002</v>
      </c>
    </row>
    <row r="111" spans="1:19" ht="12" customHeight="1" x14ac:dyDescent="0.25">
      <c r="A111" s="5">
        <v>107</v>
      </c>
      <c r="B111" s="6" t="s">
        <v>191</v>
      </c>
      <c r="C111" s="7">
        <v>3502</v>
      </c>
      <c r="D111" s="8">
        <v>3502</v>
      </c>
      <c r="E111" s="8">
        <v>0</v>
      </c>
      <c r="F111" s="8">
        <v>353.2</v>
      </c>
      <c r="G111" s="17">
        <v>287339.69999999995</v>
      </c>
      <c r="H111" s="17">
        <v>287339.69999999995</v>
      </c>
      <c r="I111" s="17">
        <v>298790.73</v>
      </c>
      <c r="J111" s="17">
        <v>298790.73</v>
      </c>
      <c r="K111" s="110">
        <v>1172260.8599999999</v>
      </c>
      <c r="L111" s="17">
        <v>273920.68</v>
      </c>
      <c r="M111" s="17">
        <v>281389.18</v>
      </c>
      <c r="N111" s="17">
        <v>273657.23000000004</v>
      </c>
      <c r="O111" s="17">
        <v>315872.39</v>
      </c>
      <c r="P111" s="110">
        <v>1144839.48</v>
      </c>
      <c r="Q111" s="17">
        <v>220992.19</v>
      </c>
      <c r="R111" s="17">
        <v>13430.91</v>
      </c>
      <c r="S111" s="110">
        <v>207561.28</v>
      </c>
    </row>
    <row r="112" spans="1:19" ht="12" customHeight="1" x14ac:dyDescent="0.25">
      <c r="A112" s="5">
        <v>108</v>
      </c>
      <c r="B112" s="6" t="s">
        <v>192</v>
      </c>
      <c r="C112" s="7">
        <v>3432.6</v>
      </c>
      <c r="D112" s="8">
        <v>3432.6</v>
      </c>
      <c r="E112" s="8">
        <v>0</v>
      </c>
      <c r="F112" s="8">
        <v>335.3</v>
      </c>
      <c r="G112" s="17">
        <v>281645.55000000005</v>
      </c>
      <c r="H112" s="17">
        <v>281645.55000000005</v>
      </c>
      <c r="I112" s="17">
        <v>292869.42</v>
      </c>
      <c r="J112" s="17">
        <v>292869.42</v>
      </c>
      <c r="K112" s="110">
        <v>1149029.94</v>
      </c>
      <c r="L112" s="17">
        <v>273636.62</v>
      </c>
      <c r="M112" s="17">
        <v>270354.76</v>
      </c>
      <c r="N112" s="17">
        <v>276269.62</v>
      </c>
      <c r="O112" s="17">
        <v>333757.49</v>
      </c>
      <c r="P112" s="110">
        <v>1154018.49</v>
      </c>
      <c r="Q112" s="17">
        <v>138485.92000000001</v>
      </c>
      <c r="R112" s="17">
        <v>27692.65</v>
      </c>
      <c r="S112" s="110">
        <v>110793.27000000002</v>
      </c>
    </row>
    <row r="113" spans="1:19" ht="12" customHeight="1" x14ac:dyDescent="0.25">
      <c r="A113" s="5">
        <v>109</v>
      </c>
      <c r="B113" s="6" t="s">
        <v>193</v>
      </c>
      <c r="C113" s="7">
        <v>3485.23</v>
      </c>
      <c r="D113" s="8">
        <v>3485.23</v>
      </c>
      <c r="E113" s="8">
        <v>0</v>
      </c>
      <c r="F113" s="8">
        <v>291.60000000000002</v>
      </c>
      <c r="G113" s="17">
        <v>286007.42</v>
      </c>
      <c r="H113" s="17">
        <v>285963.66000000003</v>
      </c>
      <c r="I113" s="17">
        <v>297359.69999999995</v>
      </c>
      <c r="J113" s="17">
        <v>297359.69999999995</v>
      </c>
      <c r="K113" s="110">
        <v>1166690.48</v>
      </c>
      <c r="L113" s="17">
        <v>247693.03</v>
      </c>
      <c r="M113" s="17">
        <v>289945.09999999998</v>
      </c>
      <c r="N113" s="17">
        <v>286467.14</v>
      </c>
      <c r="O113" s="17">
        <v>326544.76</v>
      </c>
      <c r="P113" s="110">
        <v>1150650.03</v>
      </c>
      <c r="Q113" s="17">
        <v>310500.57</v>
      </c>
      <c r="R113" s="17">
        <v>1276.96</v>
      </c>
      <c r="S113" s="110">
        <v>309223.61</v>
      </c>
    </row>
    <row r="114" spans="1:19" ht="12" customHeight="1" x14ac:dyDescent="0.25">
      <c r="A114" s="5">
        <v>110</v>
      </c>
      <c r="B114" s="6" t="s">
        <v>194</v>
      </c>
      <c r="C114" s="7">
        <v>3012.52</v>
      </c>
      <c r="D114" s="8">
        <v>2702.9</v>
      </c>
      <c r="E114" s="8">
        <v>309.62</v>
      </c>
      <c r="F114" s="8">
        <v>314.25</v>
      </c>
      <c r="G114" s="108">
        <v>322332.56562340754</v>
      </c>
      <c r="H114" s="108">
        <v>322321.32028543908</v>
      </c>
      <c r="I114" s="108">
        <v>335213.61441488139</v>
      </c>
      <c r="J114" s="108">
        <v>335213.61441488139</v>
      </c>
      <c r="K114" s="141">
        <v>1315081.1147386094</v>
      </c>
      <c r="L114" s="186">
        <v>296739.72358449735</v>
      </c>
      <c r="M114" s="186">
        <v>305421.63393262267</v>
      </c>
      <c r="N114" s="108">
        <v>319124.49806059909</v>
      </c>
      <c r="O114" s="108">
        <v>407539.24141431594</v>
      </c>
      <c r="P114" s="141">
        <v>1328825.0969920349</v>
      </c>
      <c r="Q114" s="108">
        <v>358728.97</v>
      </c>
      <c r="R114" s="108">
        <v>1398.82</v>
      </c>
      <c r="S114" s="141">
        <v>168552.78116950431</v>
      </c>
    </row>
    <row r="115" spans="1:19" ht="12" customHeight="1" x14ac:dyDescent="0.25">
      <c r="A115" s="5">
        <v>111</v>
      </c>
      <c r="B115" s="6" t="s">
        <v>195</v>
      </c>
      <c r="C115" s="7">
        <v>3374</v>
      </c>
      <c r="D115" s="8">
        <v>3027.22</v>
      </c>
      <c r="E115" s="8">
        <v>346.78</v>
      </c>
      <c r="F115" s="8">
        <v>351.95</v>
      </c>
      <c r="G115" s="108">
        <v>361009.13437659241</v>
      </c>
      <c r="H115" s="108">
        <v>360996.5397145609</v>
      </c>
      <c r="I115" s="108">
        <v>375435.77558511862</v>
      </c>
      <c r="J115" s="108">
        <v>375435.77558511862</v>
      </c>
      <c r="K115" s="141">
        <v>1472877.2252613907</v>
      </c>
      <c r="L115" s="186">
        <v>332345.41641550261</v>
      </c>
      <c r="M115" s="186">
        <v>342069.06606737722</v>
      </c>
      <c r="N115" s="108">
        <v>357416.13193940092</v>
      </c>
      <c r="O115" s="108">
        <v>456439.72858568403</v>
      </c>
      <c r="P115" s="141">
        <v>1488270.3430079648</v>
      </c>
      <c r="Q115" s="17">
        <v>0</v>
      </c>
      <c r="R115" s="17">
        <v>0</v>
      </c>
      <c r="S115" s="141">
        <v>188777.36883049566</v>
      </c>
    </row>
    <row r="116" spans="1:19" ht="12" customHeight="1" x14ac:dyDescent="0.25">
      <c r="A116" s="5">
        <v>112</v>
      </c>
      <c r="B116" s="6" t="s">
        <v>196</v>
      </c>
      <c r="C116" s="7">
        <v>3025.3999999999996</v>
      </c>
      <c r="D116" s="8">
        <v>2989.7</v>
      </c>
      <c r="E116" s="8">
        <v>35.700000000000003</v>
      </c>
      <c r="F116" s="8">
        <v>325.35000000000002</v>
      </c>
      <c r="G116" s="108">
        <v>356522.19986962271</v>
      </c>
      <c r="H116" s="108">
        <v>356522.19986962271</v>
      </c>
      <c r="I116" s="108">
        <v>370789.99405162147</v>
      </c>
      <c r="J116" s="108">
        <v>370782.51980162144</v>
      </c>
      <c r="K116" s="141">
        <v>1454616.9135924885</v>
      </c>
      <c r="L116" s="186">
        <v>317352.95497418928</v>
      </c>
      <c r="M116" s="186">
        <v>371526.64544705488</v>
      </c>
      <c r="N116" s="108">
        <v>369212.31887491723</v>
      </c>
      <c r="O116" s="108">
        <v>410765.0828037723</v>
      </c>
      <c r="P116" s="141">
        <v>1468857.0020999336</v>
      </c>
      <c r="Q116" s="108">
        <v>600676.90999999992</v>
      </c>
      <c r="R116" s="108">
        <v>743.04</v>
      </c>
      <c r="S116" s="141">
        <v>296760.80263716076</v>
      </c>
    </row>
    <row r="117" spans="1:19" ht="12" customHeight="1" x14ac:dyDescent="0.25">
      <c r="A117" s="5">
        <v>113</v>
      </c>
      <c r="B117" s="6" t="s">
        <v>197</v>
      </c>
      <c r="C117" s="7">
        <v>3054.3</v>
      </c>
      <c r="D117" s="8">
        <v>3054.3</v>
      </c>
      <c r="E117" s="8">
        <v>0</v>
      </c>
      <c r="F117" s="8">
        <v>328.45</v>
      </c>
      <c r="G117" s="108">
        <v>364225.76013037725</v>
      </c>
      <c r="H117" s="108">
        <v>364225.76013037725</v>
      </c>
      <c r="I117" s="108">
        <v>378801.84594837856</v>
      </c>
      <c r="J117" s="108">
        <v>378794.2101983786</v>
      </c>
      <c r="K117" s="141">
        <v>1486047.5764075117</v>
      </c>
      <c r="L117" s="186">
        <v>324210.16502581077</v>
      </c>
      <c r="M117" s="186">
        <v>379554.41455294512</v>
      </c>
      <c r="N117" s="108">
        <v>377190.08112508274</v>
      </c>
      <c r="O117" s="108">
        <v>419640.69719622767</v>
      </c>
      <c r="P117" s="141">
        <v>1500595.3579000663</v>
      </c>
      <c r="Q117" s="17">
        <v>0</v>
      </c>
      <c r="R117" s="17">
        <v>0</v>
      </c>
      <c r="S117" s="141">
        <v>303173.06736283912</v>
      </c>
    </row>
    <row r="118" spans="1:19" ht="12" customHeight="1" x14ac:dyDescent="0.25">
      <c r="A118" s="5">
        <v>114</v>
      </c>
      <c r="B118" s="6" t="s">
        <v>198</v>
      </c>
      <c r="C118" s="7">
        <v>7564.7</v>
      </c>
      <c r="D118" s="8">
        <v>6815.8</v>
      </c>
      <c r="E118" s="8">
        <v>748.9</v>
      </c>
      <c r="F118" s="8">
        <v>613.20000000000005</v>
      </c>
      <c r="G118" s="17">
        <v>812928.14999999991</v>
      </c>
      <c r="H118" s="17">
        <v>812789.82</v>
      </c>
      <c r="I118" s="17">
        <v>845295.78</v>
      </c>
      <c r="J118" s="17">
        <v>845295.78</v>
      </c>
      <c r="K118" s="110">
        <v>3316309.5300000003</v>
      </c>
      <c r="L118" s="17">
        <v>721839.22</v>
      </c>
      <c r="M118" s="17">
        <v>780596.87</v>
      </c>
      <c r="N118" s="17">
        <v>815328.12</v>
      </c>
      <c r="O118" s="17">
        <v>961560.81</v>
      </c>
      <c r="P118" s="110">
        <v>3279325.02</v>
      </c>
      <c r="Q118" s="17">
        <v>603710.37</v>
      </c>
      <c r="R118" s="17">
        <v>3165.72</v>
      </c>
      <c r="S118" s="110">
        <v>600544.65</v>
      </c>
    </row>
    <row r="119" spans="1:19" ht="12" customHeight="1" x14ac:dyDescent="0.25">
      <c r="A119" s="5">
        <v>115</v>
      </c>
      <c r="B119" s="6" t="s">
        <v>199</v>
      </c>
      <c r="C119" s="7">
        <v>3463.8</v>
      </c>
      <c r="D119" s="8">
        <v>3463.8</v>
      </c>
      <c r="E119" s="8">
        <v>0</v>
      </c>
      <c r="F119" s="8">
        <v>299.2</v>
      </c>
      <c r="G119" s="17">
        <v>284205.48</v>
      </c>
      <c r="H119" s="17">
        <v>284205.48</v>
      </c>
      <c r="I119" s="17">
        <v>295531.28999999998</v>
      </c>
      <c r="J119" s="17">
        <v>295531.28999999998</v>
      </c>
      <c r="K119" s="110">
        <v>1159473.54</v>
      </c>
      <c r="L119" s="17">
        <v>251949</v>
      </c>
      <c r="M119" s="17">
        <v>263021.98</v>
      </c>
      <c r="N119" s="17">
        <v>291154.46000000002</v>
      </c>
      <c r="O119" s="17">
        <v>326382.82999999996</v>
      </c>
      <c r="P119" s="110">
        <v>1132508.27</v>
      </c>
      <c r="Q119" s="17">
        <v>266909.78999999998</v>
      </c>
      <c r="R119" s="17">
        <v>11.81</v>
      </c>
      <c r="S119" s="110">
        <v>266897.98</v>
      </c>
    </row>
    <row r="120" spans="1:19" ht="12" customHeight="1" x14ac:dyDescent="0.25">
      <c r="A120" s="5">
        <v>116</v>
      </c>
      <c r="B120" s="6" t="s">
        <v>200</v>
      </c>
      <c r="C120" s="7">
        <v>3497.98</v>
      </c>
      <c r="D120" s="8">
        <v>3497.98</v>
      </c>
      <c r="E120" s="8">
        <v>0</v>
      </c>
      <c r="F120" s="8">
        <v>483</v>
      </c>
      <c r="G120" s="17">
        <v>287009.76</v>
      </c>
      <c r="H120" s="17">
        <v>287009.76</v>
      </c>
      <c r="I120" s="17">
        <v>298447.56</v>
      </c>
      <c r="J120" s="17">
        <v>298447.56</v>
      </c>
      <c r="K120" s="110">
        <v>1170914.6400000001</v>
      </c>
      <c r="L120" s="17">
        <v>281749.17</v>
      </c>
      <c r="M120" s="17">
        <v>278460.81</v>
      </c>
      <c r="N120" s="17">
        <v>284509.87</v>
      </c>
      <c r="O120" s="17">
        <v>310831.03999999998</v>
      </c>
      <c r="P120" s="110">
        <v>1155550.8899999999</v>
      </c>
      <c r="Q120" s="17">
        <v>376763.63</v>
      </c>
      <c r="R120" s="17">
        <v>941.08</v>
      </c>
      <c r="S120" s="110">
        <v>375822.55</v>
      </c>
    </row>
    <row r="121" spans="1:19" ht="12" customHeight="1" x14ac:dyDescent="0.25">
      <c r="A121" s="5">
        <v>117</v>
      </c>
      <c r="B121" s="6" t="s">
        <v>201</v>
      </c>
      <c r="C121" s="7">
        <v>7018.23</v>
      </c>
      <c r="D121" s="8">
        <v>7018.23</v>
      </c>
      <c r="E121" s="8">
        <v>0</v>
      </c>
      <c r="F121" s="8">
        <v>983.6</v>
      </c>
      <c r="G121" s="17">
        <v>575847.09</v>
      </c>
      <c r="H121" s="17">
        <v>575847.09</v>
      </c>
      <c r="I121" s="17">
        <v>598795.53</v>
      </c>
      <c r="J121" s="17">
        <v>598795.53</v>
      </c>
      <c r="K121" s="110">
        <v>2349285.2400000002</v>
      </c>
      <c r="L121" s="17">
        <v>526603.73</v>
      </c>
      <c r="M121" s="17">
        <v>571993.98</v>
      </c>
      <c r="N121" s="17">
        <v>563845.18999999994</v>
      </c>
      <c r="O121" s="17">
        <v>654230.94000000006</v>
      </c>
      <c r="P121" s="110">
        <v>2316673.84</v>
      </c>
      <c r="Q121" s="17">
        <v>268065.96999999997</v>
      </c>
      <c r="R121" s="17">
        <v>5130.58</v>
      </c>
      <c r="S121" s="110">
        <v>262935.38999999996</v>
      </c>
    </row>
    <row r="122" spans="1:19" ht="12" customHeight="1" x14ac:dyDescent="0.25">
      <c r="A122" s="5">
        <v>118</v>
      </c>
      <c r="B122" s="6" t="s">
        <v>202</v>
      </c>
      <c r="C122" s="7">
        <v>3521.8</v>
      </c>
      <c r="D122" s="8">
        <v>3521.8</v>
      </c>
      <c r="E122" s="8">
        <v>0</v>
      </c>
      <c r="F122" s="8">
        <v>491.8</v>
      </c>
      <c r="G122" s="17">
        <v>288964.28999999998</v>
      </c>
      <c r="H122" s="17">
        <v>288964.28999999998</v>
      </c>
      <c r="I122" s="17">
        <v>300480</v>
      </c>
      <c r="J122" s="17">
        <v>300480</v>
      </c>
      <c r="K122" s="110">
        <v>1178888.58</v>
      </c>
      <c r="L122" s="17">
        <v>276396.94</v>
      </c>
      <c r="M122" s="17">
        <v>261958.41</v>
      </c>
      <c r="N122" s="17">
        <v>286395.81</v>
      </c>
      <c r="O122" s="17">
        <v>310901.58999999997</v>
      </c>
      <c r="P122" s="110">
        <v>1135652.75</v>
      </c>
      <c r="Q122" s="17">
        <v>437806.58</v>
      </c>
      <c r="R122" s="17">
        <v>124.5</v>
      </c>
      <c r="S122" s="110">
        <v>437682.08</v>
      </c>
    </row>
    <row r="123" spans="1:19" ht="12" customHeight="1" x14ac:dyDescent="0.25">
      <c r="A123" s="5">
        <v>119</v>
      </c>
      <c r="B123" s="6" t="s">
        <v>203</v>
      </c>
      <c r="C123" s="7">
        <v>3540.1</v>
      </c>
      <c r="D123" s="8">
        <v>3540.1</v>
      </c>
      <c r="E123" s="8">
        <v>0</v>
      </c>
      <c r="F123" s="8">
        <v>317.60000000000002</v>
      </c>
      <c r="G123" s="17">
        <v>290465.97000000003</v>
      </c>
      <c r="H123" s="17">
        <v>290465.97000000003</v>
      </c>
      <c r="I123" s="17">
        <v>302041.41000000003</v>
      </c>
      <c r="J123" s="17">
        <v>302041.41000000003</v>
      </c>
      <c r="K123" s="110">
        <v>1185014.7600000002</v>
      </c>
      <c r="L123" s="17">
        <v>263327.95999999996</v>
      </c>
      <c r="M123" s="17">
        <v>287164.7</v>
      </c>
      <c r="N123" s="17">
        <v>284166.02999999997</v>
      </c>
      <c r="O123" s="17">
        <v>336359.07</v>
      </c>
      <c r="P123" s="110">
        <v>1171017.76</v>
      </c>
      <c r="Q123" s="17">
        <v>390858.37</v>
      </c>
      <c r="R123" s="17">
        <v>132.21</v>
      </c>
      <c r="S123" s="110">
        <v>390726.16</v>
      </c>
    </row>
    <row r="124" spans="1:19" ht="12" customHeight="1" x14ac:dyDescent="0.25">
      <c r="A124" s="5">
        <v>120</v>
      </c>
      <c r="B124" s="6" t="s">
        <v>204</v>
      </c>
      <c r="C124" s="7">
        <v>3334.9</v>
      </c>
      <c r="D124" s="8">
        <v>3334.9</v>
      </c>
      <c r="E124" s="8">
        <v>0</v>
      </c>
      <c r="F124" s="8">
        <v>327.10000000000002</v>
      </c>
      <c r="G124" s="17">
        <v>273629.13</v>
      </c>
      <c r="H124" s="17">
        <v>273629.13</v>
      </c>
      <c r="I124" s="17">
        <v>284533.65000000002</v>
      </c>
      <c r="J124" s="17">
        <v>284533.65000000002</v>
      </c>
      <c r="K124" s="110">
        <v>1116325.56</v>
      </c>
      <c r="L124" s="17">
        <v>241151.66999999998</v>
      </c>
      <c r="M124" s="17">
        <v>270611.02</v>
      </c>
      <c r="N124" s="17">
        <v>270179.59999999998</v>
      </c>
      <c r="O124" s="17">
        <v>282727.64</v>
      </c>
      <c r="P124" s="110">
        <v>1064669.9300000002</v>
      </c>
      <c r="Q124" s="17">
        <v>477321.47</v>
      </c>
      <c r="R124" s="17">
        <v>24.63</v>
      </c>
      <c r="S124" s="110">
        <v>477296.83999999997</v>
      </c>
    </row>
    <row r="125" spans="1:19" ht="12" customHeight="1" x14ac:dyDescent="0.25">
      <c r="A125" s="5">
        <v>121</v>
      </c>
      <c r="B125" s="6" t="s">
        <v>205</v>
      </c>
      <c r="C125" s="7">
        <v>3185.2</v>
      </c>
      <c r="D125" s="8">
        <v>3185.2</v>
      </c>
      <c r="E125" s="8">
        <v>0</v>
      </c>
      <c r="F125" s="8">
        <v>255.5</v>
      </c>
      <c r="G125" s="17">
        <v>261346.26</v>
      </c>
      <c r="H125" s="17">
        <v>261346.26</v>
      </c>
      <c r="I125" s="17">
        <v>271761.41000000003</v>
      </c>
      <c r="J125" s="17">
        <v>271761.42</v>
      </c>
      <c r="K125" s="110">
        <v>1066215.3500000001</v>
      </c>
      <c r="L125" s="17">
        <v>224431.02000000002</v>
      </c>
      <c r="M125" s="17">
        <v>232034</v>
      </c>
      <c r="N125" s="17">
        <v>239180.51</v>
      </c>
      <c r="O125" s="17">
        <v>277624.05</v>
      </c>
      <c r="P125" s="110">
        <v>973269.58000000007</v>
      </c>
      <c r="Q125" s="17">
        <v>660546.4</v>
      </c>
      <c r="R125" s="17">
        <v>773.4</v>
      </c>
      <c r="S125" s="110">
        <v>659773</v>
      </c>
    </row>
    <row r="126" spans="1:19" ht="12" customHeight="1" x14ac:dyDescent="0.25">
      <c r="A126" s="5">
        <v>122</v>
      </c>
      <c r="B126" s="6" t="s">
        <v>206</v>
      </c>
      <c r="C126" s="7">
        <v>6130.9800000000005</v>
      </c>
      <c r="D126" s="8">
        <v>5060.8</v>
      </c>
      <c r="E126" s="8">
        <v>1070.18</v>
      </c>
      <c r="F126" s="8">
        <v>1137.2</v>
      </c>
      <c r="G126" s="17">
        <v>590143.62</v>
      </c>
      <c r="H126" s="17">
        <v>600008.42999999993</v>
      </c>
      <c r="I126" s="17">
        <v>623996.67000000004</v>
      </c>
      <c r="J126" s="17">
        <v>623996.67000000004</v>
      </c>
      <c r="K126" s="110">
        <v>2438145.3899999997</v>
      </c>
      <c r="L126" s="17">
        <v>509698.24</v>
      </c>
      <c r="M126" s="17">
        <v>600748.32999999996</v>
      </c>
      <c r="N126" s="17">
        <v>611889.82999999996</v>
      </c>
      <c r="O126" s="17">
        <v>682398.84</v>
      </c>
      <c r="P126" s="110">
        <v>2404735.2399999998</v>
      </c>
      <c r="Q126" s="17">
        <v>227888.78</v>
      </c>
      <c r="R126" s="17">
        <v>0.18</v>
      </c>
      <c r="S126" s="110">
        <v>227888.6</v>
      </c>
    </row>
    <row r="127" spans="1:19" ht="12" customHeight="1" x14ac:dyDescent="0.25">
      <c r="A127" s="5">
        <v>123</v>
      </c>
      <c r="B127" s="6" t="s">
        <v>207</v>
      </c>
      <c r="C127" s="7">
        <v>3498.95</v>
      </c>
      <c r="D127" s="8">
        <v>3498.95</v>
      </c>
      <c r="E127" s="8">
        <v>0</v>
      </c>
      <c r="F127" s="8">
        <v>384</v>
      </c>
      <c r="G127" s="17">
        <v>287089.49</v>
      </c>
      <c r="H127" s="17">
        <v>287089.5</v>
      </c>
      <c r="I127" s="17">
        <v>298530.42</v>
      </c>
      <c r="J127" s="17">
        <v>298530.42</v>
      </c>
      <c r="K127" s="110">
        <v>1171239.8299999998</v>
      </c>
      <c r="L127" s="17">
        <v>236507.68</v>
      </c>
      <c r="M127" s="17">
        <v>256476.83000000002</v>
      </c>
      <c r="N127" s="17">
        <v>244228.72999999998</v>
      </c>
      <c r="O127" s="17">
        <v>300897.90000000002</v>
      </c>
      <c r="P127" s="110">
        <v>1038111.14</v>
      </c>
      <c r="Q127" s="17">
        <v>524103.34</v>
      </c>
      <c r="R127" s="17">
        <v>4313.55</v>
      </c>
      <c r="S127" s="110">
        <v>519789.79000000004</v>
      </c>
    </row>
    <row r="128" spans="1:19" ht="12" customHeight="1" x14ac:dyDescent="0.25">
      <c r="A128" s="5">
        <v>124</v>
      </c>
      <c r="B128" s="6" t="s">
        <v>208</v>
      </c>
      <c r="C128" s="7">
        <v>3162.6</v>
      </c>
      <c r="D128" s="8">
        <v>3162.6</v>
      </c>
      <c r="E128" s="8">
        <v>0</v>
      </c>
      <c r="F128" s="8">
        <v>297.60000000000002</v>
      </c>
      <c r="G128" s="17">
        <v>259491.81</v>
      </c>
      <c r="H128" s="17">
        <v>259491.81</v>
      </c>
      <c r="I128" s="17">
        <v>269832.93</v>
      </c>
      <c r="J128" s="17">
        <v>269832.93</v>
      </c>
      <c r="K128" s="110">
        <v>1058649.48</v>
      </c>
      <c r="L128" s="17">
        <v>204978.03999999998</v>
      </c>
      <c r="M128" s="17">
        <v>245930.82</v>
      </c>
      <c r="N128" s="17">
        <v>249880.55</v>
      </c>
      <c r="O128" s="17">
        <v>296514.84999999998</v>
      </c>
      <c r="P128" s="110">
        <v>997304.25999999989</v>
      </c>
      <c r="Q128" s="17">
        <v>507900.46</v>
      </c>
      <c r="R128" s="17">
        <v>3102.97</v>
      </c>
      <c r="S128" s="110">
        <v>504797.49000000005</v>
      </c>
    </row>
    <row r="129" spans="1:19" ht="12" customHeight="1" x14ac:dyDescent="0.25">
      <c r="A129" s="5">
        <v>125</v>
      </c>
      <c r="B129" s="6" t="s">
        <v>209</v>
      </c>
      <c r="C129" s="7">
        <v>3544.3</v>
      </c>
      <c r="D129" s="8">
        <v>3544.3</v>
      </c>
      <c r="E129" s="8">
        <v>0</v>
      </c>
      <c r="F129" s="8">
        <v>310</v>
      </c>
      <c r="G129" s="17">
        <v>290766.83999999997</v>
      </c>
      <c r="H129" s="17">
        <v>290810.61</v>
      </c>
      <c r="I129" s="17">
        <v>302399.52</v>
      </c>
      <c r="J129" s="17">
        <v>302399.52</v>
      </c>
      <c r="K129" s="110">
        <v>1186376.49</v>
      </c>
      <c r="L129" s="17">
        <v>253915.18</v>
      </c>
      <c r="M129" s="17">
        <v>273030.81999999995</v>
      </c>
      <c r="N129" s="17">
        <v>299381.03000000003</v>
      </c>
      <c r="O129" s="17">
        <v>323002.66000000003</v>
      </c>
      <c r="P129" s="110">
        <v>1149329.69</v>
      </c>
      <c r="Q129" s="17">
        <v>324224.33</v>
      </c>
      <c r="R129" s="17">
        <v>3239.26</v>
      </c>
      <c r="S129" s="110">
        <v>320985.07</v>
      </c>
    </row>
    <row r="130" spans="1:19" ht="12" customHeight="1" x14ac:dyDescent="0.25">
      <c r="A130" s="5">
        <v>126</v>
      </c>
      <c r="B130" s="6" t="s">
        <v>210</v>
      </c>
      <c r="C130" s="7">
        <v>3332.0000000000005</v>
      </c>
      <c r="D130" s="8">
        <v>3332.0000000000005</v>
      </c>
      <c r="E130" s="8">
        <v>0</v>
      </c>
      <c r="F130" s="8">
        <v>246</v>
      </c>
      <c r="G130" s="17">
        <v>273391.28999999998</v>
      </c>
      <c r="H130" s="17">
        <v>273391.28999999998</v>
      </c>
      <c r="I130" s="17">
        <v>284286.14</v>
      </c>
      <c r="J130" s="17">
        <v>284286.15000000002</v>
      </c>
      <c r="K130" s="110">
        <v>1115354.8700000001</v>
      </c>
      <c r="L130" s="17">
        <v>269703.49</v>
      </c>
      <c r="M130" s="17">
        <v>255861.05</v>
      </c>
      <c r="N130" s="17">
        <v>271587.04000000004</v>
      </c>
      <c r="O130" s="17">
        <v>293666.48</v>
      </c>
      <c r="P130" s="110">
        <v>1090818.06</v>
      </c>
      <c r="Q130" s="17">
        <v>261013.12</v>
      </c>
      <c r="R130" s="17">
        <v>2378.65</v>
      </c>
      <c r="S130" s="110">
        <v>258634.47</v>
      </c>
    </row>
    <row r="131" spans="1:19" ht="12" customHeight="1" x14ac:dyDescent="0.25">
      <c r="A131" s="5">
        <v>127</v>
      </c>
      <c r="B131" s="6" t="s">
        <v>211</v>
      </c>
      <c r="C131" s="7">
        <v>3359.2</v>
      </c>
      <c r="D131" s="8">
        <v>3359.2</v>
      </c>
      <c r="E131" s="8">
        <v>0</v>
      </c>
      <c r="F131" s="8">
        <v>382.8</v>
      </c>
      <c r="G131" s="17">
        <v>275622.99</v>
      </c>
      <c r="H131" s="17">
        <v>275622.99</v>
      </c>
      <c r="I131" s="17">
        <v>286606.83</v>
      </c>
      <c r="J131" s="17">
        <v>286606.83</v>
      </c>
      <c r="K131" s="110">
        <v>1124459.6400000001</v>
      </c>
      <c r="L131" s="17">
        <v>259723.28999999998</v>
      </c>
      <c r="M131" s="17">
        <v>283345.76</v>
      </c>
      <c r="N131" s="17">
        <v>251781.47999999998</v>
      </c>
      <c r="O131" s="17">
        <v>338686.35</v>
      </c>
      <c r="P131" s="110">
        <v>1133536.8799999999</v>
      </c>
      <c r="Q131" s="17">
        <v>344299.29</v>
      </c>
      <c r="R131" s="17">
        <v>201.3</v>
      </c>
      <c r="S131" s="110">
        <v>344097.99</v>
      </c>
    </row>
    <row r="132" spans="1:19" ht="12" customHeight="1" x14ac:dyDescent="0.25">
      <c r="A132" s="5">
        <v>128</v>
      </c>
      <c r="B132" s="6" t="s">
        <v>212</v>
      </c>
      <c r="C132" s="7">
        <v>6399.3</v>
      </c>
      <c r="D132" s="8">
        <v>6399.3</v>
      </c>
      <c r="E132" s="8">
        <v>0</v>
      </c>
      <c r="F132" s="8">
        <v>1625.4</v>
      </c>
      <c r="G132" s="17">
        <v>763117.55999999994</v>
      </c>
      <c r="H132" s="17">
        <v>763117.55999999994</v>
      </c>
      <c r="I132" s="17">
        <v>793641.24</v>
      </c>
      <c r="J132" s="17">
        <v>793641.24</v>
      </c>
      <c r="K132" s="110">
        <v>3113517.5999999996</v>
      </c>
      <c r="L132" s="17">
        <v>737912.75</v>
      </c>
      <c r="M132" s="17">
        <v>721179.69</v>
      </c>
      <c r="N132" s="17">
        <v>735319.92999999993</v>
      </c>
      <c r="O132" s="17">
        <v>837317.1100000001</v>
      </c>
      <c r="P132" s="110">
        <v>3031729.4800000004</v>
      </c>
      <c r="Q132" s="17">
        <v>866426.2</v>
      </c>
      <c r="R132" s="17">
        <v>46.55</v>
      </c>
      <c r="S132" s="110">
        <v>866379.64999999991</v>
      </c>
    </row>
    <row r="133" spans="1:19" ht="12" customHeight="1" x14ac:dyDescent="0.25">
      <c r="A133" s="5">
        <v>129</v>
      </c>
      <c r="B133" s="6" t="s">
        <v>213</v>
      </c>
      <c r="C133" s="7">
        <v>4686.3</v>
      </c>
      <c r="D133" s="8">
        <v>3481.8</v>
      </c>
      <c r="E133" s="8">
        <v>1204.5</v>
      </c>
      <c r="F133" s="8">
        <v>477.7</v>
      </c>
      <c r="G133" s="17">
        <v>415205.33999999997</v>
      </c>
      <c r="H133" s="17">
        <v>415205.33999999997</v>
      </c>
      <c r="I133" s="17">
        <v>431812.74</v>
      </c>
      <c r="J133" s="17">
        <v>431812.74</v>
      </c>
      <c r="K133" s="110">
        <v>1694036.16</v>
      </c>
      <c r="L133" s="17">
        <v>371896.05000000005</v>
      </c>
      <c r="M133" s="17">
        <v>382776.73</v>
      </c>
      <c r="N133" s="17">
        <v>455507.6</v>
      </c>
      <c r="O133" s="17">
        <v>473561.24</v>
      </c>
      <c r="P133" s="110">
        <v>1683741.6199999999</v>
      </c>
      <c r="Q133" s="17">
        <v>313719.88</v>
      </c>
      <c r="R133" s="17">
        <v>1550.25</v>
      </c>
      <c r="S133" s="110">
        <v>312169.63</v>
      </c>
    </row>
    <row r="134" spans="1:19" ht="12" customHeight="1" x14ac:dyDescent="0.25">
      <c r="A134" s="5">
        <v>130</v>
      </c>
      <c r="B134" s="6" t="s">
        <v>214</v>
      </c>
      <c r="C134" s="7">
        <v>6395.7</v>
      </c>
      <c r="D134" s="8">
        <v>6395.7</v>
      </c>
      <c r="E134" s="8">
        <v>0</v>
      </c>
      <c r="F134" s="8">
        <v>654.4</v>
      </c>
      <c r="G134" s="17">
        <v>524757.37</v>
      </c>
      <c r="H134" s="17">
        <v>524768.30999999994</v>
      </c>
      <c r="I134" s="17">
        <v>545680.82999999996</v>
      </c>
      <c r="J134" s="17">
        <v>545680.82999999996</v>
      </c>
      <c r="K134" s="110">
        <v>2140887.34</v>
      </c>
      <c r="L134" s="17">
        <v>462375.97</v>
      </c>
      <c r="M134" s="17">
        <v>511392.29000000004</v>
      </c>
      <c r="N134" s="17">
        <v>525171.07000000007</v>
      </c>
      <c r="O134" s="17">
        <v>601430.59</v>
      </c>
      <c r="P134" s="110">
        <v>2100369.92</v>
      </c>
      <c r="Q134" s="17">
        <v>556704.53</v>
      </c>
      <c r="R134" s="17">
        <v>984.75</v>
      </c>
      <c r="S134" s="110">
        <v>555719.78</v>
      </c>
    </row>
    <row r="135" spans="1:19" ht="12" customHeight="1" x14ac:dyDescent="0.25">
      <c r="A135" s="5">
        <v>131</v>
      </c>
      <c r="B135" s="6" t="s">
        <v>215</v>
      </c>
      <c r="C135" s="7">
        <v>4049.3</v>
      </c>
      <c r="D135" s="8">
        <v>3428</v>
      </c>
      <c r="E135" s="8">
        <v>621.29999999999995</v>
      </c>
      <c r="F135" s="8">
        <v>540.6</v>
      </c>
      <c r="G135" s="17">
        <v>408789.60000000003</v>
      </c>
      <c r="H135" s="17">
        <v>408789.60000000003</v>
      </c>
      <c r="I135" s="17">
        <v>425140.62</v>
      </c>
      <c r="J135" s="17">
        <v>425140.62</v>
      </c>
      <c r="K135" s="110">
        <v>1667860.44</v>
      </c>
      <c r="L135" s="17">
        <v>365417.24</v>
      </c>
      <c r="M135" s="17">
        <v>377356.5</v>
      </c>
      <c r="N135" s="17">
        <v>382575.5</v>
      </c>
      <c r="O135" s="17">
        <v>474644.94999999995</v>
      </c>
      <c r="P135" s="110">
        <v>1599994.19</v>
      </c>
      <c r="Q135" s="17">
        <v>491190.71</v>
      </c>
      <c r="R135" s="17">
        <v>2823.42</v>
      </c>
      <c r="S135" s="110">
        <v>488367.29000000004</v>
      </c>
    </row>
    <row r="136" spans="1:19" ht="12" customHeight="1" x14ac:dyDescent="0.25">
      <c r="A136" s="5">
        <v>132</v>
      </c>
      <c r="B136" s="6" t="s">
        <v>216</v>
      </c>
      <c r="C136" s="7">
        <v>3494.8</v>
      </c>
      <c r="D136" s="8">
        <v>3494.8</v>
      </c>
      <c r="E136" s="8">
        <v>0</v>
      </c>
      <c r="F136" s="8">
        <v>393.2</v>
      </c>
      <c r="G136" s="17">
        <v>286749.08999999997</v>
      </c>
      <c r="H136" s="17">
        <v>286749.08999999997</v>
      </c>
      <c r="I136" s="17">
        <v>298176.30000000005</v>
      </c>
      <c r="J136" s="17">
        <v>298210.41000000003</v>
      </c>
      <c r="K136" s="110">
        <v>1169884.8900000001</v>
      </c>
      <c r="L136" s="17">
        <v>248821.44</v>
      </c>
      <c r="M136" s="17">
        <v>283545.24</v>
      </c>
      <c r="N136" s="17">
        <v>291595.75</v>
      </c>
      <c r="O136" s="17">
        <v>333479.62</v>
      </c>
      <c r="P136" s="110">
        <v>1157442.0499999998</v>
      </c>
      <c r="Q136" s="17">
        <v>179481.77</v>
      </c>
      <c r="R136" s="17">
        <v>288.48</v>
      </c>
      <c r="S136" s="110">
        <v>179193.28999999998</v>
      </c>
    </row>
    <row r="137" spans="1:19" ht="12" customHeight="1" x14ac:dyDescent="0.25">
      <c r="A137" s="5">
        <v>133</v>
      </c>
      <c r="B137" s="6" t="s">
        <v>217</v>
      </c>
      <c r="C137" s="7">
        <v>7614.56</v>
      </c>
      <c r="D137" s="8">
        <v>7614.56</v>
      </c>
      <c r="E137" s="8">
        <v>0</v>
      </c>
      <c r="F137" s="8">
        <v>1937.4</v>
      </c>
      <c r="G137" s="17">
        <v>908037.42</v>
      </c>
      <c r="H137" s="17">
        <v>908152.83000000007</v>
      </c>
      <c r="I137" s="17">
        <v>944258.20000000007</v>
      </c>
      <c r="J137" s="17">
        <v>944357.58</v>
      </c>
      <c r="K137" s="110">
        <v>3704806.0300000003</v>
      </c>
      <c r="L137" s="17">
        <v>776636.03</v>
      </c>
      <c r="M137" s="17">
        <v>884619.86999999988</v>
      </c>
      <c r="N137" s="17">
        <v>923250.36</v>
      </c>
      <c r="O137" s="17">
        <v>1019556.8900000001</v>
      </c>
      <c r="P137" s="110">
        <v>3604063.15</v>
      </c>
      <c r="Q137" s="17">
        <v>839967.65</v>
      </c>
      <c r="R137" s="17">
        <v>1879.97</v>
      </c>
      <c r="S137" s="110">
        <v>838087.68000000005</v>
      </c>
    </row>
    <row r="138" spans="1:19" ht="12" customHeight="1" x14ac:dyDescent="0.25">
      <c r="A138" s="5">
        <v>134</v>
      </c>
      <c r="B138" s="6" t="s">
        <v>218</v>
      </c>
      <c r="C138" s="7">
        <v>5017.28</v>
      </c>
      <c r="D138" s="8">
        <v>5017.28</v>
      </c>
      <c r="E138" s="8">
        <v>0</v>
      </c>
      <c r="F138" s="8">
        <v>860.8</v>
      </c>
      <c r="G138" s="17">
        <v>594848.85000000009</v>
      </c>
      <c r="H138" s="17">
        <v>594848.85000000009</v>
      </c>
      <c r="I138" s="17">
        <v>618630.63</v>
      </c>
      <c r="J138" s="17">
        <v>618630.63</v>
      </c>
      <c r="K138" s="110">
        <v>2426958.96</v>
      </c>
      <c r="L138" s="17">
        <v>543312.24</v>
      </c>
      <c r="M138" s="17">
        <v>581477.1</v>
      </c>
      <c r="N138" s="17">
        <v>595251.87000000011</v>
      </c>
      <c r="O138" s="17">
        <v>682966.46</v>
      </c>
      <c r="P138" s="110">
        <v>2403007.67</v>
      </c>
      <c r="Q138" s="17">
        <v>267429.59999999998</v>
      </c>
      <c r="R138" s="17">
        <v>300.81</v>
      </c>
      <c r="S138" s="110">
        <v>267128.78999999998</v>
      </c>
    </row>
    <row r="139" spans="1:19" ht="12" customHeight="1" x14ac:dyDescent="0.25">
      <c r="A139" s="5">
        <v>135</v>
      </c>
      <c r="B139" s="6" t="s">
        <v>219</v>
      </c>
      <c r="C139" s="7">
        <v>9584.2799999999916</v>
      </c>
      <c r="D139" s="8">
        <v>9508.9799999999923</v>
      </c>
      <c r="E139" s="8">
        <v>75.3</v>
      </c>
      <c r="F139" s="8">
        <v>1379.8</v>
      </c>
      <c r="G139" s="17">
        <v>1134030.6599999999</v>
      </c>
      <c r="H139" s="17">
        <v>1134030.6599999999</v>
      </c>
      <c r="I139" s="17">
        <v>1179361.9000000001</v>
      </c>
      <c r="J139" s="17">
        <v>1179304.03</v>
      </c>
      <c r="K139" s="110">
        <v>4626727.25</v>
      </c>
      <c r="L139" s="17">
        <v>943735.45</v>
      </c>
      <c r="M139" s="17">
        <v>1069386.8199999998</v>
      </c>
      <c r="N139" s="17">
        <v>1089517.1299999999</v>
      </c>
      <c r="O139" s="17">
        <v>1248845.92</v>
      </c>
      <c r="P139" s="110">
        <v>4351485.3199999994</v>
      </c>
      <c r="Q139" s="17">
        <v>1416780.2</v>
      </c>
      <c r="R139" s="17">
        <v>1614.08</v>
      </c>
      <c r="S139" s="110">
        <v>1415166.1199999999</v>
      </c>
    </row>
    <row r="140" spans="1:19" ht="12" customHeight="1" x14ac:dyDescent="0.25">
      <c r="A140" s="5">
        <v>136</v>
      </c>
      <c r="B140" s="6" t="s">
        <v>220</v>
      </c>
      <c r="C140" s="7">
        <v>3036.2</v>
      </c>
      <c r="D140" s="8">
        <v>3036.2</v>
      </c>
      <c r="E140" s="8">
        <v>0</v>
      </c>
      <c r="F140" s="8">
        <v>498</v>
      </c>
      <c r="G140" s="17">
        <v>362067.27</v>
      </c>
      <c r="H140" s="17">
        <v>362067.27</v>
      </c>
      <c r="I140" s="17">
        <v>376549.56</v>
      </c>
      <c r="J140" s="17">
        <v>376549.56</v>
      </c>
      <c r="K140" s="110">
        <v>1477233.6600000001</v>
      </c>
      <c r="L140" s="17">
        <v>317908.36000000004</v>
      </c>
      <c r="M140" s="17">
        <v>349544.36</v>
      </c>
      <c r="N140" s="17">
        <v>391315.67000000004</v>
      </c>
      <c r="O140" s="17">
        <v>414171.02</v>
      </c>
      <c r="P140" s="110">
        <v>1472939.4100000001</v>
      </c>
      <c r="Q140" s="17">
        <v>259824.03</v>
      </c>
      <c r="R140" s="17">
        <v>786.25</v>
      </c>
      <c r="S140" s="110">
        <v>259037.78</v>
      </c>
    </row>
    <row r="141" spans="1:19" ht="12" customHeight="1" x14ac:dyDescent="0.25">
      <c r="A141" s="5">
        <v>137</v>
      </c>
      <c r="B141" s="6" t="s">
        <v>221</v>
      </c>
      <c r="C141" s="7">
        <v>3037.3</v>
      </c>
      <c r="D141" s="8">
        <v>3037.3</v>
      </c>
      <c r="E141" s="8">
        <v>0</v>
      </c>
      <c r="F141" s="8">
        <v>489.8</v>
      </c>
      <c r="G141" s="17">
        <v>362198.46</v>
      </c>
      <c r="H141" s="17">
        <v>362198.46</v>
      </c>
      <c r="I141" s="17">
        <v>376685.88</v>
      </c>
      <c r="J141" s="17">
        <v>376685.88</v>
      </c>
      <c r="K141" s="110">
        <v>1477768.6800000002</v>
      </c>
      <c r="L141" s="17">
        <v>315714.05</v>
      </c>
      <c r="M141" s="17">
        <v>335381.82</v>
      </c>
      <c r="N141" s="17">
        <v>399512.24</v>
      </c>
      <c r="O141" s="17">
        <v>419511.85000000003</v>
      </c>
      <c r="P141" s="110">
        <v>1470119.96</v>
      </c>
      <c r="Q141" s="17">
        <v>147752.4</v>
      </c>
      <c r="R141" s="17">
        <v>0</v>
      </c>
      <c r="S141" s="110">
        <v>147752.4</v>
      </c>
    </row>
    <row r="142" spans="1:19" ht="12" customHeight="1" x14ac:dyDescent="0.25">
      <c r="A142" s="5">
        <v>138</v>
      </c>
      <c r="B142" s="6" t="s">
        <v>222</v>
      </c>
      <c r="C142" s="7">
        <v>2735.7</v>
      </c>
      <c r="D142" s="8">
        <v>2735.7</v>
      </c>
      <c r="E142" s="8">
        <v>0</v>
      </c>
      <c r="F142" s="8">
        <v>362.6</v>
      </c>
      <c r="G142" s="17">
        <v>224464.52999999997</v>
      </c>
      <c r="H142" s="17">
        <v>224464.52999999997</v>
      </c>
      <c r="I142" s="17">
        <v>233409.99</v>
      </c>
      <c r="J142" s="17">
        <v>233409.99</v>
      </c>
      <c r="K142" s="110">
        <v>915749.03999999992</v>
      </c>
      <c r="L142" s="17">
        <v>201679.23</v>
      </c>
      <c r="M142" s="17">
        <v>218189.02</v>
      </c>
      <c r="N142" s="17">
        <v>222101.2</v>
      </c>
      <c r="O142" s="17">
        <v>263140.94</v>
      </c>
      <c r="P142" s="110">
        <v>905110.3899999999</v>
      </c>
      <c r="Q142" s="17">
        <v>82993.350000000006</v>
      </c>
      <c r="R142" s="17">
        <v>1762.08</v>
      </c>
      <c r="S142" s="110">
        <v>81231.27</v>
      </c>
    </row>
    <row r="143" spans="1:19" ht="12" customHeight="1" x14ac:dyDescent="0.25">
      <c r="A143" s="5">
        <v>139</v>
      </c>
      <c r="B143" s="6" t="s">
        <v>223</v>
      </c>
      <c r="C143" s="7">
        <v>3002.9</v>
      </c>
      <c r="D143" s="8">
        <v>3002.9</v>
      </c>
      <c r="E143" s="8">
        <v>0</v>
      </c>
      <c r="F143" s="8">
        <v>516.70000000000005</v>
      </c>
      <c r="G143" s="17">
        <v>358096.41000000003</v>
      </c>
      <c r="H143" s="17">
        <v>358096.41000000003</v>
      </c>
      <c r="I143" s="17">
        <v>372419.64</v>
      </c>
      <c r="J143" s="17">
        <v>372419.64</v>
      </c>
      <c r="K143" s="110">
        <v>1461032.1</v>
      </c>
      <c r="L143" s="17">
        <v>292830.08000000002</v>
      </c>
      <c r="M143" s="17">
        <v>353666.72</v>
      </c>
      <c r="N143" s="17">
        <v>347216.52</v>
      </c>
      <c r="O143" s="17">
        <v>412938.69</v>
      </c>
      <c r="P143" s="110">
        <v>1406652.01</v>
      </c>
      <c r="Q143" s="17">
        <v>321703.49</v>
      </c>
      <c r="R143" s="17">
        <v>1518.27</v>
      </c>
      <c r="S143" s="110">
        <v>320185.21999999997</v>
      </c>
    </row>
    <row r="144" spans="1:19" ht="12" customHeight="1" x14ac:dyDescent="0.25">
      <c r="A144" s="5">
        <v>140</v>
      </c>
      <c r="B144" s="6" t="s">
        <v>224</v>
      </c>
      <c r="C144" s="7">
        <v>6958.9</v>
      </c>
      <c r="D144" s="8">
        <v>6930.2</v>
      </c>
      <c r="E144" s="8">
        <v>28.7</v>
      </c>
      <c r="F144" s="8">
        <v>1296.2</v>
      </c>
      <c r="G144" s="17">
        <v>826427.52</v>
      </c>
      <c r="H144" s="17">
        <v>826427.52</v>
      </c>
      <c r="I144" s="17">
        <v>859483.17</v>
      </c>
      <c r="J144" s="17">
        <v>859483.17</v>
      </c>
      <c r="K144" s="110">
        <v>3371821.38</v>
      </c>
      <c r="L144" s="17">
        <v>752827.34000000008</v>
      </c>
      <c r="M144" s="17">
        <v>794263.63</v>
      </c>
      <c r="N144" s="17">
        <v>813291.61999999988</v>
      </c>
      <c r="O144" s="17">
        <v>919920.27</v>
      </c>
      <c r="P144" s="110">
        <v>3280302.86</v>
      </c>
      <c r="Q144" s="17">
        <v>669822.06999999995</v>
      </c>
      <c r="R144" s="17">
        <v>779.01</v>
      </c>
      <c r="S144" s="110">
        <v>669043.05999999994</v>
      </c>
    </row>
    <row r="145" spans="1:19" ht="12" customHeight="1" x14ac:dyDescent="0.25">
      <c r="A145" s="5">
        <v>141</v>
      </c>
      <c r="B145" s="6" t="s">
        <v>225</v>
      </c>
      <c r="C145" s="7">
        <v>3314.2</v>
      </c>
      <c r="D145" s="8">
        <v>3314.2</v>
      </c>
      <c r="E145" s="8">
        <v>0</v>
      </c>
      <c r="F145" s="8">
        <v>845.1</v>
      </c>
      <c r="G145" s="17">
        <v>395218.74</v>
      </c>
      <c r="H145" s="17">
        <v>395218.74</v>
      </c>
      <c r="I145" s="17">
        <v>411027.12</v>
      </c>
      <c r="J145" s="17">
        <v>411027.12</v>
      </c>
      <c r="K145" s="110">
        <v>1612491.7200000002</v>
      </c>
      <c r="L145" s="17">
        <v>328988</v>
      </c>
      <c r="M145" s="17">
        <v>387781.61</v>
      </c>
      <c r="N145" s="17">
        <v>400103.52</v>
      </c>
      <c r="O145" s="17">
        <v>428775.75</v>
      </c>
      <c r="P145" s="110">
        <v>1545648.88</v>
      </c>
      <c r="Q145" s="17">
        <v>216866.78</v>
      </c>
      <c r="R145" s="17">
        <v>399.67</v>
      </c>
      <c r="S145" s="110">
        <v>216467.11</v>
      </c>
    </row>
    <row r="146" spans="1:19" ht="12" customHeight="1" x14ac:dyDescent="0.25">
      <c r="A146" s="5">
        <v>142</v>
      </c>
      <c r="B146" s="6" t="s">
        <v>226</v>
      </c>
      <c r="C146" s="7">
        <v>7068.4</v>
      </c>
      <c r="D146" s="8">
        <v>7068.4</v>
      </c>
      <c r="E146" s="8">
        <v>0</v>
      </c>
      <c r="F146" s="8">
        <v>1732.7</v>
      </c>
      <c r="G146" s="17">
        <v>842908.11</v>
      </c>
      <c r="H146" s="17">
        <v>842908.11</v>
      </c>
      <c r="I146" s="17">
        <v>876623.13000000012</v>
      </c>
      <c r="J146" s="17">
        <v>876623.13000000012</v>
      </c>
      <c r="K146" s="110">
        <v>3439062.4800000004</v>
      </c>
      <c r="L146" s="17">
        <v>742568.98</v>
      </c>
      <c r="M146" s="17">
        <v>804624.13</v>
      </c>
      <c r="N146" s="17">
        <v>835619.0199999999</v>
      </c>
      <c r="O146" s="17">
        <v>962317.27999999991</v>
      </c>
      <c r="P146" s="110">
        <v>3345129.4099999997</v>
      </c>
      <c r="Q146" s="17">
        <v>537862.64</v>
      </c>
      <c r="R146" s="17">
        <v>7490.34</v>
      </c>
      <c r="S146" s="110">
        <v>530372.30000000005</v>
      </c>
    </row>
    <row r="147" spans="1:19" ht="12" customHeight="1" x14ac:dyDescent="0.25">
      <c r="A147" s="5">
        <v>143</v>
      </c>
      <c r="B147" s="6" t="s">
        <v>227</v>
      </c>
      <c r="C147" s="7">
        <v>6953.13</v>
      </c>
      <c r="D147" s="8">
        <v>6953.13</v>
      </c>
      <c r="E147" s="8">
        <v>0</v>
      </c>
      <c r="F147" s="8">
        <v>1296.2</v>
      </c>
      <c r="G147" s="17">
        <v>829233.11999999988</v>
      </c>
      <c r="H147" s="17">
        <v>829209.27</v>
      </c>
      <c r="I147" s="17">
        <v>862327.26</v>
      </c>
      <c r="J147" s="17">
        <v>862327.26</v>
      </c>
      <c r="K147" s="110">
        <v>3383096.91</v>
      </c>
      <c r="L147" s="17">
        <v>669346.66</v>
      </c>
      <c r="M147" s="17">
        <v>794583.66</v>
      </c>
      <c r="N147" s="17">
        <v>794465.95</v>
      </c>
      <c r="O147" s="17">
        <v>979957.06</v>
      </c>
      <c r="P147" s="110">
        <v>3238353.33</v>
      </c>
      <c r="Q147" s="17">
        <v>963888.73</v>
      </c>
      <c r="R147" s="17">
        <v>3887.88</v>
      </c>
      <c r="S147" s="110">
        <v>960000.85</v>
      </c>
    </row>
    <row r="148" spans="1:19" ht="12" customHeight="1" x14ac:dyDescent="0.25">
      <c r="A148" s="5">
        <v>144</v>
      </c>
      <c r="B148" s="6" t="s">
        <v>228</v>
      </c>
      <c r="C148" s="7">
        <v>2231.3000000000002</v>
      </c>
      <c r="D148" s="8">
        <v>2231.3000000000002</v>
      </c>
      <c r="E148" s="8">
        <v>0</v>
      </c>
      <c r="F148" s="8">
        <v>485.7</v>
      </c>
      <c r="G148" s="17">
        <v>266082.93</v>
      </c>
      <c r="H148" s="17">
        <v>249115.31</v>
      </c>
      <c r="I148" s="17">
        <v>266082.93</v>
      </c>
      <c r="J148" s="17">
        <v>266082.93</v>
      </c>
      <c r="K148" s="110">
        <v>1047364.0999999999</v>
      </c>
      <c r="L148" s="17">
        <v>215758.6</v>
      </c>
      <c r="M148" s="17">
        <v>261400.64</v>
      </c>
      <c r="N148" s="17">
        <v>268428.26</v>
      </c>
      <c r="O148" s="17">
        <v>295876.27</v>
      </c>
      <c r="P148" s="110">
        <v>1041463.77</v>
      </c>
      <c r="Q148" s="17">
        <v>243396.53</v>
      </c>
      <c r="R148" s="17">
        <v>330.33</v>
      </c>
      <c r="S148" s="110">
        <v>243066.2</v>
      </c>
    </row>
    <row r="149" spans="1:19" ht="12" customHeight="1" x14ac:dyDescent="0.25">
      <c r="A149" s="5">
        <v>145</v>
      </c>
      <c r="B149" s="6" t="s">
        <v>229</v>
      </c>
      <c r="C149" s="7">
        <v>3500.1</v>
      </c>
      <c r="D149" s="8">
        <v>3454.1</v>
      </c>
      <c r="E149" s="8">
        <v>46</v>
      </c>
      <c r="F149" s="8">
        <v>221.6</v>
      </c>
      <c r="G149" s="17">
        <v>280061.84999999998</v>
      </c>
      <c r="H149" s="17">
        <v>289636.82</v>
      </c>
      <c r="I149" s="17">
        <v>294703.83</v>
      </c>
      <c r="J149" s="17">
        <v>294703.83</v>
      </c>
      <c r="K149" s="110">
        <v>1159106.33</v>
      </c>
      <c r="L149" s="17">
        <v>250940.05000000002</v>
      </c>
      <c r="M149" s="17">
        <v>276105.15000000002</v>
      </c>
      <c r="N149" s="17">
        <v>270458.23999999999</v>
      </c>
      <c r="O149" s="17">
        <v>307104.94</v>
      </c>
      <c r="P149" s="110">
        <v>1104608.3800000001</v>
      </c>
      <c r="Q149" s="17">
        <v>464137.11</v>
      </c>
      <c r="R149" s="17">
        <v>0</v>
      </c>
      <c r="S149" s="110">
        <v>464137.11</v>
      </c>
    </row>
    <row r="150" spans="1:19" ht="12" customHeight="1" x14ac:dyDescent="0.25">
      <c r="A150" s="5">
        <v>146</v>
      </c>
      <c r="B150" s="6" t="s">
        <v>230</v>
      </c>
      <c r="C150" s="7">
        <v>4927</v>
      </c>
      <c r="D150" s="8">
        <v>4927</v>
      </c>
      <c r="E150" s="8">
        <v>0</v>
      </c>
      <c r="F150" s="8">
        <v>436.6</v>
      </c>
      <c r="G150" s="17">
        <v>404261.16000000003</v>
      </c>
      <c r="H150" s="17">
        <v>404261.16000000003</v>
      </c>
      <c r="I150" s="17">
        <v>420371.67000000004</v>
      </c>
      <c r="J150" s="17">
        <v>420371.67000000004</v>
      </c>
      <c r="K150" s="110">
        <v>1649265.6600000001</v>
      </c>
      <c r="L150" s="17">
        <v>363128.55</v>
      </c>
      <c r="M150" s="17">
        <v>400379.05</v>
      </c>
      <c r="N150" s="17">
        <v>383122.95</v>
      </c>
      <c r="O150" s="17">
        <v>458456.61000000004</v>
      </c>
      <c r="P150" s="110">
        <v>1605087.1600000001</v>
      </c>
      <c r="Q150" s="17">
        <v>530174.36</v>
      </c>
      <c r="R150" s="17">
        <v>545.70000000000005</v>
      </c>
      <c r="S150" s="110">
        <v>529628.66</v>
      </c>
    </row>
    <row r="151" spans="1:19" ht="12" customHeight="1" x14ac:dyDescent="0.25">
      <c r="A151" s="5">
        <v>147</v>
      </c>
      <c r="B151" s="6" t="s">
        <v>231</v>
      </c>
      <c r="C151" s="7">
        <v>4940.66</v>
      </c>
      <c r="D151" s="8">
        <v>4940.66</v>
      </c>
      <c r="E151" s="8">
        <v>0</v>
      </c>
      <c r="F151" s="8">
        <v>452.8</v>
      </c>
      <c r="G151" s="17">
        <v>405382.23</v>
      </c>
      <c r="H151" s="17">
        <v>405382.23</v>
      </c>
      <c r="I151" s="17">
        <v>421537.14</v>
      </c>
      <c r="J151" s="17">
        <v>421537.14</v>
      </c>
      <c r="K151" s="110">
        <v>1653838.7400000002</v>
      </c>
      <c r="L151" s="17">
        <v>328230.25</v>
      </c>
      <c r="M151" s="17">
        <v>396888.05000000005</v>
      </c>
      <c r="N151" s="17">
        <v>394144.75</v>
      </c>
      <c r="O151" s="17">
        <v>439802.43</v>
      </c>
      <c r="P151" s="110">
        <v>1559065.48</v>
      </c>
      <c r="Q151" s="17">
        <v>662358.62</v>
      </c>
      <c r="R151" s="17">
        <v>2834.94</v>
      </c>
      <c r="S151" s="110">
        <v>659523.68000000005</v>
      </c>
    </row>
    <row r="152" spans="1:19" ht="12" customHeight="1" x14ac:dyDescent="0.25">
      <c r="A152" s="5">
        <v>148</v>
      </c>
      <c r="B152" s="6" t="s">
        <v>232</v>
      </c>
      <c r="C152" s="7">
        <v>3456.99</v>
      </c>
      <c r="D152" s="8">
        <v>3456.99</v>
      </c>
      <c r="E152" s="8">
        <v>0</v>
      </c>
      <c r="F152" s="8">
        <v>619</v>
      </c>
      <c r="G152" s="17">
        <v>283646.58</v>
      </c>
      <c r="H152" s="17">
        <v>283646.58</v>
      </c>
      <c r="I152" s="17">
        <v>294950.37</v>
      </c>
      <c r="J152" s="17">
        <v>294950.37</v>
      </c>
      <c r="K152" s="110">
        <v>1157193.8999999999</v>
      </c>
      <c r="L152" s="17">
        <v>250523.61000000002</v>
      </c>
      <c r="M152" s="17">
        <v>259167.94</v>
      </c>
      <c r="N152" s="17">
        <v>285140.92</v>
      </c>
      <c r="O152" s="17">
        <v>311886.61</v>
      </c>
      <c r="P152" s="110">
        <v>1106719.08</v>
      </c>
      <c r="Q152" s="17">
        <v>606873.61</v>
      </c>
      <c r="R152" s="17">
        <v>3822.2</v>
      </c>
      <c r="S152" s="110">
        <v>603051.41</v>
      </c>
    </row>
    <row r="153" spans="1:19" ht="12" customHeight="1" x14ac:dyDescent="0.25">
      <c r="A153" s="5">
        <v>149</v>
      </c>
      <c r="B153" s="6" t="s">
        <v>233</v>
      </c>
      <c r="C153" s="7">
        <v>3483.9</v>
      </c>
      <c r="D153" s="8">
        <v>3483.9</v>
      </c>
      <c r="E153" s="8">
        <v>0</v>
      </c>
      <c r="F153" s="8">
        <v>445.9</v>
      </c>
      <c r="G153" s="17">
        <v>285854.67</v>
      </c>
      <c r="H153" s="17">
        <v>285854.67</v>
      </c>
      <c r="I153" s="17">
        <v>297246.39</v>
      </c>
      <c r="J153" s="17">
        <v>297246.39</v>
      </c>
      <c r="K153" s="110">
        <v>1166202.1200000001</v>
      </c>
      <c r="L153" s="17">
        <v>238451.63</v>
      </c>
      <c r="M153" s="17">
        <v>271897.53999999998</v>
      </c>
      <c r="N153" s="17">
        <v>264999.46000000002</v>
      </c>
      <c r="O153" s="17">
        <v>367748.97000000003</v>
      </c>
      <c r="P153" s="110">
        <v>1143097.6000000001</v>
      </c>
      <c r="Q153" s="17">
        <v>389566.02</v>
      </c>
      <c r="R153" s="17">
        <v>4651.43</v>
      </c>
      <c r="S153" s="110">
        <v>384914.59</v>
      </c>
    </row>
    <row r="154" spans="1:19" ht="12" customHeight="1" x14ac:dyDescent="0.25">
      <c r="A154" s="5">
        <v>150</v>
      </c>
      <c r="B154" s="6" t="s">
        <v>234</v>
      </c>
      <c r="C154" s="7">
        <v>4951.3999999999996</v>
      </c>
      <c r="D154" s="8">
        <v>4951.3999999999996</v>
      </c>
      <c r="E154" s="8">
        <v>0</v>
      </c>
      <c r="F154" s="8">
        <v>456</v>
      </c>
      <c r="G154" s="17">
        <v>406246.82999999996</v>
      </c>
      <c r="H154" s="17">
        <v>406263.24</v>
      </c>
      <c r="I154" s="17">
        <v>422453.46</v>
      </c>
      <c r="J154" s="17">
        <v>422487.60000000003</v>
      </c>
      <c r="K154" s="110">
        <v>1657451.1300000001</v>
      </c>
      <c r="L154" s="17">
        <v>349673.1</v>
      </c>
      <c r="M154" s="17">
        <v>370989.98</v>
      </c>
      <c r="N154" s="17">
        <v>403809.71</v>
      </c>
      <c r="O154" s="17">
        <v>435462.51</v>
      </c>
      <c r="P154" s="110">
        <v>1559935.3</v>
      </c>
      <c r="Q154" s="17">
        <v>577069.98</v>
      </c>
      <c r="R154" s="17">
        <v>1548.91</v>
      </c>
      <c r="S154" s="110">
        <v>575521.06999999995</v>
      </c>
    </row>
    <row r="155" spans="1:19" ht="12" customHeight="1" x14ac:dyDescent="0.25">
      <c r="A155" s="5">
        <v>151</v>
      </c>
      <c r="B155" s="6" t="s">
        <v>235</v>
      </c>
      <c r="C155" s="7">
        <v>4883.7</v>
      </c>
      <c r="D155" s="8">
        <v>4883.7</v>
      </c>
      <c r="E155" s="8">
        <v>0</v>
      </c>
      <c r="F155" s="8">
        <v>716.4</v>
      </c>
      <c r="G155" s="17">
        <v>404048.01</v>
      </c>
      <c r="H155" s="17">
        <v>404048.01</v>
      </c>
      <c r="I155" s="17">
        <v>418992.34</v>
      </c>
      <c r="J155" s="17">
        <v>416677.32</v>
      </c>
      <c r="K155" s="110">
        <v>1643765.6800000002</v>
      </c>
      <c r="L155" s="17">
        <v>355451.38</v>
      </c>
      <c r="M155" s="17">
        <v>376754.12</v>
      </c>
      <c r="N155" s="17">
        <v>383217.18000000005</v>
      </c>
      <c r="O155" s="17">
        <v>475164.53</v>
      </c>
      <c r="P155" s="110">
        <v>1590587.2100000002</v>
      </c>
      <c r="Q155" s="17">
        <v>448696.45</v>
      </c>
      <c r="R155" s="17">
        <v>1355.35</v>
      </c>
      <c r="S155" s="110">
        <v>447341.10000000003</v>
      </c>
    </row>
    <row r="156" spans="1:19" ht="12" customHeight="1" x14ac:dyDescent="0.25">
      <c r="A156" s="5">
        <v>152</v>
      </c>
      <c r="B156" s="6" t="s">
        <v>236</v>
      </c>
      <c r="C156" s="7">
        <v>3117.6399999999994</v>
      </c>
      <c r="D156" s="8">
        <v>3038.8399999999992</v>
      </c>
      <c r="E156" s="8">
        <v>78.8</v>
      </c>
      <c r="F156" s="8">
        <v>325.39999999999998</v>
      </c>
      <c r="G156" s="17">
        <v>249337.19999999998</v>
      </c>
      <c r="H156" s="17">
        <v>247641.49999999997</v>
      </c>
      <c r="I156" s="17">
        <v>259273.74</v>
      </c>
      <c r="J156" s="17">
        <v>259273.74</v>
      </c>
      <c r="K156" s="110">
        <v>1015526.1799999999</v>
      </c>
      <c r="L156" s="17">
        <v>196962.52000000002</v>
      </c>
      <c r="M156" s="17">
        <v>252475.87</v>
      </c>
      <c r="N156" s="17">
        <v>269495.81</v>
      </c>
      <c r="O156" s="17">
        <v>303729.78999999998</v>
      </c>
      <c r="P156" s="110">
        <v>1022663.99</v>
      </c>
      <c r="Q156" s="17">
        <v>155290.78</v>
      </c>
      <c r="R156" s="17">
        <v>6301.59</v>
      </c>
      <c r="S156" s="110">
        <v>148989.19</v>
      </c>
    </row>
    <row r="157" spans="1:19" ht="12" customHeight="1" x14ac:dyDescent="0.25">
      <c r="A157" s="5">
        <v>153</v>
      </c>
      <c r="B157" s="6" t="s">
        <v>237</v>
      </c>
      <c r="C157" s="7">
        <v>2702.7899999999995</v>
      </c>
      <c r="D157" s="8">
        <v>2702.7899999999995</v>
      </c>
      <c r="E157" s="8">
        <v>0</v>
      </c>
      <c r="F157" s="8">
        <v>379.4</v>
      </c>
      <c r="G157" s="17">
        <v>251116.34999999998</v>
      </c>
      <c r="H157" s="17">
        <v>251116.34999999998</v>
      </c>
      <c r="I157" s="17">
        <v>261170.76</v>
      </c>
      <c r="J157" s="17">
        <v>261170.76</v>
      </c>
      <c r="K157" s="110">
        <v>1024574.22</v>
      </c>
      <c r="L157" s="17">
        <v>224386.65999999997</v>
      </c>
      <c r="M157" s="17">
        <v>238178.57</v>
      </c>
      <c r="N157" s="17">
        <v>258479.78999999998</v>
      </c>
      <c r="O157" s="17">
        <v>277855.40999999997</v>
      </c>
      <c r="P157" s="110">
        <v>998900.42999999993</v>
      </c>
      <c r="Q157" s="17">
        <v>140850.46</v>
      </c>
      <c r="R157" s="17">
        <v>2386.92</v>
      </c>
      <c r="S157" s="110">
        <v>138463.53999999998</v>
      </c>
    </row>
    <row r="158" spans="1:19" ht="12" customHeight="1" x14ac:dyDescent="0.25">
      <c r="A158" s="5">
        <v>154</v>
      </c>
      <c r="B158" s="6" t="s">
        <v>238</v>
      </c>
      <c r="C158" s="7">
        <v>2709.6</v>
      </c>
      <c r="D158" s="8">
        <v>2709.6</v>
      </c>
      <c r="E158" s="8">
        <v>0</v>
      </c>
      <c r="F158" s="8">
        <v>294.8</v>
      </c>
      <c r="G158" s="17">
        <v>251749.08000000002</v>
      </c>
      <c r="H158" s="17">
        <v>251749.08000000002</v>
      </c>
      <c r="I158" s="17">
        <v>261828.69</v>
      </c>
      <c r="J158" s="17">
        <v>261828.69</v>
      </c>
      <c r="K158" s="110">
        <v>1027155.54</v>
      </c>
      <c r="L158" s="17">
        <v>244450.67</v>
      </c>
      <c r="M158" s="17">
        <v>232642.47</v>
      </c>
      <c r="N158" s="17">
        <v>229345.84</v>
      </c>
      <c r="O158" s="17">
        <v>275941.47000000003</v>
      </c>
      <c r="P158" s="110">
        <v>982380.45</v>
      </c>
      <c r="Q158" s="17">
        <v>438771.20000000001</v>
      </c>
      <c r="R158" s="17">
        <v>819.57</v>
      </c>
      <c r="S158" s="110">
        <v>437951.63</v>
      </c>
    </row>
    <row r="159" spans="1:19" ht="12" customHeight="1" x14ac:dyDescent="0.25">
      <c r="A159" s="5">
        <v>155</v>
      </c>
      <c r="B159" s="6" t="s">
        <v>239</v>
      </c>
      <c r="C159" s="7">
        <v>3377.3</v>
      </c>
      <c r="D159" s="8">
        <v>3377.3</v>
      </c>
      <c r="E159" s="8">
        <v>0</v>
      </c>
      <c r="F159" s="8">
        <v>297.8</v>
      </c>
      <c r="G159" s="17">
        <v>277108.05000000005</v>
      </c>
      <c r="H159" s="17">
        <v>277108.05000000005</v>
      </c>
      <c r="I159" s="17">
        <v>288151.32</v>
      </c>
      <c r="J159" s="17">
        <v>288151.32</v>
      </c>
      <c r="K159" s="110">
        <v>1130518.7400000002</v>
      </c>
      <c r="L159" s="17">
        <v>247619.54</v>
      </c>
      <c r="M159" s="17">
        <v>260271.40000000002</v>
      </c>
      <c r="N159" s="17">
        <v>262736.27999999997</v>
      </c>
      <c r="O159" s="17">
        <v>295431.71000000002</v>
      </c>
      <c r="P159" s="110">
        <v>1066058.93</v>
      </c>
      <c r="Q159" s="17">
        <v>398921.12</v>
      </c>
      <c r="R159" s="17">
        <v>1897.5</v>
      </c>
      <c r="S159" s="110">
        <v>397023.62</v>
      </c>
    </row>
    <row r="160" spans="1:19" ht="12" customHeight="1" x14ac:dyDescent="0.25">
      <c r="A160" s="5">
        <v>156</v>
      </c>
      <c r="B160" s="6" t="s">
        <v>240</v>
      </c>
      <c r="C160" s="7">
        <v>3351.3</v>
      </c>
      <c r="D160" s="8">
        <v>3351.3</v>
      </c>
      <c r="E160" s="8">
        <v>0</v>
      </c>
      <c r="F160" s="8">
        <v>279.2</v>
      </c>
      <c r="G160" s="17">
        <v>274974.75</v>
      </c>
      <c r="H160" s="17">
        <v>274974.75</v>
      </c>
      <c r="I160" s="17">
        <v>285932.88</v>
      </c>
      <c r="J160" s="17">
        <v>285932.88</v>
      </c>
      <c r="K160" s="110">
        <v>1121815.26</v>
      </c>
      <c r="L160" s="17">
        <v>273374.03000000003</v>
      </c>
      <c r="M160" s="17">
        <v>302624.78000000003</v>
      </c>
      <c r="N160" s="17">
        <v>265476</v>
      </c>
      <c r="O160" s="17">
        <v>298293.02</v>
      </c>
      <c r="P160" s="110">
        <v>1139767.83</v>
      </c>
      <c r="Q160" s="17">
        <v>370339.76</v>
      </c>
      <c r="R160" s="17">
        <v>344.41</v>
      </c>
      <c r="S160" s="110">
        <v>369995.35000000003</v>
      </c>
    </row>
    <row r="161" spans="1:19" ht="12" customHeight="1" x14ac:dyDescent="0.25">
      <c r="A161" s="5">
        <v>157</v>
      </c>
      <c r="B161" s="6" t="s">
        <v>241</v>
      </c>
      <c r="C161" s="7">
        <v>3357.8</v>
      </c>
      <c r="D161" s="8">
        <v>3357.8</v>
      </c>
      <c r="E161" s="8">
        <v>0</v>
      </c>
      <c r="F161" s="8">
        <v>279.2</v>
      </c>
      <c r="G161" s="17">
        <v>275508.06</v>
      </c>
      <c r="H161" s="17">
        <v>275508.06</v>
      </c>
      <c r="I161" s="17">
        <v>286487.40000000002</v>
      </c>
      <c r="J161" s="17">
        <v>286487.40000000002</v>
      </c>
      <c r="K161" s="110">
        <v>1123990.92</v>
      </c>
      <c r="L161" s="17">
        <v>309239.27</v>
      </c>
      <c r="M161" s="17">
        <v>270886.33</v>
      </c>
      <c r="N161" s="17">
        <v>246202.93</v>
      </c>
      <c r="O161" s="17">
        <v>355389.46</v>
      </c>
      <c r="P161" s="110">
        <v>1181717.99</v>
      </c>
      <c r="Q161" s="17">
        <v>483100.55</v>
      </c>
      <c r="R161" s="17">
        <v>46.97</v>
      </c>
      <c r="S161" s="110">
        <v>483053.58</v>
      </c>
    </row>
    <row r="162" spans="1:19" ht="12" customHeight="1" x14ac:dyDescent="0.25">
      <c r="A162" s="5">
        <v>158</v>
      </c>
      <c r="B162" s="6" t="s">
        <v>242</v>
      </c>
      <c r="C162" s="7">
        <v>4948.74</v>
      </c>
      <c r="D162" s="8">
        <v>4641.3</v>
      </c>
      <c r="E162" s="8">
        <v>307.44</v>
      </c>
      <c r="F162" s="8">
        <v>379.6</v>
      </c>
      <c r="G162" s="17">
        <v>550272.48</v>
      </c>
      <c r="H162" s="17">
        <v>508634.62</v>
      </c>
      <c r="I162" s="17">
        <v>572272.29</v>
      </c>
      <c r="J162" s="17">
        <v>572272.29</v>
      </c>
      <c r="K162" s="110">
        <v>2203451.6800000002</v>
      </c>
      <c r="L162" s="17">
        <v>566006.05999999994</v>
      </c>
      <c r="M162" s="17">
        <v>554660.80000000005</v>
      </c>
      <c r="N162" s="17">
        <v>548779.27</v>
      </c>
      <c r="O162" s="17">
        <v>663269.18999999994</v>
      </c>
      <c r="P162" s="110">
        <v>2332715.3199999998</v>
      </c>
      <c r="Q162" s="17">
        <v>221569.28</v>
      </c>
      <c r="R162" s="17">
        <v>12053.76</v>
      </c>
      <c r="S162" s="110">
        <v>209515.51999999999</v>
      </c>
    </row>
    <row r="163" spans="1:19" ht="12" customHeight="1" x14ac:dyDescent="0.25">
      <c r="A163" s="5">
        <v>159</v>
      </c>
      <c r="B163" s="6" t="s">
        <v>243</v>
      </c>
      <c r="C163" s="7">
        <v>2466.6</v>
      </c>
      <c r="D163" s="8">
        <v>2466.6</v>
      </c>
      <c r="E163" s="8">
        <v>0</v>
      </c>
      <c r="F163" s="8">
        <v>283.8</v>
      </c>
      <c r="G163" s="17">
        <v>163944.78999999998</v>
      </c>
      <c r="H163" s="17">
        <v>24560.949999999983</v>
      </c>
      <c r="I163" s="17">
        <v>210450.33000000002</v>
      </c>
      <c r="J163" s="17">
        <v>210450.33000000002</v>
      </c>
      <c r="K163" s="110">
        <v>609406.39999999991</v>
      </c>
      <c r="L163" s="17">
        <v>182818.85</v>
      </c>
      <c r="M163" s="17">
        <v>37929.5</v>
      </c>
      <c r="N163" s="17">
        <v>139757.54999999999</v>
      </c>
      <c r="O163" s="17">
        <v>224940.24</v>
      </c>
      <c r="P163" s="110">
        <v>585446.14</v>
      </c>
      <c r="Q163" s="17">
        <v>105301.42</v>
      </c>
      <c r="R163" s="17">
        <v>423.36</v>
      </c>
      <c r="S163" s="110">
        <v>104878.06</v>
      </c>
    </row>
    <row r="164" spans="1:19" ht="12" customHeight="1" x14ac:dyDescent="0.25">
      <c r="A164" s="5">
        <v>160</v>
      </c>
      <c r="B164" s="6" t="s">
        <v>244</v>
      </c>
      <c r="C164" s="7">
        <v>2921.9300000000003</v>
      </c>
      <c r="D164" s="8">
        <v>1982.23</v>
      </c>
      <c r="E164" s="8">
        <v>939.7</v>
      </c>
      <c r="F164" s="8">
        <v>273.8</v>
      </c>
      <c r="G164" s="17">
        <v>162609.66</v>
      </c>
      <c r="H164" s="17">
        <v>162609.66</v>
      </c>
      <c r="I164" s="17">
        <v>46728.829999999994</v>
      </c>
      <c r="J164" s="17">
        <v>-144584.12</v>
      </c>
      <c r="K164" s="110">
        <v>227364.03000000003</v>
      </c>
      <c r="L164" s="17">
        <v>140683.99</v>
      </c>
      <c r="M164" s="17">
        <v>159878.95000000001</v>
      </c>
      <c r="N164" s="17">
        <v>105014.34</v>
      </c>
      <c r="O164" s="17">
        <v>1627.9</v>
      </c>
      <c r="P164" s="110">
        <v>407205.18000000005</v>
      </c>
      <c r="Q164" s="17">
        <v>48713.02</v>
      </c>
      <c r="R164" s="17">
        <v>131340.60999999999</v>
      </c>
      <c r="S164" s="110">
        <v>-82627.59</v>
      </c>
    </row>
    <row r="165" spans="1:19" ht="12" customHeight="1" x14ac:dyDescent="0.25">
      <c r="A165" s="5">
        <v>161</v>
      </c>
      <c r="B165" s="6" t="s">
        <v>245</v>
      </c>
      <c r="C165" s="7">
        <v>3423.1</v>
      </c>
      <c r="D165" s="8">
        <v>2691.7</v>
      </c>
      <c r="E165" s="8">
        <v>731.4</v>
      </c>
      <c r="F165" s="8">
        <v>366.3</v>
      </c>
      <c r="G165" s="17">
        <v>220854.51</v>
      </c>
      <c r="H165" s="17">
        <v>220854.51</v>
      </c>
      <c r="I165" s="17">
        <v>229655.88</v>
      </c>
      <c r="J165" s="17">
        <v>229655.88</v>
      </c>
      <c r="K165" s="110">
        <v>901020.78</v>
      </c>
      <c r="L165" s="17">
        <v>209224.2</v>
      </c>
      <c r="M165" s="17">
        <v>206166.58000000002</v>
      </c>
      <c r="N165" s="17">
        <v>200383.47</v>
      </c>
      <c r="O165" s="17">
        <v>258288.3</v>
      </c>
      <c r="P165" s="110">
        <v>874062.55</v>
      </c>
      <c r="Q165" s="17">
        <v>420651.31</v>
      </c>
      <c r="R165" s="17">
        <v>3978.98</v>
      </c>
      <c r="S165" s="110">
        <v>416672.33</v>
      </c>
    </row>
    <row r="166" spans="1:19" ht="12" customHeight="1" x14ac:dyDescent="0.25">
      <c r="A166" s="5">
        <v>162</v>
      </c>
      <c r="B166" s="6" t="s">
        <v>246</v>
      </c>
      <c r="C166" s="7">
        <v>4904.5600000000004</v>
      </c>
      <c r="D166" s="8">
        <v>4904.5600000000004</v>
      </c>
      <c r="E166" s="8">
        <v>0</v>
      </c>
      <c r="F166" s="8">
        <v>488.4</v>
      </c>
      <c r="G166" s="17">
        <v>402420.18</v>
      </c>
      <c r="H166" s="17">
        <v>402420.18</v>
      </c>
      <c r="I166" s="17">
        <v>418457.19000000006</v>
      </c>
      <c r="J166" s="17">
        <v>418457.19000000006</v>
      </c>
      <c r="K166" s="110">
        <v>1641754.7400000002</v>
      </c>
      <c r="L166" s="17">
        <v>412285.66</v>
      </c>
      <c r="M166" s="17">
        <v>387437.13</v>
      </c>
      <c r="N166" s="17">
        <v>404549.99</v>
      </c>
      <c r="O166" s="17">
        <v>447590.63</v>
      </c>
      <c r="P166" s="110">
        <v>1651863.4100000001</v>
      </c>
      <c r="Q166" s="17">
        <v>476121.38</v>
      </c>
      <c r="R166" s="17">
        <v>1243.47</v>
      </c>
      <c r="S166" s="110">
        <v>474877.91000000003</v>
      </c>
    </row>
    <row r="167" spans="1:19" ht="12" customHeight="1" x14ac:dyDescent="0.25">
      <c r="A167" s="5">
        <v>163</v>
      </c>
      <c r="B167" s="6" t="s">
        <v>247</v>
      </c>
      <c r="C167" s="7">
        <v>4886.43</v>
      </c>
      <c r="D167" s="8">
        <v>4886.43</v>
      </c>
      <c r="E167" s="8">
        <v>0</v>
      </c>
      <c r="F167" s="8">
        <v>451.5</v>
      </c>
      <c r="G167" s="17">
        <v>400932.54</v>
      </c>
      <c r="H167" s="17">
        <v>400932.54</v>
      </c>
      <c r="I167" s="17">
        <v>416910.24</v>
      </c>
      <c r="J167" s="17">
        <v>416910.24</v>
      </c>
      <c r="K167" s="110">
        <v>1635685.5599999998</v>
      </c>
      <c r="L167" s="17">
        <v>340859.3</v>
      </c>
      <c r="M167" s="17">
        <v>383582.43</v>
      </c>
      <c r="N167" s="17">
        <v>392806.98</v>
      </c>
      <c r="O167" s="17">
        <v>460607.5</v>
      </c>
      <c r="P167" s="110">
        <v>1577856.21</v>
      </c>
      <c r="Q167" s="17">
        <v>457105.73</v>
      </c>
      <c r="R167" s="17">
        <v>1275.25</v>
      </c>
      <c r="S167" s="110">
        <v>455830.48</v>
      </c>
    </row>
    <row r="168" spans="1:19" ht="12" customHeight="1" x14ac:dyDescent="0.25">
      <c r="A168" s="5">
        <v>164</v>
      </c>
      <c r="B168" s="6" t="s">
        <v>248</v>
      </c>
      <c r="C168" s="7">
        <v>586.91</v>
      </c>
      <c r="D168" s="8">
        <v>586.91</v>
      </c>
      <c r="E168" s="8">
        <v>0</v>
      </c>
      <c r="F168" s="8">
        <v>71.2</v>
      </c>
      <c r="G168" s="17">
        <v>38912.159999999996</v>
      </c>
      <c r="H168" s="17">
        <v>38912.159999999996</v>
      </c>
      <c r="I168" s="17">
        <v>40461.629999999997</v>
      </c>
      <c r="J168" s="17">
        <v>40461.629999999997</v>
      </c>
      <c r="K168" s="110">
        <v>158747.57999999999</v>
      </c>
      <c r="L168" s="17">
        <v>43242.3</v>
      </c>
      <c r="M168" s="17">
        <v>45164.53</v>
      </c>
      <c r="N168" s="17">
        <v>36288.979999999996</v>
      </c>
      <c r="O168" s="17">
        <v>46104.97</v>
      </c>
      <c r="P168" s="110">
        <v>170800.78</v>
      </c>
      <c r="Q168" s="17">
        <v>123126.18</v>
      </c>
      <c r="R168" s="17">
        <v>143.32</v>
      </c>
      <c r="S168" s="110">
        <v>122982.85999999999</v>
      </c>
    </row>
    <row r="169" spans="1:19" ht="12" customHeight="1" x14ac:dyDescent="0.25">
      <c r="A169" s="5">
        <v>165</v>
      </c>
      <c r="B169" s="6" t="s">
        <v>249</v>
      </c>
      <c r="C169" s="7">
        <v>3857.82</v>
      </c>
      <c r="D169" s="8">
        <v>3857.82</v>
      </c>
      <c r="E169" s="8">
        <v>0</v>
      </c>
      <c r="F169" s="8">
        <v>681.2</v>
      </c>
      <c r="G169" s="17">
        <v>457383.08999999997</v>
      </c>
      <c r="H169" s="17">
        <v>457383.08999999997</v>
      </c>
      <c r="I169" s="17">
        <v>475669.19999999995</v>
      </c>
      <c r="J169" s="17">
        <v>475669.19999999995</v>
      </c>
      <c r="K169" s="110">
        <v>1866104.5799999998</v>
      </c>
      <c r="L169" s="17">
        <v>388257.6</v>
      </c>
      <c r="M169" s="17">
        <v>438575.35</v>
      </c>
      <c r="N169" s="17">
        <v>456123.22</v>
      </c>
      <c r="O169" s="17">
        <v>569891.4</v>
      </c>
      <c r="P169" s="110">
        <v>1852847.5699999998</v>
      </c>
      <c r="Q169" s="17">
        <v>375356.55</v>
      </c>
      <c r="R169" s="17">
        <v>2305.83</v>
      </c>
      <c r="S169" s="110">
        <v>373050.72</v>
      </c>
    </row>
    <row r="170" spans="1:19" ht="12" customHeight="1" x14ac:dyDescent="0.25">
      <c r="A170" s="5">
        <v>166</v>
      </c>
      <c r="B170" s="6" t="s">
        <v>250</v>
      </c>
      <c r="C170" s="7">
        <v>3817.5</v>
      </c>
      <c r="D170" s="8">
        <v>3817.5</v>
      </c>
      <c r="E170" s="8">
        <v>0</v>
      </c>
      <c r="F170" s="8">
        <v>710.3</v>
      </c>
      <c r="G170" s="17">
        <v>455237.52</v>
      </c>
      <c r="H170" s="17">
        <v>447643.95999999996</v>
      </c>
      <c r="I170" s="17">
        <v>473446.38</v>
      </c>
      <c r="J170" s="17">
        <v>473446.38</v>
      </c>
      <c r="K170" s="110">
        <v>1849774.2399999998</v>
      </c>
      <c r="L170" s="17">
        <v>400924.08</v>
      </c>
      <c r="M170" s="17">
        <v>423288.32000000001</v>
      </c>
      <c r="N170" s="17">
        <v>462551.57999999996</v>
      </c>
      <c r="O170" s="17">
        <v>556153.62999999989</v>
      </c>
      <c r="P170" s="110">
        <v>1842917.6099999999</v>
      </c>
      <c r="Q170" s="17">
        <v>303128.24</v>
      </c>
      <c r="R170" s="17">
        <v>420.64</v>
      </c>
      <c r="S170" s="110">
        <v>302707.59999999998</v>
      </c>
    </row>
    <row r="171" spans="1:19" ht="12" customHeight="1" x14ac:dyDescent="0.25">
      <c r="A171" s="5">
        <v>167</v>
      </c>
      <c r="B171" s="6" t="s">
        <v>251</v>
      </c>
      <c r="C171" s="7">
        <v>3706.6</v>
      </c>
      <c r="D171" s="8">
        <v>3673.7</v>
      </c>
      <c r="E171" s="8">
        <v>32.9</v>
      </c>
      <c r="F171" s="8">
        <v>670.6</v>
      </c>
      <c r="G171" s="17">
        <v>438089.37</v>
      </c>
      <c r="H171" s="17">
        <v>438089.37</v>
      </c>
      <c r="I171" s="17">
        <v>455612.37</v>
      </c>
      <c r="J171" s="17">
        <v>455612.37</v>
      </c>
      <c r="K171" s="110">
        <v>1787403.48</v>
      </c>
      <c r="L171" s="17">
        <v>390272.74</v>
      </c>
      <c r="M171" s="17">
        <v>438358.5</v>
      </c>
      <c r="N171" s="17">
        <v>435749.52</v>
      </c>
      <c r="O171" s="17">
        <v>497519.10000000003</v>
      </c>
      <c r="P171" s="110">
        <v>1761899.86</v>
      </c>
      <c r="Q171" s="17">
        <v>594148.63</v>
      </c>
      <c r="R171" s="17">
        <v>700.22</v>
      </c>
      <c r="S171" s="110">
        <v>593448.41</v>
      </c>
    </row>
    <row r="172" spans="1:19" ht="12" customHeight="1" x14ac:dyDescent="0.25">
      <c r="A172" s="5">
        <v>168</v>
      </c>
      <c r="B172" s="6" t="s">
        <v>252</v>
      </c>
      <c r="C172" s="7">
        <v>9577.4000000000033</v>
      </c>
      <c r="D172" s="8">
        <v>9471.7000000000025</v>
      </c>
      <c r="E172" s="8">
        <v>105.7</v>
      </c>
      <c r="F172" s="8">
        <v>963.6</v>
      </c>
      <c r="G172" s="17">
        <v>1117709.7</v>
      </c>
      <c r="H172" s="17">
        <v>1122965.1000000001</v>
      </c>
      <c r="I172" s="17">
        <v>1167860.6099999999</v>
      </c>
      <c r="J172" s="17">
        <v>1167860.6099999999</v>
      </c>
      <c r="K172" s="110">
        <v>4576396.0199999996</v>
      </c>
      <c r="L172" s="17">
        <v>1010504.63</v>
      </c>
      <c r="M172" s="17">
        <v>1048185.6200000001</v>
      </c>
      <c r="N172" s="17">
        <v>1082103.6399999999</v>
      </c>
      <c r="O172" s="17">
        <v>1272290.95</v>
      </c>
      <c r="P172" s="110">
        <v>4413084.84</v>
      </c>
      <c r="Q172" s="17">
        <v>1038561.61</v>
      </c>
      <c r="R172" s="17">
        <v>598.6</v>
      </c>
      <c r="S172" s="110">
        <v>1037963.01</v>
      </c>
    </row>
    <row r="173" spans="1:19" ht="12" customHeight="1" x14ac:dyDescent="0.25">
      <c r="A173" s="5">
        <v>169</v>
      </c>
      <c r="B173" s="6" t="s">
        <v>253</v>
      </c>
      <c r="C173" s="7">
        <v>3721.49</v>
      </c>
      <c r="D173" s="8">
        <v>3721.49</v>
      </c>
      <c r="E173" s="8">
        <v>0</v>
      </c>
      <c r="F173" s="8">
        <v>1226.4000000000001</v>
      </c>
      <c r="G173" s="17">
        <v>302869.86</v>
      </c>
      <c r="H173" s="17">
        <v>302869.86</v>
      </c>
      <c r="I173" s="17">
        <v>314594.64</v>
      </c>
      <c r="J173" s="17">
        <v>314838.08999999997</v>
      </c>
      <c r="K173" s="110">
        <v>1235172.45</v>
      </c>
      <c r="L173" s="17">
        <v>240109.44</v>
      </c>
      <c r="M173" s="17">
        <v>266320.90000000002</v>
      </c>
      <c r="N173" s="17">
        <v>291149.19</v>
      </c>
      <c r="O173" s="17">
        <v>402939.26</v>
      </c>
      <c r="P173" s="110">
        <v>1200518.79</v>
      </c>
      <c r="Q173" s="17">
        <v>695327.3</v>
      </c>
      <c r="R173" s="17">
        <v>5536.15</v>
      </c>
      <c r="S173" s="110">
        <v>689791.15</v>
      </c>
    </row>
    <row r="174" spans="1:19" ht="12" customHeight="1" x14ac:dyDescent="0.25">
      <c r="A174" s="5">
        <v>170</v>
      </c>
      <c r="B174" s="6" t="s">
        <v>254</v>
      </c>
      <c r="C174" s="7">
        <v>3663.6699999999996</v>
      </c>
      <c r="D174" s="8">
        <v>3506.97</v>
      </c>
      <c r="E174" s="8">
        <v>156.69999999999999</v>
      </c>
      <c r="F174" s="8">
        <v>1142.2</v>
      </c>
      <c r="G174" s="17">
        <v>285327</v>
      </c>
      <c r="H174" s="17">
        <v>285327</v>
      </c>
      <c r="I174" s="17">
        <v>296689.71000000002</v>
      </c>
      <c r="J174" s="17">
        <v>296689.71000000002</v>
      </c>
      <c r="K174" s="110">
        <v>1164033.42</v>
      </c>
      <c r="L174" s="17">
        <v>246321.56</v>
      </c>
      <c r="M174" s="17">
        <v>244498.78</v>
      </c>
      <c r="N174" s="17">
        <v>259287.29000000004</v>
      </c>
      <c r="O174" s="17">
        <v>265440.63</v>
      </c>
      <c r="P174" s="110">
        <v>1015548.26</v>
      </c>
      <c r="Q174" s="17">
        <v>729367.93</v>
      </c>
      <c r="R174" s="17">
        <v>0</v>
      </c>
      <c r="S174" s="110">
        <v>729367.93</v>
      </c>
    </row>
    <row r="175" spans="1:19" ht="12" customHeight="1" x14ac:dyDescent="0.25">
      <c r="A175" s="5">
        <v>171</v>
      </c>
      <c r="B175" s="6" t="s">
        <v>255</v>
      </c>
      <c r="C175" s="7">
        <v>3870.2</v>
      </c>
      <c r="D175" s="8">
        <v>3870.2</v>
      </c>
      <c r="E175" s="8">
        <v>0</v>
      </c>
      <c r="F175" s="8">
        <v>760.2</v>
      </c>
      <c r="G175" s="17">
        <v>461498.28</v>
      </c>
      <c r="H175" s="17">
        <v>461498.28</v>
      </c>
      <c r="I175" s="17">
        <v>479984.70999999996</v>
      </c>
      <c r="J175" s="17">
        <v>479982.32999999996</v>
      </c>
      <c r="K175" s="110">
        <v>1882963.6</v>
      </c>
      <c r="L175" s="17">
        <v>422775.12</v>
      </c>
      <c r="M175" s="17">
        <v>448109.35</v>
      </c>
      <c r="N175" s="17">
        <v>452134.13</v>
      </c>
      <c r="O175" s="17">
        <v>519665.68</v>
      </c>
      <c r="P175" s="110">
        <v>1842684.28</v>
      </c>
      <c r="Q175" s="17">
        <v>260194.35</v>
      </c>
      <c r="R175" s="17">
        <v>327.12</v>
      </c>
      <c r="S175" s="110">
        <v>259867.23</v>
      </c>
    </row>
    <row r="176" spans="1:19" ht="12" customHeight="1" x14ac:dyDescent="0.25">
      <c r="A176" s="5">
        <v>172</v>
      </c>
      <c r="B176" s="6" t="s">
        <v>256</v>
      </c>
      <c r="C176" s="7">
        <v>3892.2</v>
      </c>
      <c r="D176" s="8">
        <v>3892.2</v>
      </c>
      <c r="E176" s="8">
        <v>0</v>
      </c>
      <c r="F176" s="8">
        <v>797.4</v>
      </c>
      <c r="G176" s="17">
        <v>464145.51</v>
      </c>
      <c r="H176" s="17">
        <v>464145.51</v>
      </c>
      <c r="I176" s="17">
        <v>482710.74</v>
      </c>
      <c r="J176" s="17">
        <v>482462.73</v>
      </c>
      <c r="K176" s="110">
        <v>1893464.49</v>
      </c>
      <c r="L176" s="17">
        <v>451808.48</v>
      </c>
      <c r="M176" s="17">
        <v>453955.24</v>
      </c>
      <c r="N176" s="17">
        <v>470877.46</v>
      </c>
      <c r="O176" s="17">
        <v>534421.74</v>
      </c>
      <c r="P176" s="110">
        <v>1911062.92</v>
      </c>
      <c r="Q176" s="17">
        <v>243512</v>
      </c>
      <c r="R176" s="17">
        <v>3348.87</v>
      </c>
      <c r="S176" s="110">
        <v>240163.13</v>
      </c>
    </row>
    <row r="177" spans="1:19" ht="12" customHeight="1" x14ac:dyDescent="0.25">
      <c r="A177" s="5">
        <v>173</v>
      </c>
      <c r="B177" s="6" t="s">
        <v>257</v>
      </c>
      <c r="C177" s="7">
        <v>14729.300000000001</v>
      </c>
      <c r="D177" s="8">
        <v>13280.2</v>
      </c>
      <c r="E177" s="8">
        <v>1449.1</v>
      </c>
      <c r="F177" s="8">
        <v>2794.8</v>
      </c>
      <c r="G177" s="17">
        <v>1574500.38</v>
      </c>
      <c r="H177" s="17">
        <v>1574500.38</v>
      </c>
      <c r="I177" s="17">
        <v>1637448.66</v>
      </c>
      <c r="J177" s="17">
        <v>1637448.66</v>
      </c>
      <c r="K177" s="110">
        <v>6423898.0800000001</v>
      </c>
      <c r="L177" s="17">
        <v>1408464.5499999998</v>
      </c>
      <c r="M177" s="17">
        <v>1540890.8399999999</v>
      </c>
      <c r="N177" s="17">
        <v>1608683</v>
      </c>
      <c r="O177" s="17">
        <v>1831248.6400000001</v>
      </c>
      <c r="P177" s="110">
        <v>6389287.0299999993</v>
      </c>
      <c r="Q177" s="17">
        <v>546893.81000000006</v>
      </c>
      <c r="R177" s="17">
        <v>1043.52</v>
      </c>
      <c r="S177" s="110">
        <v>545850.29</v>
      </c>
    </row>
    <row r="178" spans="1:19" ht="12" customHeight="1" x14ac:dyDescent="0.25">
      <c r="A178" s="5">
        <v>174</v>
      </c>
      <c r="B178" s="6" t="s">
        <v>258</v>
      </c>
      <c r="C178" s="7">
        <v>3877.2</v>
      </c>
      <c r="D178" s="8">
        <v>3847.2</v>
      </c>
      <c r="E178" s="8">
        <v>30</v>
      </c>
      <c r="F178" s="8">
        <v>583.86</v>
      </c>
      <c r="G178" s="108">
        <v>456124.026032419</v>
      </c>
      <c r="H178" s="108">
        <v>456124.026032419</v>
      </c>
      <c r="I178" s="108">
        <v>474359.77491895243</v>
      </c>
      <c r="J178" s="108">
        <v>474359.77491895243</v>
      </c>
      <c r="K178" s="141">
        <v>1860967.6019027429</v>
      </c>
      <c r="L178" s="186">
        <v>398460.18115870835</v>
      </c>
      <c r="M178" s="186">
        <v>432540.07139319042</v>
      </c>
      <c r="N178" s="108">
        <v>451161.60449833254</v>
      </c>
      <c r="O178" s="108">
        <v>505457.20244874741</v>
      </c>
      <c r="P178" s="141">
        <v>1787619.0594989788</v>
      </c>
      <c r="Q178" s="108">
        <v>820558.63</v>
      </c>
      <c r="R178" s="108">
        <v>1030.3700000000001</v>
      </c>
      <c r="S178" s="141">
        <v>407550.10494454642</v>
      </c>
    </row>
    <row r="179" spans="1:19" ht="12" customHeight="1" x14ac:dyDescent="0.25">
      <c r="A179" s="5">
        <v>175</v>
      </c>
      <c r="B179" s="6" t="s">
        <v>259</v>
      </c>
      <c r="C179" s="7">
        <v>3889</v>
      </c>
      <c r="D179" s="8">
        <v>3889</v>
      </c>
      <c r="E179" s="8">
        <v>0</v>
      </c>
      <c r="F179" s="8">
        <v>585.64</v>
      </c>
      <c r="G179" s="108">
        <v>461079.83396758098</v>
      </c>
      <c r="H179" s="108">
        <v>461079.83396758098</v>
      </c>
      <c r="I179" s="108">
        <v>479513.7150810475</v>
      </c>
      <c r="J179" s="108">
        <v>479513.7150810475</v>
      </c>
      <c r="K179" s="141">
        <v>1881187.0980972571</v>
      </c>
      <c r="L179" s="186">
        <v>402789.46884129161</v>
      </c>
      <c r="M179" s="186">
        <v>437239.63860680955</v>
      </c>
      <c r="N179" s="108">
        <v>456063.49550166749</v>
      </c>
      <c r="O179" s="108">
        <v>510949.01755125256</v>
      </c>
      <c r="P179" s="141">
        <v>1807041.6205010214</v>
      </c>
      <c r="Q179" s="17">
        <v>0</v>
      </c>
      <c r="R179" s="17">
        <v>0</v>
      </c>
      <c r="S179" s="141">
        <v>411978.15505545359</v>
      </c>
    </row>
    <row r="180" spans="1:19" ht="12" customHeight="1" x14ac:dyDescent="0.25">
      <c r="A180" s="5">
        <v>176</v>
      </c>
      <c r="B180" s="6" t="s">
        <v>260</v>
      </c>
      <c r="C180" s="7">
        <v>7751.1</v>
      </c>
      <c r="D180" s="8">
        <v>7751.1</v>
      </c>
      <c r="E180" s="8">
        <v>0</v>
      </c>
      <c r="F180" s="8">
        <v>1535.3</v>
      </c>
      <c r="G180" s="17">
        <v>918970.32000000007</v>
      </c>
      <c r="H180" s="17">
        <v>918970.32000000007</v>
      </c>
      <c r="I180" s="17">
        <v>955710.63000000012</v>
      </c>
      <c r="J180" s="17">
        <v>955710.63000000012</v>
      </c>
      <c r="K180" s="110">
        <v>3749361.9000000004</v>
      </c>
      <c r="L180" s="17">
        <v>792232.9</v>
      </c>
      <c r="M180" s="17">
        <v>904192.79</v>
      </c>
      <c r="N180" s="17">
        <v>906435.51</v>
      </c>
      <c r="O180" s="17">
        <v>1060350.8799999999</v>
      </c>
      <c r="P180" s="110">
        <v>3663212.08</v>
      </c>
      <c r="Q180" s="17">
        <v>523936.92</v>
      </c>
      <c r="R180" s="17">
        <v>1391</v>
      </c>
      <c r="S180" s="110">
        <v>522545.91999999998</v>
      </c>
    </row>
    <row r="181" spans="1:19" ht="12" customHeight="1" x14ac:dyDescent="0.25">
      <c r="A181" s="5">
        <v>177</v>
      </c>
      <c r="B181" s="6" t="s">
        <v>261</v>
      </c>
      <c r="C181" s="7">
        <v>7717.15</v>
      </c>
      <c r="D181" s="8">
        <v>7717.15</v>
      </c>
      <c r="E181" s="8">
        <v>0</v>
      </c>
      <c r="F181" s="8">
        <v>1436.8</v>
      </c>
      <c r="G181" s="17">
        <v>914945.36999999988</v>
      </c>
      <c r="H181" s="17">
        <v>914945.36999999988</v>
      </c>
      <c r="I181" s="17">
        <v>951524.64</v>
      </c>
      <c r="J181" s="17">
        <v>951524.64</v>
      </c>
      <c r="K181" s="110">
        <v>3732940.02</v>
      </c>
      <c r="L181" s="17">
        <v>837331.42999999993</v>
      </c>
      <c r="M181" s="17">
        <v>946477.65</v>
      </c>
      <c r="N181" s="17">
        <v>912681.31</v>
      </c>
      <c r="O181" s="17">
        <v>1020650.1100000001</v>
      </c>
      <c r="P181" s="110">
        <v>3717140.5</v>
      </c>
      <c r="Q181" s="17">
        <v>674561.33</v>
      </c>
      <c r="R181" s="17">
        <v>13279.86</v>
      </c>
      <c r="S181" s="110">
        <v>661281.47</v>
      </c>
    </row>
    <row r="182" spans="1:19" ht="12" customHeight="1" x14ac:dyDescent="0.25">
      <c r="A182" s="5">
        <v>178</v>
      </c>
      <c r="B182" s="6" t="s">
        <v>262</v>
      </c>
      <c r="C182" s="7">
        <v>16826.7</v>
      </c>
      <c r="D182" s="8">
        <v>16826.7</v>
      </c>
      <c r="E182" s="8">
        <v>0</v>
      </c>
      <c r="F182" s="8">
        <v>4544.6000000000004</v>
      </c>
      <c r="G182" s="17">
        <v>1844542.8599999999</v>
      </c>
      <c r="H182" s="17">
        <v>1844542.8599999999</v>
      </c>
      <c r="I182" s="17">
        <v>1844542.8599999999</v>
      </c>
      <c r="J182" s="17">
        <v>1844542.8599999999</v>
      </c>
      <c r="K182" s="110">
        <v>7378171.4399999995</v>
      </c>
      <c r="L182" s="17">
        <v>1666930.42</v>
      </c>
      <c r="M182" s="17">
        <v>1825320.81</v>
      </c>
      <c r="N182" s="17">
        <v>1848250.91</v>
      </c>
      <c r="O182" s="17">
        <v>2071712.73</v>
      </c>
      <c r="P182" s="110">
        <v>7412214.8699999992</v>
      </c>
      <c r="Q182" s="17">
        <v>1585866.31</v>
      </c>
      <c r="R182" s="17">
        <v>20530.54</v>
      </c>
      <c r="S182" s="110">
        <v>1565335.77</v>
      </c>
    </row>
    <row r="183" spans="1:19" ht="12" customHeight="1" x14ac:dyDescent="0.25">
      <c r="A183" s="5">
        <v>179</v>
      </c>
      <c r="B183" s="6" t="s">
        <v>263</v>
      </c>
      <c r="C183" s="7">
        <v>30188.099999999984</v>
      </c>
      <c r="D183" s="8">
        <v>27705.999999999985</v>
      </c>
      <c r="E183" s="8">
        <v>2482.1</v>
      </c>
      <c r="F183" s="8">
        <v>4990</v>
      </c>
      <c r="G183" s="17">
        <v>2983797.4</v>
      </c>
      <c r="H183" s="17">
        <v>3037131.77</v>
      </c>
      <c r="I183" s="17">
        <v>3037131.75</v>
      </c>
      <c r="J183" s="17">
        <v>3036055.59</v>
      </c>
      <c r="K183" s="110">
        <v>12094116.51</v>
      </c>
      <c r="L183" s="17">
        <v>2650767.84</v>
      </c>
      <c r="M183" s="17">
        <v>2918959.73</v>
      </c>
      <c r="N183" s="17">
        <v>3010955.2399999998</v>
      </c>
      <c r="O183" s="17">
        <v>3464878.2</v>
      </c>
      <c r="P183" s="110">
        <v>12045561.010000002</v>
      </c>
      <c r="Q183" s="17">
        <v>6977278.8600000003</v>
      </c>
      <c r="R183" s="17">
        <v>94704.46</v>
      </c>
      <c r="S183" s="110">
        <v>6882574.4000000004</v>
      </c>
    </row>
    <row r="184" spans="1:19" ht="12" customHeight="1" x14ac:dyDescent="0.25">
      <c r="A184" s="5">
        <v>180</v>
      </c>
      <c r="B184" s="6" t="s">
        <v>264</v>
      </c>
      <c r="C184" s="7">
        <v>5090.8</v>
      </c>
      <c r="D184" s="8">
        <v>3431.6</v>
      </c>
      <c r="E184" s="8">
        <v>1659.2</v>
      </c>
      <c r="F184" s="8">
        <v>577.9</v>
      </c>
      <c r="G184" s="17">
        <v>410239.02999999997</v>
      </c>
      <c r="H184" s="17">
        <v>409218.96</v>
      </c>
      <c r="I184" s="17">
        <v>425587.02</v>
      </c>
      <c r="J184" s="17">
        <v>425587.02</v>
      </c>
      <c r="K184" s="110">
        <v>1670632.03</v>
      </c>
      <c r="L184" s="17">
        <v>344090.48000000004</v>
      </c>
      <c r="M184" s="17">
        <v>396871.6</v>
      </c>
      <c r="N184" s="17">
        <v>387533.58999999997</v>
      </c>
      <c r="O184" s="17">
        <v>439216.61</v>
      </c>
      <c r="P184" s="110">
        <v>1567712.2799999998</v>
      </c>
      <c r="Q184" s="17">
        <v>508085.13</v>
      </c>
      <c r="R184" s="17">
        <v>1283.58</v>
      </c>
      <c r="S184" s="110">
        <v>506801.55</v>
      </c>
    </row>
    <row r="185" spans="1:19" ht="12" customHeight="1" x14ac:dyDescent="0.25">
      <c r="A185" s="5">
        <v>181</v>
      </c>
      <c r="B185" s="6" t="s">
        <v>265</v>
      </c>
      <c r="C185" s="7">
        <v>3571.9999999999991</v>
      </c>
      <c r="D185" s="8">
        <v>3571.9999999999991</v>
      </c>
      <c r="E185" s="8">
        <v>0</v>
      </c>
      <c r="F185" s="8">
        <v>577.9</v>
      </c>
      <c r="G185" s="17">
        <v>425961.60000000003</v>
      </c>
      <c r="H185" s="17">
        <v>425961.60000000003</v>
      </c>
      <c r="I185" s="17">
        <v>442999.41000000003</v>
      </c>
      <c r="J185" s="17">
        <v>442999.41000000003</v>
      </c>
      <c r="K185" s="110">
        <v>1737922.02</v>
      </c>
      <c r="L185" s="17">
        <v>354815.66000000003</v>
      </c>
      <c r="M185" s="17">
        <v>393331.33999999997</v>
      </c>
      <c r="N185" s="17">
        <v>407011.95999999996</v>
      </c>
      <c r="O185" s="17">
        <v>601781.06999999995</v>
      </c>
      <c r="P185" s="110">
        <v>1756940.0299999998</v>
      </c>
      <c r="Q185" s="17">
        <v>788581.37</v>
      </c>
      <c r="R185" s="17">
        <v>2118.1</v>
      </c>
      <c r="S185" s="110">
        <v>786463.27</v>
      </c>
    </row>
    <row r="186" spans="1:19" ht="12" customHeight="1" x14ac:dyDescent="0.25">
      <c r="A186" s="5">
        <v>182</v>
      </c>
      <c r="B186" s="6" t="s">
        <v>266</v>
      </c>
      <c r="C186" s="7">
        <v>5235.6000000000004</v>
      </c>
      <c r="D186" s="8">
        <v>5235.6000000000004</v>
      </c>
      <c r="E186" s="8">
        <v>0</v>
      </c>
      <c r="F186" s="8">
        <v>1025</v>
      </c>
      <c r="G186" s="17">
        <v>620716.81000000006</v>
      </c>
      <c r="H186" s="17">
        <v>620732.61</v>
      </c>
      <c r="I186" s="17">
        <v>645549.48</v>
      </c>
      <c r="J186" s="17">
        <v>645549.48</v>
      </c>
      <c r="K186" s="110">
        <v>2532548.38</v>
      </c>
      <c r="L186" s="17">
        <v>567014.1100000001</v>
      </c>
      <c r="M186" s="17">
        <v>601290.33000000007</v>
      </c>
      <c r="N186" s="17">
        <v>612123.5</v>
      </c>
      <c r="O186" s="17">
        <v>707731.28</v>
      </c>
      <c r="P186" s="110">
        <v>2488159.2200000002</v>
      </c>
      <c r="Q186" s="17">
        <v>408843.8</v>
      </c>
      <c r="R186" s="17">
        <v>1155.3900000000001</v>
      </c>
      <c r="S186" s="110">
        <v>407688.41</v>
      </c>
    </row>
    <row r="187" spans="1:19" ht="12" customHeight="1" x14ac:dyDescent="0.25">
      <c r="A187" s="5">
        <v>183</v>
      </c>
      <c r="B187" s="6" t="s">
        <v>267</v>
      </c>
      <c r="C187" s="7">
        <v>4185.8</v>
      </c>
      <c r="D187" s="8">
        <v>4185.8</v>
      </c>
      <c r="E187" s="8">
        <v>0</v>
      </c>
      <c r="F187" s="8">
        <v>712.9</v>
      </c>
      <c r="G187" s="17">
        <v>508169.93000000005</v>
      </c>
      <c r="H187" s="17">
        <v>499157.28</v>
      </c>
      <c r="I187" s="17">
        <v>519122.94000000006</v>
      </c>
      <c r="J187" s="17">
        <v>519122.94000000006</v>
      </c>
      <c r="K187" s="110">
        <v>2045573.0900000003</v>
      </c>
      <c r="L187" s="17">
        <v>445099.81</v>
      </c>
      <c r="M187" s="17">
        <v>481527.53</v>
      </c>
      <c r="N187" s="17">
        <v>510385.07000000007</v>
      </c>
      <c r="O187" s="17">
        <v>582304.56000000006</v>
      </c>
      <c r="P187" s="110">
        <v>2019316.9700000002</v>
      </c>
      <c r="Q187" s="17">
        <v>273449.13</v>
      </c>
      <c r="R187" s="17">
        <v>0</v>
      </c>
      <c r="S187" s="110">
        <v>273449.13</v>
      </c>
    </row>
    <row r="188" spans="1:19" ht="12" customHeight="1" x14ac:dyDescent="0.25">
      <c r="A188" s="5">
        <v>184</v>
      </c>
      <c r="B188" s="6" t="s">
        <v>268</v>
      </c>
      <c r="C188" s="7">
        <v>3577.7</v>
      </c>
      <c r="D188" s="8">
        <v>3577.7</v>
      </c>
      <c r="E188" s="8">
        <v>0</v>
      </c>
      <c r="F188" s="8">
        <v>577.9</v>
      </c>
      <c r="G188" s="17">
        <v>426641.28</v>
      </c>
      <c r="H188" s="17">
        <v>426641.28</v>
      </c>
      <c r="I188" s="17">
        <v>443706.32999999996</v>
      </c>
      <c r="J188" s="17">
        <v>443747.67000000004</v>
      </c>
      <c r="K188" s="110">
        <v>1740736.56</v>
      </c>
      <c r="L188" s="17">
        <v>415516.06</v>
      </c>
      <c r="M188" s="17">
        <v>384230.33999999997</v>
      </c>
      <c r="N188" s="17">
        <v>460577.53</v>
      </c>
      <c r="O188" s="17">
        <v>492924.10000000003</v>
      </c>
      <c r="P188" s="110">
        <v>1753248.03</v>
      </c>
      <c r="Q188" s="17">
        <v>230742.82</v>
      </c>
      <c r="R188" s="17">
        <v>559.41999999999996</v>
      </c>
      <c r="S188" s="110">
        <v>230183.4</v>
      </c>
    </row>
    <row r="189" spans="1:19" ht="12" customHeight="1" x14ac:dyDescent="0.25">
      <c r="A189" s="5">
        <v>185</v>
      </c>
      <c r="B189" s="6" t="s">
        <v>269</v>
      </c>
      <c r="C189" s="7">
        <v>4230.2</v>
      </c>
      <c r="D189" s="8">
        <v>4230.2</v>
      </c>
      <c r="E189" s="8">
        <v>0</v>
      </c>
      <c r="F189" s="8">
        <v>712.9</v>
      </c>
      <c r="G189" s="17">
        <v>504452.10000000003</v>
      </c>
      <c r="H189" s="17">
        <v>504452.10000000003</v>
      </c>
      <c r="I189" s="17">
        <v>524629.44000000006</v>
      </c>
      <c r="J189" s="17">
        <v>513316.19999999995</v>
      </c>
      <c r="K189" s="110">
        <v>2046849.84</v>
      </c>
      <c r="L189" s="17">
        <v>474119.77</v>
      </c>
      <c r="M189" s="17">
        <v>464008.26</v>
      </c>
      <c r="N189" s="17">
        <v>474360.87</v>
      </c>
      <c r="O189" s="17">
        <v>600101.65</v>
      </c>
      <c r="P189" s="110">
        <v>2012590.5499999998</v>
      </c>
      <c r="Q189" s="17">
        <v>700625.12</v>
      </c>
      <c r="R189" s="17">
        <v>7814.99</v>
      </c>
      <c r="S189" s="110">
        <v>692810.13</v>
      </c>
    </row>
    <row r="190" spans="1:19" ht="12" customHeight="1" x14ac:dyDescent="0.25">
      <c r="A190" s="5">
        <v>186</v>
      </c>
      <c r="B190" s="6" t="s">
        <v>270</v>
      </c>
      <c r="C190" s="7">
        <v>5455.0599999999995</v>
      </c>
      <c r="D190" s="8">
        <v>5434.9</v>
      </c>
      <c r="E190" s="8">
        <v>20.16</v>
      </c>
      <c r="F190" s="8">
        <v>1224.5999999999999</v>
      </c>
      <c r="G190" s="17">
        <v>648112.64999999991</v>
      </c>
      <c r="H190" s="17">
        <v>648112.64999999991</v>
      </c>
      <c r="I190" s="17">
        <v>674036.30999999994</v>
      </c>
      <c r="J190" s="17">
        <v>673986.71</v>
      </c>
      <c r="K190" s="110">
        <v>2644248.3199999998</v>
      </c>
      <c r="L190" s="17">
        <v>591171.65999999992</v>
      </c>
      <c r="M190" s="17">
        <v>600468.18000000005</v>
      </c>
      <c r="N190" s="17">
        <v>754251.22</v>
      </c>
      <c r="O190" s="17">
        <v>722705.91999999993</v>
      </c>
      <c r="P190" s="110">
        <v>2668596.9799999995</v>
      </c>
      <c r="Q190" s="17">
        <v>558624.47</v>
      </c>
      <c r="R190" s="17">
        <v>1070.6099999999999</v>
      </c>
      <c r="S190" s="110">
        <v>557553.86</v>
      </c>
    </row>
    <row r="191" spans="1:19" ht="12" customHeight="1" x14ac:dyDescent="0.25">
      <c r="A191" s="5">
        <v>187</v>
      </c>
      <c r="B191" s="6" t="s">
        <v>271</v>
      </c>
      <c r="C191" s="7">
        <v>4167.5</v>
      </c>
      <c r="D191" s="8">
        <v>4167.5</v>
      </c>
      <c r="E191" s="8">
        <v>0</v>
      </c>
      <c r="F191" s="8">
        <v>1164.5999999999999</v>
      </c>
      <c r="G191" s="17">
        <v>496629.21</v>
      </c>
      <c r="H191" s="17">
        <v>496629.21</v>
      </c>
      <c r="I191" s="17">
        <v>517083.85</v>
      </c>
      <c r="J191" s="17">
        <v>516853.29</v>
      </c>
      <c r="K191" s="110">
        <v>2027195.56</v>
      </c>
      <c r="L191" s="17">
        <v>481521.52</v>
      </c>
      <c r="M191" s="17">
        <v>511872.05000000005</v>
      </c>
      <c r="N191" s="17">
        <v>500580.19999999995</v>
      </c>
      <c r="O191" s="17">
        <v>610450.32000000007</v>
      </c>
      <c r="P191" s="110">
        <v>2104424.09</v>
      </c>
      <c r="Q191" s="17">
        <v>176883.09</v>
      </c>
      <c r="R191" s="17">
        <v>2192.66</v>
      </c>
      <c r="S191" s="110">
        <v>174690.43</v>
      </c>
    </row>
    <row r="192" spans="1:19" ht="12" customHeight="1" x14ac:dyDescent="0.25">
      <c r="A192" s="5">
        <v>188</v>
      </c>
      <c r="B192" s="6" t="s">
        <v>272</v>
      </c>
      <c r="C192" s="7">
        <v>4184.8</v>
      </c>
      <c r="D192" s="8">
        <v>4184.8</v>
      </c>
      <c r="E192" s="8">
        <v>0</v>
      </c>
      <c r="F192" s="8">
        <v>1100.4000000000001</v>
      </c>
      <c r="G192" s="17">
        <v>499038.14999999997</v>
      </c>
      <c r="H192" s="17">
        <v>499038.14999999997</v>
      </c>
      <c r="I192" s="17">
        <v>518998.94999999995</v>
      </c>
      <c r="J192" s="17">
        <v>518998.94999999995</v>
      </c>
      <c r="K192" s="110">
        <v>2036074.2</v>
      </c>
      <c r="L192" s="17">
        <v>458064.53</v>
      </c>
      <c r="M192" s="17">
        <v>554265.71000000008</v>
      </c>
      <c r="N192" s="17">
        <v>498344.66000000003</v>
      </c>
      <c r="O192" s="17">
        <v>555096.95000000007</v>
      </c>
      <c r="P192" s="110">
        <v>2065771.85</v>
      </c>
      <c r="Q192" s="17">
        <v>406457.29</v>
      </c>
      <c r="R192" s="17">
        <v>2054.1999999999998</v>
      </c>
      <c r="S192" s="110">
        <v>404403.08999999997</v>
      </c>
    </row>
    <row r="193" spans="1:19" ht="12" customHeight="1" x14ac:dyDescent="0.25">
      <c r="A193" s="5">
        <v>189</v>
      </c>
      <c r="B193" s="6" t="s">
        <v>273</v>
      </c>
      <c r="C193" s="7">
        <v>5377.9</v>
      </c>
      <c r="D193" s="8">
        <v>5377.9</v>
      </c>
      <c r="E193" s="8">
        <v>0</v>
      </c>
      <c r="F193" s="8">
        <v>1226.3</v>
      </c>
      <c r="G193" s="17">
        <v>641279.61</v>
      </c>
      <c r="H193" s="17">
        <v>641315.39999999991</v>
      </c>
      <c r="I193" s="17">
        <v>666967.19999999995</v>
      </c>
      <c r="J193" s="17">
        <v>666967.19999999995</v>
      </c>
      <c r="K193" s="110">
        <v>2616529.4099999997</v>
      </c>
      <c r="L193" s="17">
        <v>581262.24</v>
      </c>
      <c r="M193" s="17">
        <v>619202.85</v>
      </c>
      <c r="N193" s="17">
        <v>645803.02</v>
      </c>
      <c r="O193" s="17">
        <v>743023.22</v>
      </c>
      <c r="P193" s="110">
        <v>2589291.33</v>
      </c>
      <c r="Q193" s="17">
        <v>436406.67</v>
      </c>
      <c r="R193" s="17">
        <v>2491.2600000000002</v>
      </c>
      <c r="S193" s="110">
        <v>433915.41</v>
      </c>
    </row>
    <row r="194" spans="1:19" ht="12" customHeight="1" x14ac:dyDescent="0.25">
      <c r="A194" s="5">
        <v>190</v>
      </c>
      <c r="B194" s="6" t="s">
        <v>274</v>
      </c>
      <c r="C194" s="7">
        <v>5357</v>
      </c>
      <c r="D194" s="8">
        <v>5357</v>
      </c>
      <c r="E194" s="8">
        <v>0</v>
      </c>
      <c r="F194" s="8">
        <v>1216.7</v>
      </c>
      <c r="G194" s="17">
        <v>638822.97</v>
      </c>
      <c r="H194" s="17">
        <v>638822.97</v>
      </c>
      <c r="I194" s="17">
        <v>664375.19999999995</v>
      </c>
      <c r="J194" s="17">
        <v>664375.19999999995</v>
      </c>
      <c r="K194" s="110">
        <v>2606396.34</v>
      </c>
      <c r="L194" s="17">
        <v>551044.42999999993</v>
      </c>
      <c r="M194" s="17">
        <v>637544.68000000005</v>
      </c>
      <c r="N194" s="17">
        <v>642954.59</v>
      </c>
      <c r="O194" s="17">
        <v>739207.7</v>
      </c>
      <c r="P194" s="110">
        <v>2570751.3999999994</v>
      </c>
      <c r="Q194" s="17">
        <v>422570.17</v>
      </c>
      <c r="R194" s="17">
        <v>4651.8</v>
      </c>
      <c r="S194" s="110">
        <v>417918.37</v>
      </c>
    </row>
    <row r="195" spans="1:19" ht="12" customHeight="1" x14ac:dyDescent="0.25">
      <c r="A195" s="5">
        <v>191</v>
      </c>
      <c r="B195" s="6" t="s">
        <v>275</v>
      </c>
      <c r="C195" s="7">
        <v>5375</v>
      </c>
      <c r="D195" s="8">
        <v>5375</v>
      </c>
      <c r="E195" s="8">
        <v>0</v>
      </c>
      <c r="F195" s="8">
        <v>2019.6</v>
      </c>
      <c r="G195" s="17">
        <v>640969.62</v>
      </c>
      <c r="H195" s="17">
        <v>640969.62</v>
      </c>
      <c r="I195" s="17">
        <v>666607.59</v>
      </c>
      <c r="J195" s="17">
        <v>666607.59</v>
      </c>
      <c r="K195" s="110">
        <v>2615154.42</v>
      </c>
      <c r="L195" s="17">
        <v>567303.66999999993</v>
      </c>
      <c r="M195" s="17">
        <v>634305.64</v>
      </c>
      <c r="N195" s="17">
        <v>635904.15</v>
      </c>
      <c r="O195" s="17">
        <v>750116.71</v>
      </c>
      <c r="P195" s="110">
        <v>2587630.17</v>
      </c>
      <c r="Q195" s="17">
        <v>419366.73</v>
      </c>
      <c r="R195" s="17">
        <v>391.42</v>
      </c>
      <c r="S195" s="110">
        <v>418975.31</v>
      </c>
    </row>
    <row r="196" spans="1:19" ht="12" customHeight="1" x14ac:dyDescent="0.25">
      <c r="A196" s="5">
        <v>192</v>
      </c>
      <c r="B196" s="6" t="s">
        <v>276</v>
      </c>
      <c r="C196" s="7">
        <v>4210.2</v>
      </c>
      <c r="D196" s="8">
        <v>4210.2</v>
      </c>
      <c r="E196" s="8">
        <v>0</v>
      </c>
      <c r="F196" s="8">
        <v>1155.4000000000001</v>
      </c>
      <c r="G196" s="17">
        <v>502067.10000000003</v>
      </c>
      <c r="H196" s="17">
        <v>502067.10000000003</v>
      </c>
      <c r="I196" s="17">
        <v>522149.04</v>
      </c>
      <c r="J196" s="17">
        <v>522149.04</v>
      </c>
      <c r="K196" s="110">
        <v>2048432.28</v>
      </c>
      <c r="L196" s="17">
        <v>426303.53</v>
      </c>
      <c r="M196" s="17">
        <v>502922.23</v>
      </c>
      <c r="N196" s="17">
        <v>503934.08999999997</v>
      </c>
      <c r="O196" s="17">
        <v>547174.69999999995</v>
      </c>
      <c r="P196" s="110">
        <v>1980334.55</v>
      </c>
      <c r="Q196" s="17">
        <v>1240591.5900000001</v>
      </c>
      <c r="R196" s="17">
        <v>1993.87</v>
      </c>
      <c r="S196" s="110">
        <v>1238597.72</v>
      </c>
    </row>
    <row r="197" spans="1:19" ht="12" customHeight="1" x14ac:dyDescent="0.25">
      <c r="A197" s="5">
        <v>193</v>
      </c>
      <c r="B197" s="6" t="s">
        <v>277</v>
      </c>
      <c r="C197" s="7">
        <v>6338.79</v>
      </c>
      <c r="D197" s="8">
        <v>6313.5</v>
      </c>
      <c r="E197" s="8">
        <v>25.29</v>
      </c>
      <c r="F197" s="8">
        <v>1427.1</v>
      </c>
      <c r="G197" s="17">
        <v>748528.53</v>
      </c>
      <c r="H197" s="17">
        <v>763052.13</v>
      </c>
      <c r="I197" s="17">
        <v>763930.95</v>
      </c>
      <c r="J197" s="17">
        <v>778454.55</v>
      </c>
      <c r="K197" s="110">
        <v>3053966.16</v>
      </c>
      <c r="L197" s="17">
        <v>712441.77</v>
      </c>
      <c r="M197" s="17">
        <v>743368.6</v>
      </c>
      <c r="N197" s="17">
        <v>756959.85</v>
      </c>
      <c r="O197" s="17">
        <v>853108.7</v>
      </c>
      <c r="P197" s="110">
        <v>3065878.92</v>
      </c>
      <c r="Q197" s="17">
        <v>382704.63</v>
      </c>
      <c r="R197" s="17">
        <v>3871.52</v>
      </c>
      <c r="S197" s="110">
        <v>378833.11</v>
      </c>
    </row>
    <row r="198" spans="1:19" ht="12" customHeight="1" x14ac:dyDescent="0.25">
      <c r="A198" s="5">
        <v>194</v>
      </c>
      <c r="B198" s="6" t="s">
        <v>278</v>
      </c>
      <c r="C198" s="7">
        <v>28921.599999999984</v>
      </c>
      <c r="D198" s="8">
        <v>23865.599999999984</v>
      </c>
      <c r="E198" s="8">
        <v>5056</v>
      </c>
      <c r="F198" s="8">
        <v>5071.5</v>
      </c>
      <c r="G198" s="17">
        <v>2706715.41</v>
      </c>
      <c r="H198" s="17">
        <v>2706715.41</v>
      </c>
      <c r="I198" s="17">
        <v>2702261</v>
      </c>
      <c r="J198" s="17">
        <v>2706715.41</v>
      </c>
      <c r="K198" s="110">
        <v>10822407.23</v>
      </c>
      <c r="L198" s="17">
        <v>2229731.27</v>
      </c>
      <c r="M198" s="17">
        <v>2598920.48</v>
      </c>
      <c r="N198" s="17">
        <v>2548253.52</v>
      </c>
      <c r="O198" s="17">
        <v>3165191.5300000003</v>
      </c>
      <c r="P198" s="110">
        <v>10542096.800000001</v>
      </c>
      <c r="Q198" s="17">
        <v>5343144.8899999997</v>
      </c>
      <c r="R198" s="17">
        <v>80662.14</v>
      </c>
      <c r="S198" s="110">
        <v>5262482.75</v>
      </c>
    </row>
    <row r="199" spans="1:19" ht="12" customHeight="1" x14ac:dyDescent="0.25">
      <c r="A199" s="5">
        <v>195</v>
      </c>
      <c r="B199" s="6" t="s">
        <v>279</v>
      </c>
      <c r="C199" s="7">
        <v>3534.12</v>
      </c>
      <c r="D199" s="8">
        <v>3534.12</v>
      </c>
      <c r="E199" s="8">
        <v>0</v>
      </c>
      <c r="F199" s="8">
        <v>596</v>
      </c>
      <c r="G199" s="17">
        <v>289989.31999999995</v>
      </c>
      <c r="H199" s="17">
        <v>289975.19999999995</v>
      </c>
      <c r="I199" s="17">
        <v>301531.11</v>
      </c>
      <c r="J199" s="17">
        <v>283114.23</v>
      </c>
      <c r="K199" s="110">
        <v>1164609.8599999999</v>
      </c>
      <c r="L199" s="17">
        <v>281825.68</v>
      </c>
      <c r="M199" s="17">
        <v>284892.53999999998</v>
      </c>
      <c r="N199" s="17">
        <v>296699.36</v>
      </c>
      <c r="O199" s="17">
        <v>310372.96999999997</v>
      </c>
      <c r="P199" s="110">
        <v>1173790.5499999998</v>
      </c>
      <c r="Q199" s="17">
        <v>242323.84</v>
      </c>
      <c r="R199" s="17">
        <v>240.15</v>
      </c>
      <c r="S199" s="110">
        <v>242083.69</v>
      </c>
    </row>
    <row r="200" spans="1:19" ht="12" customHeight="1" x14ac:dyDescent="0.25">
      <c r="A200" s="5">
        <v>196</v>
      </c>
      <c r="B200" s="6" t="s">
        <v>280</v>
      </c>
      <c r="C200" s="7">
        <v>7052.6</v>
      </c>
      <c r="D200" s="8">
        <v>6966.3</v>
      </c>
      <c r="E200" s="8">
        <v>86.3</v>
      </c>
      <c r="F200" s="8">
        <v>638</v>
      </c>
      <c r="G200" s="17">
        <v>574487</v>
      </c>
      <c r="H200" s="17">
        <v>571586.13</v>
      </c>
      <c r="I200" s="17">
        <v>594364.86</v>
      </c>
      <c r="J200" s="17">
        <v>594364.86</v>
      </c>
      <c r="K200" s="110">
        <v>2334802.8499999996</v>
      </c>
      <c r="L200" s="17">
        <v>528101.39</v>
      </c>
      <c r="M200" s="17">
        <v>534759.26</v>
      </c>
      <c r="N200" s="17">
        <v>526964.62</v>
      </c>
      <c r="O200" s="17">
        <v>612003.4</v>
      </c>
      <c r="P200" s="110">
        <v>2201828.67</v>
      </c>
      <c r="Q200" s="17">
        <v>547031.35</v>
      </c>
      <c r="R200" s="17">
        <v>642.91</v>
      </c>
      <c r="S200" s="110">
        <v>546388.43999999994</v>
      </c>
    </row>
    <row r="201" spans="1:19" ht="12" customHeight="1" x14ac:dyDescent="0.25">
      <c r="A201" s="5">
        <v>197</v>
      </c>
      <c r="B201" s="6" t="s">
        <v>281</v>
      </c>
      <c r="C201" s="7">
        <v>3498.85</v>
      </c>
      <c r="D201" s="8">
        <v>3498.85</v>
      </c>
      <c r="E201" s="8">
        <v>0</v>
      </c>
      <c r="F201" s="8">
        <v>300.8</v>
      </c>
      <c r="G201" s="17">
        <v>274659.11</v>
      </c>
      <c r="H201" s="17">
        <v>287081.22000000003</v>
      </c>
      <c r="I201" s="17">
        <v>298521.87</v>
      </c>
      <c r="J201" s="17">
        <v>298521.87</v>
      </c>
      <c r="K201" s="110">
        <v>1158784.07</v>
      </c>
      <c r="L201" s="17">
        <v>261742.94</v>
      </c>
      <c r="M201" s="17">
        <v>261837.63999999998</v>
      </c>
      <c r="N201" s="17">
        <v>282672.27</v>
      </c>
      <c r="O201" s="17">
        <v>306518.56999999995</v>
      </c>
      <c r="P201" s="110">
        <v>1112771.42</v>
      </c>
      <c r="Q201" s="17">
        <v>443246.15</v>
      </c>
      <c r="R201" s="17">
        <v>1696.07</v>
      </c>
      <c r="S201" s="110">
        <v>441550.08000000002</v>
      </c>
    </row>
    <row r="202" spans="1:19" ht="12" customHeight="1" x14ac:dyDescent="0.25">
      <c r="A202" s="5">
        <v>198</v>
      </c>
      <c r="B202" s="6" t="s">
        <v>282</v>
      </c>
      <c r="C202" s="7">
        <v>3501.4</v>
      </c>
      <c r="D202" s="8">
        <v>3501.4</v>
      </c>
      <c r="E202" s="8">
        <v>0</v>
      </c>
      <c r="F202" s="8">
        <v>300</v>
      </c>
      <c r="G202" s="17">
        <v>287290.47000000003</v>
      </c>
      <c r="H202" s="17">
        <v>287290.47000000003</v>
      </c>
      <c r="I202" s="17">
        <v>298739.46000000002</v>
      </c>
      <c r="J202" s="17">
        <v>298739.46000000002</v>
      </c>
      <c r="K202" s="110">
        <v>1172059.8600000001</v>
      </c>
      <c r="L202" s="17">
        <v>237221.24</v>
      </c>
      <c r="M202" s="17">
        <v>333809.01999999996</v>
      </c>
      <c r="N202" s="17">
        <v>277575.25</v>
      </c>
      <c r="O202" s="17">
        <v>351443.94</v>
      </c>
      <c r="P202" s="110">
        <v>1200049.45</v>
      </c>
      <c r="Q202" s="17">
        <v>308011.51</v>
      </c>
      <c r="R202" s="17">
        <v>1147.6300000000001</v>
      </c>
      <c r="S202" s="110">
        <v>306863.88</v>
      </c>
    </row>
    <row r="203" spans="1:19" ht="12" customHeight="1" x14ac:dyDescent="0.25">
      <c r="A203" s="5">
        <v>199</v>
      </c>
      <c r="B203" s="6" t="s">
        <v>283</v>
      </c>
      <c r="C203" s="7">
        <v>3514.1</v>
      </c>
      <c r="D203" s="8">
        <v>3514.1</v>
      </c>
      <c r="E203" s="8">
        <v>0</v>
      </c>
      <c r="F203" s="8">
        <v>299.7</v>
      </c>
      <c r="G203" s="17">
        <v>288332.61</v>
      </c>
      <c r="H203" s="17">
        <v>288332.61</v>
      </c>
      <c r="I203" s="17">
        <v>299823.06</v>
      </c>
      <c r="J203" s="17">
        <v>299823.06</v>
      </c>
      <c r="K203" s="110">
        <v>1176311.3400000001</v>
      </c>
      <c r="L203" s="17">
        <v>236952.94</v>
      </c>
      <c r="M203" s="17">
        <v>246957.15</v>
      </c>
      <c r="N203" s="17">
        <v>266007.86</v>
      </c>
      <c r="O203" s="17">
        <v>368563.23</v>
      </c>
      <c r="P203" s="110">
        <v>1118481.18</v>
      </c>
      <c r="Q203" s="17">
        <v>355599.49</v>
      </c>
      <c r="R203" s="17">
        <v>7744.96</v>
      </c>
      <c r="S203" s="110">
        <v>347854.52999999997</v>
      </c>
    </row>
    <row r="204" spans="1:19" ht="12" customHeight="1" x14ac:dyDescent="0.25">
      <c r="A204" s="5">
        <v>200</v>
      </c>
      <c r="B204" s="6" t="s">
        <v>284</v>
      </c>
      <c r="C204" s="7">
        <v>3480.8300000000008</v>
      </c>
      <c r="D204" s="8">
        <v>3480.8300000000008</v>
      </c>
      <c r="E204" s="8">
        <v>0</v>
      </c>
      <c r="F204" s="8">
        <v>304.2</v>
      </c>
      <c r="G204" s="17">
        <v>197336.09</v>
      </c>
      <c r="H204" s="17">
        <v>285602.52</v>
      </c>
      <c r="I204" s="17">
        <v>296984.40000000002</v>
      </c>
      <c r="J204" s="17">
        <v>296984.40000000002</v>
      </c>
      <c r="K204" s="110">
        <v>1076907.4100000001</v>
      </c>
      <c r="L204" s="17">
        <v>282145.49</v>
      </c>
      <c r="M204" s="17">
        <v>288705.08</v>
      </c>
      <c r="N204" s="17">
        <v>283380.88</v>
      </c>
      <c r="O204" s="17">
        <v>310076.40999999997</v>
      </c>
      <c r="P204" s="110">
        <v>1164307.8600000001</v>
      </c>
      <c r="Q204" s="17">
        <v>227952.39</v>
      </c>
      <c r="R204" s="17">
        <v>6862.72</v>
      </c>
      <c r="S204" s="110">
        <v>221089.67</v>
      </c>
    </row>
    <row r="205" spans="1:19" ht="12" customHeight="1" x14ac:dyDescent="0.25">
      <c r="A205" s="5">
        <v>201</v>
      </c>
      <c r="B205" s="6" t="s">
        <v>285</v>
      </c>
      <c r="C205" s="7">
        <v>6969.63</v>
      </c>
      <c r="D205" s="8">
        <v>6969.63</v>
      </c>
      <c r="E205" s="8">
        <v>0</v>
      </c>
      <c r="F205" s="8">
        <v>608.5</v>
      </c>
      <c r="G205" s="17">
        <v>571752.82999999996</v>
      </c>
      <c r="H205" s="17">
        <v>571823.96</v>
      </c>
      <c r="I205" s="17">
        <v>594648.72</v>
      </c>
      <c r="J205" s="17">
        <v>594648.72</v>
      </c>
      <c r="K205" s="110">
        <v>2332874.23</v>
      </c>
      <c r="L205" s="17">
        <v>557411.6100000001</v>
      </c>
      <c r="M205" s="17">
        <v>546197.03</v>
      </c>
      <c r="N205" s="17">
        <v>533007.76</v>
      </c>
      <c r="O205" s="17">
        <v>650116.16</v>
      </c>
      <c r="P205" s="110">
        <v>2286732.56</v>
      </c>
      <c r="Q205" s="17">
        <v>502960.1</v>
      </c>
      <c r="R205" s="17">
        <v>2515.59</v>
      </c>
      <c r="S205" s="110">
        <v>500444.50999999995</v>
      </c>
    </row>
    <row r="206" spans="1:19" ht="12" customHeight="1" x14ac:dyDescent="0.25">
      <c r="A206" s="5">
        <v>202</v>
      </c>
      <c r="B206" s="6" t="s">
        <v>286</v>
      </c>
      <c r="C206" s="7">
        <v>3030.3</v>
      </c>
      <c r="D206" s="8">
        <v>3030.3</v>
      </c>
      <c r="E206" s="8">
        <v>0</v>
      </c>
      <c r="F206" s="8">
        <v>352.32</v>
      </c>
      <c r="G206" s="108">
        <v>360859.31644410139</v>
      </c>
      <c r="H206" s="108">
        <v>361388.1161350499</v>
      </c>
      <c r="I206" s="108">
        <v>375904.11202525615</v>
      </c>
      <c r="J206" s="108">
        <v>375817.7552428731</v>
      </c>
      <c r="K206" s="141">
        <v>1473969.2998472806</v>
      </c>
      <c r="L206" s="186">
        <v>308940.1449282383</v>
      </c>
      <c r="M206" s="186">
        <v>350008.31852108514</v>
      </c>
      <c r="N206" s="108">
        <v>357655.93464135577</v>
      </c>
      <c r="O206" s="108">
        <v>405800.36331975827</v>
      </c>
      <c r="P206" s="141">
        <v>1422404.7614104375</v>
      </c>
      <c r="Q206" s="108">
        <v>599312.66999999993</v>
      </c>
      <c r="R206" s="108">
        <v>9043.17</v>
      </c>
      <c r="S206" s="141">
        <v>293729.25411357061</v>
      </c>
    </row>
    <row r="207" spans="1:19" ht="12" customHeight="1" x14ac:dyDescent="0.25">
      <c r="A207" s="5">
        <v>203</v>
      </c>
      <c r="B207" s="6" t="s">
        <v>287</v>
      </c>
      <c r="C207" s="7">
        <v>3059.3</v>
      </c>
      <c r="D207" s="8">
        <v>3059.3</v>
      </c>
      <c r="E207" s="8">
        <v>0</v>
      </c>
      <c r="F207" s="8">
        <v>361.28</v>
      </c>
      <c r="G207" s="108">
        <v>364312.7435558986</v>
      </c>
      <c r="H207" s="108">
        <v>364846.60386495007</v>
      </c>
      <c r="I207" s="108">
        <v>379501.51797474379</v>
      </c>
      <c r="J207" s="108">
        <v>379414.33475712687</v>
      </c>
      <c r="K207" s="141">
        <v>1488075.2001527194</v>
      </c>
      <c r="L207" s="186">
        <v>311896.70507176168</v>
      </c>
      <c r="M207" s="186">
        <v>353357.90147891489</v>
      </c>
      <c r="N207" s="108">
        <v>361078.70535864425</v>
      </c>
      <c r="O207" s="108">
        <v>409683.87668024172</v>
      </c>
      <c r="P207" s="141">
        <v>1436017.1885895624</v>
      </c>
      <c r="Q207" s="17">
        <v>0</v>
      </c>
      <c r="R207" s="17">
        <v>0</v>
      </c>
      <c r="S207" s="141">
        <v>296540.24588642927</v>
      </c>
    </row>
    <row r="208" spans="1:19" ht="12" customHeight="1" x14ac:dyDescent="0.25">
      <c r="A208" s="5">
        <v>204</v>
      </c>
      <c r="B208" s="6" t="s">
        <v>288</v>
      </c>
      <c r="C208" s="7">
        <v>6991.3</v>
      </c>
      <c r="D208" s="8">
        <v>6991.3</v>
      </c>
      <c r="E208" s="8">
        <v>0</v>
      </c>
      <c r="F208" s="8">
        <v>619.5</v>
      </c>
      <c r="G208" s="17">
        <v>573615.38</v>
      </c>
      <c r="H208" s="17">
        <v>573637.19000000006</v>
      </c>
      <c r="I208" s="17">
        <v>596497.77</v>
      </c>
      <c r="J208" s="17">
        <v>596497.77</v>
      </c>
      <c r="K208" s="110">
        <v>2340248.1100000003</v>
      </c>
      <c r="L208" s="17">
        <v>494982.34</v>
      </c>
      <c r="M208" s="17">
        <v>593902.26</v>
      </c>
      <c r="N208" s="17">
        <v>556190.83000000007</v>
      </c>
      <c r="O208" s="17">
        <v>667166.54</v>
      </c>
      <c r="P208" s="110">
        <v>2312241.9700000002</v>
      </c>
      <c r="Q208" s="17">
        <v>466415.28</v>
      </c>
      <c r="R208" s="17">
        <v>1953.03</v>
      </c>
      <c r="S208" s="110">
        <v>464462.25</v>
      </c>
    </row>
    <row r="209" spans="1:19" ht="12" customHeight="1" x14ac:dyDescent="0.25">
      <c r="A209" s="5">
        <v>205</v>
      </c>
      <c r="B209" s="6" t="s">
        <v>289</v>
      </c>
      <c r="C209" s="7">
        <v>8371.2500000000018</v>
      </c>
      <c r="D209" s="8">
        <v>7665.5500000000011</v>
      </c>
      <c r="E209" s="8">
        <v>705.7</v>
      </c>
      <c r="F209" s="8">
        <v>5042</v>
      </c>
      <c r="G209" s="17">
        <v>908827.86</v>
      </c>
      <c r="H209" s="17">
        <v>908827.86</v>
      </c>
      <c r="I209" s="17">
        <v>945162.48</v>
      </c>
      <c r="J209" s="17">
        <v>945244.67999999993</v>
      </c>
      <c r="K209" s="110">
        <v>3708062.88</v>
      </c>
      <c r="L209" s="17">
        <v>806446.41999999993</v>
      </c>
      <c r="M209" s="17">
        <v>804006.23</v>
      </c>
      <c r="N209" s="17">
        <v>939016.85000000009</v>
      </c>
      <c r="O209" s="17">
        <v>1021205.56</v>
      </c>
      <c r="P209" s="110">
        <v>3570675.06</v>
      </c>
      <c r="Q209" s="17">
        <v>1336728.4099999999</v>
      </c>
      <c r="R209" s="17">
        <v>74681.929999999993</v>
      </c>
      <c r="S209" s="110">
        <v>1262046.48</v>
      </c>
    </row>
    <row r="210" spans="1:19" ht="12" customHeight="1" x14ac:dyDescent="0.25">
      <c r="A210" s="5">
        <v>206</v>
      </c>
      <c r="B210" s="6" t="s">
        <v>290</v>
      </c>
      <c r="C210" s="7">
        <v>635.79999999999995</v>
      </c>
      <c r="D210" s="8">
        <v>635.79999999999995</v>
      </c>
      <c r="E210" s="8">
        <v>0</v>
      </c>
      <c r="F210" s="8">
        <v>74.2</v>
      </c>
      <c r="G210" s="17">
        <v>48238.14</v>
      </c>
      <c r="H210" s="17">
        <v>48238.14</v>
      </c>
      <c r="I210" s="17">
        <v>48238.14</v>
      </c>
      <c r="J210" s="17">
        <v>48238.14</v>
      </c>
      <c r="K210" s="110">
        <v>192952.56</v>
      </c>
      <c r="L210" s="17">
        <v>36993.979999999996</v>
      </c>
      <c r="M210" s="17">
        <v>39418.75</v>
      </c>
      <c r="N210" s="17">
        <v>39891.22</v>
      </c>
      <c r="O210" s="17">
        <v>54780.14</v>
      </c>
      <c r="P210" s="110">
        <v>171084.09</v>
      </c>
      <c r="Q210" s="17">
        <v>97272.77</v>
      </c>
      <c r="R210" s="17">
        <v>0</v>
      </c>
      <c r="S210" s="110">
        <v>97272.77</v>
      </c>
    </row>
    <row r="211" spans="1:19" ht="12" customHeight="1" x14ac:dyDescent="0.25">
      <c r="A211" s="5">
        <v>207</v>
      </c>
      <c r="B211" s="6" t="s">
        <v>292</v>
      </c>
      <c r="C211" s="7">
        <v>2472.5</v>
      </c>
      <c r="D211" s="8">
        <v>2472.5</v>
      </c>
      <c r="E211" s="8">
        <v>0</v>
      </c>
      <c r="F211" s="8">
        <v>220.8</v>
      </c>
      <c r="G211" s="17">
        <v>187588.86000000002</v>
      </c>
      <c r="H211" s="17">
        <v>187588.86000000002</v>
      </c>
      <c r="I211" s="17">
        <v>187588.85</v>
      </c>
      <c r="J211" s="17">
        <v>187588.86000000002</v>
      </c>
      <c r="K211" s="110">
        <v>750355.43</v>
      </c>
      <c r="L211" s="17">
        <v>167753.47</v>
      </c>
      <c r="M211" s="17">
        <v>187043.13999999998</v>
      </c>
      <c r="N211" s="17">
        <v>181503.49</v>
      </c>
      <c r="O211" s="17">
        <v>195912.6</v>
      </c>
      <c r="P211" s="110">
        <v>732212.7</v>
      </c>
      <c r="Q211" s="17">
        <v>106976.44</v>
      </c>
      <c r="R211" s="17">
        <v>198.46</v>
      </c>
      <c r="S211" s="110">
        <v>106777.98</v>
      </c>
    </row>
    <row r="212" spans="1:19" ht="12" customHeight="1" x14ac:dyDescent="0.25">
      <c r="A212" s="5">
        <v>208</v>
      </c>
      <c r="B212" s="6" t="s">
        <v>293</v>
      </c>
      <c r="C212" s="7">
        <v>632.29999999999995</v>
      </c>
      <c r="D212" s="8">
        <v>632.29999999999995</v>
      </c>
      <c r="E212" s="8">
        <v>0</v>
      </c>
      <c r="F212" s="8">
        <v>41.3</v>
      </c>
      <c r="G212" s="17">
        <v>47972.61</v>
      </c>
      <c r="H212" s="17">
        <v>47972.61</v>
      </c>
      <c r="I212" s="17">
        <v>47972.61</v>
      </c>
      <c r="J212" s="17">
        <v>47972.61</v>
      </c>
      <c r="K212" s="110">
        <v>191890.44</v>
      </c>
      <c r="L212" s="17">
        <v>41507.5</v>
      </c>
      <c r="M212" s="17">
        <v>50304.020000000004</v>
      </c>
      <c r="N212" s="17">
        <v>47003.14</v>
      </c>
      <c r="O212" s="17">
        <v>49737.159999999996</v>
      </c>
      <c r="P212" s="110">
        <v>188551.82</v>
      </c>
      <c r="Q212" s="17">
        <v>29495.1</v>
      </c>
      <c r="R212" s="17">
        <v>0</v>
      </c>
      <c r="S212" s="110">
        <v>29495.1</v>
      </c>
    </row>
    <row r="213" spans="1:19" ht="12" customHeight="1" x14ac:dyDescent="0.25">
      <c r="A213" s="5">
        <v>209</v>
      </c>
      <c r="B213" s="6" t="s">
        <v>294</v>
      </c>
      <c r="C213" s="7">
        <v>651.9</v>
      </c>
      <c r="D213" s="8">
        <v>651.9</v>
      </c>
      <c r="E213" s="8">
        <v>0</v>
      </c>
      <c r="F213" s="8">
        <v>53.7</v>
      </c>
      <c r="G213" s="17">
        <v>49459.71</v>
      </c>
      <c r="H213" s="17">
        <v>49459.71</v>
      </c>
      <c r="I213" s="17">
        <v>49459.71</v>
      </c>
      <c r="J213" s="17">
        <v>49459.71</v>
      </c>
      <c r="K213" s="110">
        <v>197838.84</v>
      </c>
      <c r="L213" s="17">
        <v>39742.53</v>
      </c>
      <c r="M213" s="17">
        <v>44095.97</v>
      </c>
      <c r="N213" s="17">
        <v>42073.9</v>
      </c>
      <c r="O213" s="17">
        <v>53500.7</v>
      </c>
      <c r="P213" s="110">
        <v>179413.09999999998</v>
      </c>
      <c r="Q213" s="17">
        <v>97465.26</v>
      </c>
      <c r="R213" s="17">
        <v>0.32</v>
      </c>
      <c r="S213" s="110">
        <v>97464.939999999988</v>
      </c>
    </row>
    <row r="214" spans="1:19" ht="12" customHeight="1" x14ac:dyDescent="0.25">
      <c r="A214" s="5">
        <v>210</v>
      </c>
      <c r="B214" s="6" t="s">
        <v>295</v>
      </c>
      <c r="C214" s="7">
        <v>639.5</v>
      </c>
      <c r="D214" s="8">
        <v>639.5</v>
      </c>
      <c r="E214" s="8">
        <v>0</v>
      </c>
      <c r="F214" s="8">
        <v>53.7</v>
      </c>
      <c r="G214" s="17">
        <v>48518.879999999997</v>
      </c>
      <c r="H214" s="17">
        <v>41831.81</v>
      </c>
      <c r="I214" s="17">
        <v>48518.879999999997</v>
      </c>
      <c r="J214" s="17">
        <v>48518.879999999997</v>
      </c>
      <c r="K214" s="110">
        <v>187388.45</v>
      </c>
      <c r="L214" s="17">
        <v>41132.850000000006</v>
      </c>
      <c r="M214" s="17">
        <v>40408.79</v>
      </c>
      <c r="N214" s="17">
        <v>48326.119999999995</v>
      </c>
      <c r="O214" s="17">
        <v>51096.31</v>
      </c>
      <c r="P214" s="110">
        <v>180964.07</v>
      </c>
      <c r="Q214" s="17">
        <v>36221.94</v>
      </c>
      <c r="R214" s="17">
        <v>1107.57</v>
      </c>
      <c r="S214" s="110">
        <v>35114.370000000003</v>
      </c>
    </row>
    <row r="215" spans="1:19" ht="12" customHeight="1" x14ac:dyDescent="0.25">
      <c r="A215" s="5">
        <v>211</v>
      </c>
      <c r="B215" s="6" t="s">
        <v>296</v>
      </c>
      <c r="C215" s="7">
        <v>4849.7999999999993</v>
      </c>
      <c r="D215" s="8">
        <v>4090.5999999999995</v>
      </c>
      <c r="E215" s="8">
        <v>759.2</v>
      </c>
      <c r="F215" s="8">
        <v>370.5</v>
      </c>
      <c r="G215" s="17">
        <v>310353.81</v>
      </c>
      <c r="H215" s="17">
        <v>310353.81</v>
      </c>
      <c r="I215" s="17">
        <v>310353.81</v>
      </c>
      <c r="J215" s="17">
        <v>310353.81</v>
      </c>
      <c r="K215" s="110">
        <v>1241415.24</v>
      </c>
      <c r="L215" s="17">
        <v>261070.01</v>
      </c>
      <c r="M215" s="17">
        <v>302116.60000000003</v>
      </c>
      <c r="N215" s="17">
        <v>291302.83999999997</v>
      </c>
      <c r="O215" s="17">
        <v>347931.95999999996</v>
      </c>
      <c r="P215" s="110">
        <v>1202421.4100000001</v>
      </c>
      <c r="Q215" s="17">
        <v>169694.9</v>
      </c>
      <c r="R215" s="17">
        <v>147.22</v>
      </c>
      <c r="S215" s="110">
        <v>169547.68</v>
      </c>
    </row>
    <row r="216" spans="1:19" ht="12" customHeight="1" x14ac:dyDescent="0.25">
      <c r="A216" s="5">
        <v>212</v>
      </c>
      <c r="B216" s="6" t="s">
        <v>297</v>
      </c>
      <c r="C216" s="7">
        <v>637.70000000000005</v>
      </c>
      <c r="D216" s="8">
        <v>637.70000000000005</v>
      </c>
      <c r="E216" s="8">
        <v>0</v>
      </c>
      <c r="F216" s="8">
        <v>56</v>
      </c>
      <c r="G216" s="17">
        <v>48382.29</v>
      </c>
      <c r="H216" s="17">
        <v>48382.29</v>
      </c>
      <c r="I216" s="17">
        <v>48382.29</v>
      </c>
      <c r="J216" s="17">
        <v>48382.29</v>
      </c>
      <c r="K216" s="110">
        <v>193529.16</v>
      </c>
      <c r="L216" s="17">
        <v>39140.639999999999</v>
      </c>
      <c r="M216" s="17">
        <v>47491.42</v>
      </c>
      <c r="N216" s="17">
        <v>43661.21</v>
      </c>
      <c r="O216" s="17">
        <v>46024.78</v>
      </c>
      <c r="P216" s="110">
        <v>176318.05</v>
      </c>
      <c r="Q216" s="17">
        <v>67571.320000000007</v>
      </c>
      <c r="R216" s="17">
        <v>0</v>
      </c>
      <c r="S216" s="110">
        <v>67571.320000000007</v>
      </c>
    </row>
    <row r="217" spans="1:19" ht="12" customHeight="1" x14ac:dyDescent="0.25">
      <c r="A217" s="5">
        <v>213</v>
      </c>
      <c r="B217" s="6" t="s">
        <v>298</v>
      </c>
      <c r="C217" s="7">
        <v>655.20000000000005</v>
      </c>
      <c r="D217" s="8">
        <v>655.20000000000005</v>
      </c>
      <c r="E217" s="8">
        <v>0</v>
      </c>
      <c r="F217" s="8">
        <v>56</v>
      </c>
      <c r="G217" s="17">
        <v>49710.12</v>
      </c>
      <c r="H217" s="17">
        <v>49710.12</v>
      </c>
      <c r="I217" s="17">
        <v>49710.12</v>
      </c>
      <c r="J217" s="17">
        <v>49710.12</v>
      </c>
      <c r="K217" s="110">
        <v>198840.48</v>
      </c>
      <c r="L217" s="17">
        <v>49738.619999999995</v>
      </c>
      <c r="M217" s="17">
        <v>50224.41</v>
      </c>
      <c r="N217" s="17">
        <v>44835.94</v>
      </c>
      <c r="O217" s="17">
        <v>59657.29</v>
      </c>
      <c r="P217" s="110">
        <v>204456.26</v>
      </c>
      <c r="Q217" s="17">
        <v>13083.77</v>
      </c>
      <c r="R217" s="17">
        <v>0</v>
      </c>
      <c r="S217" s="110">
        <v>13083.77</v>
      </c>
    </row>
    <row r="218" spans="1:19" ht="12" customHeight="1" x14ac:dyDescent="0.25">
      <c r="A218" s="5">
        <v>214</v>
      </c>
      <c r="B218" s="6" t="s">
        <v>299</v>
      </c>
      <c r="C218" s="7">
        <v>228.2</v>
      </c>
      <c r="D218" s="8">
        <v>228.2</v>
      </c>
      <c r="E218" s="8">
        <v>0</v>
      </c>
      <c r="F218" s="8">
        <v>0</v>
      </c>
      <c r="G218" s="17">
        <v>10967.28</v>
      </c>
      <c r="H218" s="17">
        <v>10967.28</v>
      </c>
      <c r="I218" s="17">
        <v>10967.28</v>
      </c>
      <c r="J218" s="17">
        <v>10967.28</v>
      </c>
      <c r="K218" s="110">
        <v>43869.120000000003</v>
      </c>
      <c r="L218" s="17">
        <v>10343.040000000001</v>
      </c>
      <c r="M218" s="17">
        <v>10838.57</v>
      </c>
      <c r="N218" s="17">
        <v>11501.6</v>
      </c>
      <c r="O218" s="17">
        <v>11174.689999999999</v>
      </c>
      <c r="P218" s="110">
        <v>43857.899999999994</v>
      </c>
      <c r="Q218" s="17">
        <v>3577.27</v>
      </c>
      <c r="R218" s="17">
        <v>249.91</v>
      </c>
      <c r="S218" s="110">
        <v>3327.36</v>
      </c>
    </row>
    <row r="219" spans="1:19" ht="12" customHeight="1" x14ac:dyDescent="0.25">
      <c r="A219" s="5">
        <v>215</v>
      </c>
      <c r="B219" s="6" t="s">
        <v>300</v>
      </c>
      <c r="C219" s="7">
        <v>4601.2</v>
      </c>
      <c r="D219" s="8">
        <v>4601.2</v>
      </c>
      <c r="E219" s="8">
        <v>0</v>
      </c>
      <c r="F219" s="8">
        <v>1142.4000000000001</v>
      </c>
      <c r="G219" s="17">
        <v>507282.96</v>
      </c>
      <c r="H219" s="17">
        <v>507282.96</v>
      </c>
      <c r="I219" s="17">
        <v>507282.96</v>
      </c>
      <c r="J219" s="17">
        <v>507282.96</v>
      </c>
      <c r="K219" s="110">
        <v>2029131.84</v>
      </c>
      <c r="L219" s="17">
        <v>435007.5</v>
      </c>
      <c r="M219" s="17">
        <v>483201.66000000003</v>
      </c>
      <c r="N219" s="17">
        <v>474020.57000000007</v>
      </c>
      <c r="O219" s="17">
        <v>535286.19000000006</v>
      </c>
      <c r="P219" s="110">
        <v>1927515.92</v>
      </c>
      <c r="Q219" s="17">
        <v>524559.91</v>
      </c>
      <c r="R219" s="17">
        <v>119.16</v>
      </c>
      <c r="S219" s="110">
        <v>524440.75</v>
      </c>
    </row>
    <row r="220" spans="1:19" ht="12" customHeight="1" x14ac:dyDescent="0.25">
      <c r="A220" s="5">
        <v>216</v>
      </c>
      <c r="B220" s="6" t="s">
        <v>301</v>
      </c>
      <c r="C220" s="7">
        <v>6918.95</v>
      </c>
      <c r="D220" s="8">
        <v>6614.75</v>
      </c>
      <c r="E220" s="8">
        <v>304.2</v>
      </c>
      <c r="F220" s="8">
        <v>962.4</v>
      </c>
      <c r="G220" s="17">
        <v>725109.05999999994</v>
      </c>
      <c r="H220" s="17">
        <v>725109.05999999994</v>
      </c>
      <c r="I220" s="17">
        <v>725109.05999999994</v>
      </c>
      <c r="J220" s="17">
        <v>725109.05999999994</v>
      </c>
      <c r="K220" s="110">
        <v>2900436.2399999998</v>
      </c>
      <c r="L220" s="17">
        <v>635634.21</v>
      </c>
      <c r="M220" s="17">
        <v>714792.22</v>
      </c>
      <c r="N220" s="17">
        <v>703324.46</v>
      </c>
      <c r="O220" s="17">
        <v>794451.27</v>
      </c>
      <c r="P220" s="110">
        <v>2848202.16</v>
      </c>
      <c r="Q220" s="17">
        <v>301488.05</v>
      </c>
      <c r="R220" s="17">
        <v>0</v>
      </c>
      <c r="S220" s="110">
        <v>301488.05</v>
      </c>
    </row>
    <row r="221" spans="1:19" ht="12" customHeight="1" x14ac:dyDescent="0.25">
      <c r="A221" s="5">
        <v>217</v>
      </c>
      <c r="B221" s="6" t="s">
        <v>302</v>
      </c>
      <c r="C221" s="7">
        <v>17410.200000000004</v>
      </c>
      <c r="D221" s="8">
        <v>16699.800000000003</v>
      </c>
      <c r="E221" s="8">
        <v>710.4</v>
      </c>
      <c r="F221" s="8">
        <v>4474.6000000000004</v>
      </c>
      <c r="G221" s="17">
        <v>1830697.6500000001</v>
      </c>
      <c r="H221" s="17">
        <v>1830697.6400000001</v>
      </c>
      <c r="I221" s="17">
        <v>1830646.04</v>
      </c>
      <c r="J221" s="17">
        <v>1835760.69</v>
      </c>
      <c r="K221" s="110">
        <v>7327802.0199999996</v>
      </c>
      <c r="L221" s="17">
        <v>1552554.8900000001</v>
      </c>
      <c r="M221" s="17">
        <v>1803831.02</v>
      </c>
      <c r="N221" s="17">
        <v>1825760.02</v>
      </c>
      <c r="O221" s="17">
        <v>2102272.44</v>
      </c>
      <c r="P221" s="110">
        <v>7284418.3699999992</v>
      </c>
      <c r="Q221" s="17">
        <v>825836.85</v>
      </c>
      <c r="R221" s="17">
        <v>17290.830000000002</v>
      </c>
      <c r="S221" s="110">
        <v>808546.02</v>
      </c>
    </row>
    <row r="222" spans="1:19" ht="12" customHeight="1" x14ac:dyDescent="0.25">
      <c r="A222" s="5">
        <v>218</v>
      </c>
      <c r="B222" s="6" t="s">
        <v>303</v>
      </c>
      <c r="C222" s="7">
        <v>8733.14</v>
      </c>
      <c r="D222" s="8">
        <v>8733.14</v>
      </c>
      <c r="E222" s="8">
        <v>0</v>
      </c>
      <c r="F222" s="8">
        <v>2063.9</v>
      </c>
      <c r="G222" s="17">
        <v>962830.44</v>
      </c>
      <c r="H222" s="17">
        <v>962830.42999999993</v>
      </c>
      <c r="I222" s="17">
        <v>962830.44</v>
      </c>
      <c r="J222" s="17">
        <v>962830.44</v>
      </c>
      <c r="K222" s="110">
        <v>3851321.7499999995</v>
      </c>
      <c r="L222" s="17">
        <v>916079.27</v>
      </c>
      <c r="M222" s="17">
        <v>945561.72000000009</v>
      </c>
      <c r="N222" s="17">
        <v>943076.45</v>
      </c>
      <c r="O222" s="17">
        <v>1048488.06</v>
      </c>
      <c r="P222" s="110">
        <v>3853205.5000000005</v>
      </c>
      <c r="Q222" s="17">
        <v>617775.98</v>
      </c>
      <c r="R222" s="17">
        <v>1684.65</v>
      </c>
      <c r="S222" s="110">
        <v>616091.32999999996</v>
      </c>
    </row>
    <row r="223" spans="1:19" ht="12" customHeight="1" x14ac:dyDescent="0.25">
      <c r="A223" s="5">
        <v>219</v>
      </c>
      <c r="B223" s="6" t="s">
        <v>304</v>
      </c>
      <c r="C223" s="7">
        <v>9293.3900000000012</v>
      </c>
      <c r="D223" s="8">
        <v>8850.19</v>
      </c>
      <c r="E223" s="8">
        <v>443.2</v>
      </c>
      <c r="F223" s="8">
        <v>1859</v>
      </c>
      <c r="G223" s="17">
        <v>834482.80999999994</v>
      </c>
      <c r="H223" s="17">
        <v>883446.86</v>
      </c>
      <c r="I223" s="17">
        <v>970157.97</v>
      </c>
      <c r="J223" s="17">
        <v>970157.96</v>
      </c>
      <c r="K223" s="110">
        <v>3658245.5999999996</v>
      </c>
      <c r="L223" s="17">
        <v>836456.36</v>
      </c>
      <c r="M223" s="17">
        <v>2075750.42</v>
      </c>
      <c r="N223" s="17">
        <v>-19274.550000000003</v>
      </c>
      <c r="O223" s="17">
        <v>751066.34</v>
      </c>
      <c r="P223" s="110">
        <v>3643998.57</v>
      </c>
      <c r="Q223" s="17">
        <v>625789.51</v>
      </c>
      <c r="R223" s="17">
        <v>3141.38</v>
      </c>
      <c r="S223" s="110">
        <v>622648.13</v>
      </c>
    </row>
    <row r="224" spans="1:19" ht="12" customHeight="1" x14ac:dyDescent="0.25">
      <c r="A224" s="5">
        <v>220</v>
      </c>
      <c r="B224" s="6" t="s">
        <v>305</v>
      </c>
      <c r="C224" s="7">
        <v>3385.67</v>
      </c>
      <c r="D224" s="8">
        <v>3385.67</v>
      </c>
      <c r="E224" s="8">
        <v>0</v>
      </c>
      <c r="F224" s="8">
        <v>310.8</v>
      </c>
      <c r="G224" s="17">
        <v>256871.01</v>
      </c>
      <c r="H224" s="17">
        <v>256871.01</v>
      </c>
      <c r="I224" s="17">
        <v>256871.01</v>
      </c>
      <c r="J224" s="17">
        <v>256871.01</v>
      </c>
      <c r="K224" s="110">
        <v>1027484.04</v>
      </c>
      <c r="L224" s="17">
        <v>222560.03000000003</v>
      </c>
      <c r="M224" s="17">
        <v>232458.49</v>
      </c>
      <c r="N224" s="17">
        <v>250553.74</v>
      </c>
      <c r="O224" s="17">
        <v>280971.58999999997</v>
      </c>
      <c r="P224" s="110">
        <v>986543.85</v>
      </c>
      <c r="Q224" s="17">
        <v>250063.38</v>
      </c>
      <c r="R224" s="17">
        <v>1775.54</v>
      </c>
      <c r="S224" s="110">
        <v>248287.84</v>
      </c>
    </row>
    <row r="225" spans="1:19" ht="12" customHeight="1" x14ac:dyDescent="0.25">
      <c r="A225" s="5">
        <v>221</v>
      </c>
      <c r="B225" s="6" t="s">
        <v>306</v>
      </c>
      <c r="C225" s="7">
        <v>5287.1</v>
      </c>
      <c r="D225" s="8">
        <v>5287.1</v>
      </c>
      <c r="E225" s="8">
        <v>0</v>
      </c>
      <c r="F225" s="8">
        <v>1016.1</v>
      </c>
      <c r="G225" s="17">
        <v>579571.86</v>
      </c>
      <c r="H225" s="17">
        <v>579571.86</v>
      </c>
      <c r="I225" s="17">
        <v>579571.86</v>
      </c>
      <c r="J225" s="17">
        <v>579341.64</v>
      </c>
      <c r="K225" s="110">
        <v>2318057.2200000002</v>
      </c>
      <c r="L225" s="17">
        <v>503976.70999999996</v>
      </c>
      <c r="M225" s="17">
        <v>580692.01</v>
      </c>
      <c r="N225" s="17">
        <v>580825.59999999998</v>
      </c>
      <c r="O225" s="17">
        <v>619709.43999999994</v>
      </c>
      <c r="P225" s="110">
        <v>2285203.7599999998</v>
      </c>
      <c r="Q225" s="17">
        <v>291467.64</v>
      </c>
      <c r="R225" s="17">
        <v>0.01</v>
      </c>
      <c r="S225" s="110">
        <v>291467.63</v>
      </c>
    </row>
    <row r="226" spans="1:19" s="24" customFormat="1" ht="12" customHeight="1" x14ac:dyDescent="0.25">
      <c r="A226" s="5">
        <v>222</v>
      </c>
      <c r="B226" s="6" t="s">
        <v>307</v>
      </c>
      <c r="C226" s="7">
        <v>5321.2</v>
      </c>
      <c r="D226" s="8">
        <v>5321.2</v>
      </c>
      <c r="E226" s="8">
        <v>0</v>
      </c>
      <c r="F226" s="8">
        <v>1014.6</v>
      </c>
      <c r="G226" s="17">
        <v>583309.98</v>
      </c>
      <c r="H226" s="17">
        <v>583309.98</v>
      </c>
      <c r="I226" s="17">
        <v>583309.98</v>
      </c>
      <c r="J226" s="17">
        <v>583309.98</v>
      </c>
      <c r="K226" s="110">
        <v>2333239.92</v>
      </c>
      <c r="L226" s="17">
        <v>514332.61</v>
      </c>
      <c r="M226" s="17">
        <v>535359.94999999995</v>
      </c>
      <c r="N226" s="17">
        <v>550428.85</v>
      </c>
      <c r="O226" s="17">
        <v>671666.26</v>
      </c>
      <c r="P226" s="110">
        <v>2271787.67</v>
      </c>
      <c r="Q226" s="17">
        <v>392374.98</v>
      </c>
      <c r="R226" s="17">
        <v>1311.5</v>
      </c>
      <c r="S226" s="110">
        <v>391063.48</v>
      </c>
    </row>
    <row r="227" spans="1:19" s="24" customFormat="1" ht="12" customHeight="1" x14ac:dyDescent="0.25">
      <c r="A227" s="5">
        <v>223</v>
      </c>
      <c r="B227" s="6" t="s">
        <v>308</v>
      </c>
      <c r="C227" s="7">
        <v>3691.5</v>
      </c>
      <c r="D227" s="8">
        <v>3691.5</v>
      </c>
      <c r="E227" s="8">
        <v>0</v>
      </c>
      <c r="F227" s="8">
        <v>1017.5</v>
      </c>
      <c r="G227" s="17">
        <v>437664.24</v>
      </c>
      <c r="H227" s="17">
        <v>437664.24</v>
      </c>
      <c r="I227" s="17">
        <v>455161.94999999995</v>
      </c>
      <c r="J227" s="17">
        <v>455161.94999999995</v>
      </c>
      <c r="K227" s="110">
        <v>1785652.38</v>
      </c>
      <c r="L227" s="17">
        <v>389160.23</v>
      </c>
      <c r="M227" s="17">
        <v>415881.24</v>
      </c>
      <c r="N227" s="17">
        <v>474357.24</v>
      </c>
      <c r="O227" s="17">
        <v>494216.05000000005</v>
      </c>
      <c r="P227" s="110">
        <v>1773614.76</v>
      </c>
      <c r="Q227" s="17">
        <v>300068.94</v>
      </c>
      <c r="R227" s="17">
        <v>0</v>
      </c>
      <c r="S227" s="110">
        <v>300068.94</v>
      </c>
    </row>
    <row r="228" spans="1:19" s="24" customFormat="1" ht="12" customHeight="1" x14ac:dyDescent="0.25">
      <c r="A228" s="5">
        <v>224</v>
      </c>
      <c r="B228" s="6" t="s">
        <v>309</v>
      </c>
      <c r="C228" s="7">
        <v>2068.33</v>
      </c>
      <c r="D228" s="8">
        <v>2068.33</v>
      </c>
      <c r="E228" s="8">
        <v>0</v>
      </c>
      <c r="F228" s="8">
        <v>257.7</v>
      </c>
      <c r="G228" s="17">
        <v>121866.09</v>
      </c>
      <c r="H228" s="17">
        <v>121866.09</v>
      </c>
      <c r="I228" s="17">
        <v>121866.09</v>
      </c>
      <c r="J228" s="17">
        <v>121866.09</v>
      </c>
      <c r="K228" s="110">
        <v>487464.36</v>
      </c>
      <c r="L228" s="17">
        <v>98003.85</v>
      </c>
      <c r="M228" s="17">
        <v>107024.45000000001</v>
      </c>
      <c r="N228" s="17">
        <v>116233.56000000001</v>
      </c>
      <c r="O228" s="17">
        <v>132464.59</v>
      </c>
      <c r="P228" s="110">
        <v>453726.45000000007</v>
      </c>
      <c r="Q228" s="17">
        <v>130153.68</v>
      </c>
      <c r="R228" s="17">
        <v>10024.959999999999</v>
      </c>
      <c r="S228" s="110">
        <v>120128.72</v>
      </c>
    </row>
    <row r="229" spans="1:19" s="24" customFormat="1" ht="12" customHeight="1" x14ac:dyDescent="0.25">
      <c r="A229" s="5">
        <v>225</v>
      </c>
      <c r="B229" s="6" t="s">
        <v>314</v>
      </c>
      <c r="C229" s="7">
        <v>3374.69</v>
      </c>
      <c r="D229" s="8">
        <v>3374.69</v>
      </c>
      <c r="E229" s="8">
        <v>0</v>
      </c>
      <c r="F229" s="8">
        <v>301.2</v>
      </c>
      <c r="G229" s="17">
        <v>198836.76</v>
      </c>
      <c r="H229" s="17">
        <v>198836.76</v>
      </c>
      <c r="I229" s="17">
        <v>198836.76</v>
      </c>
      <c r="J229" s="17">
        <v>198622.3</v>
      </c>
      <c r="K229" s="110">
        <v>795132.58000000007</v>
      </c>
      <c r="L229" s="17">
        <v>179318.88</v>
      </c>
      <c r="M229" s="17">
        <v>183507.8</v>
      </c>
      <c r="N229" s="17">
        <v>186502.61000000002</v>
      </c>
      <c r="O229" s="17">
        <v>211248.96000000002</v>
      </c>
      <c r="P229" s="110">
        <v>760578.25</v>
      </c>
      <c r="Q229" s="17">
        <v>167798.67</v>
      </c>
      <c r="R229" s="17">
        <v>0</v>
      </c>
      <c r="S229" s="110">
        <v>167798.67</v>
      </c>
    </row>
    <row r="230" spans="1:19" s="24" customFormat="1" ht="12" customHeight="1" x14ac:dyDescent="0.25">
      <c r="A230" s="5">
        <v>226</v>
      </c>
      <c r="B230" s="6" t="s">
        <v>315</v>
      </c>
      <c r="C230" s="7">
        <v>3804.8699999999994</v>
      </c>
      <c r="D230" s="8">
        <v>3747.7699999999995</v>
      </c>
      <c r="E230" s="8">
        <v>57.1</v>
      </c>
      <c r="F230" s="8">
        <v>483.3</v>
      </c>
      <c r="G230" s="17">
        <v>360573.12</v>
      </c>
      <c r="H230" s="17">
        <v>360573.12</v>
      </c>
      <c r="I230" s="17">
        <v>360573.12</v>
      </c>
      <c r="J230" s="17">
        <v>360573.12</v>
      </c>
      <c r="K230" s="110">
        <v>1442292.48</v>
      </c>
      <c r="L230" s="17">
        <v>313105.27</v>
      </c>
      <c r="M230" s="17">
        <v>354416.21</v>
      </c>
      <c r="N230" s="17">
        <v>361398.59</v>
      </c>
      <c r="O230" s="17">
        <v>411986.53</v>
      </c>
      <c r="P230" s="110">
        <v>1440906.6</v>
      </c>
      <c r="Q230" s="17">
        <v>146593.42000000001</v>
      </c>
      <c r="R230" s="17">
        <v>10373.98</v>
      </c>
      <c r="S230" s="110">
        <v>136219.44</v>
      </c>
    </row>
    <row r="231" spans="1:19" s="24" customFormat="1" ht="12" customHeight="1" x14ac:dyDescent="0.25">
      <c r="A231" s="5">
        <v>227</v>
      </c>
      <c r="B231" s="6" t="s">
        <v>317</v>
      </c>
      <c r="C231" s="7">
        <v>856.1</v>
      </c>
      <c r="D231" s="8">
        <v>770.6</v>
      </c>
      <c r="E231" s="8">
        <v>85.5</v>
      </c>
      <c r="F231" s="8">
        <v>166.1</v>
      </c>
      <c r="G231" s="17">
        <v>44779.62</v>
      </c>
      <c r="H231" s="17">
        <v>44779.62</v>
      </c>
      <c r="I231" s="17">
        <v>44779.62</v>
      </c>
      <c r="J231" s="17">
        <v>44779.62</v>
      </c>
      <c r="K231" s="110">
        <v>179118.48</v>
      </c>
      <c r="L231" s="17">
        <v>29237.33</v>
      </c>
      <c r="M231" s="17">
        <v>32607.07</v>
      </c>
      <c r="N231" s="17">
        <v>46326.21</v>
      </c>
      <c r="O231" s="17">
        <v>40255.17</v>
      </c>
      <c r="P231" s="110">
        <v>148425.78</v>
      </c>
      <c r="Q231" s="17">
        <v>113727.41</v>
      </c>
      <c r="R231" s="17">
        <v>924.91</v>
      </c>
      <c r="S231" s="110">
        <v>112802.5</v>
      </c>
    </row>
    <row r="232" spans="1:19" s="24" customFormat="1" ht="12" customHeight="1" x14ac:dyDescent="0.25">
      <c r="A232" s="5">
        <v>228</v>
      </c>
      <c r="B232" s="6" t="s">
        <v>318</v>
      </c>
      <c r="C232" s="7">
        <v>769.27</v>
      </c>
      <c r="D232" s="8">
        <v>769.27</v>
      </c>
      <c r="E232" s="8">
        <v>0</v>
      </c>
      <c r="F232" s="8">
        <v>126.6</v>
      </c>
      <c r="G232" s="17">
        <v>44702.28</v>
      </c>
      <c r="H232" s="17">
        <v>44702.28</v>
      </c>
      <c r="I232" s="17">
        <v>44702.29</v>
      </c>
      <c r="J232" s="17">
        <v>44702.28</v>
      </c>
      <c r="K232" s="110">
        <v>178809.13</v>
      </c>
      <c r="L232" s="17">
        <v>31009.440000000002</v>
      </c>
      <c r="M232" s="17">
        <v>30489.64</v>
      </c>
      <c r="N232" s="17">
        <v>37253.29</v>
      </c>
      <c r="O232" s="17">
        <v>30135.81</v>
      </c>
      <c r="P232" s="110">
        <v>128888.18</v>
      </c>
      <c r="Q232" s="17">
        <v>112316.19</v>
      </c>
      <c r="R232" s="17">
        <v>10960.02</v>
      </c>
      <c r="S232" s="110">
        <v>101356.17</v>
      </c>
    </row>
    <row r="233" spans="1:19" s="24" customFormat="1" ht="12" customHeight="1" x14ac:dyDescent="0.25">
      <c r="A233" s="5">
        <v>229</v>
      </c>
      <c r="B233" s="6" t="s">
        <v>319</v>
      </c>
      <c r="C233" s="7">
        <v>894.63</v>
      </c>
      <c r="D233" s="8">
        <v>894.63</v>
      </c>
      <c r="E233" s="8">
        <v>0</v>
      </c>
      <c r="F233" s="8">
        <v>129.9</v>
      </c>
      <c r="G233" s="17">
        <v>51986.94</v>
      </c>
      <c r="H233" s="17">
        <v>51986.94</v>
      </c>
      <c r="I233" s="17">
        <v>51986.94</v>
      </c>
      <c r="J233" s="17">
        <v>51986.94</v>
      </c>
      <c r="K233" s="110">
        <v>207947.76</v>
      </c>
      <c r="L233" s="17">
        <v>36981.520000000004</v>
      </c>
      <c r="M233" s="17">
        <v>39840.189999999995</v>
      </c>
      <c r="N233" s="17">
        <v>37650.11</v>
      </c>
      <c r="O233" s="17">
        <v>43594.85</v>
      </c>
      <c r="P233" s="110">
        <v>158066.66999999998</v>
      </c>
      <c r="Q233" s="17">
        <v>134982.76</v>
      </c>
      <c r="R233" s="17">
        <v>0</v>
      </c>
      <c r="S233" s="110">
        <v>134982.76</v>
      </c>
    </row>
    <row r="234" spans="1:19" s="24" customFormat="1" ht="12" customHeight="1" x14ac:dyDescent="0.25">
      <c r="A234" s="5">
        <v>230</v>
      </c>
      <c r="B234" s="6" t="s">
        <v>320</v>
      </c>
      <c r="C234" s="7">
        <v>5793.4</v>
      </c>
      <c r="D234" s="8">
        <v>5727.7</v>
      </c>
      <c r="E234" s="8">
        <v>65.7</v>
      </c>
      <c r="F234" s="8">
        <v>1583.5</v>
      </c>
      <c r="G234" s="17">
        <v>551061.96</v>
      </c>
      <c r="H234" s="17">
        <v>551061.96</v>
      </c>
      <c r="I234" s="17">
        <v>551061.96</v>
      </c>
      <c r="J234" s="17">
        <v>551061.96</v>
      </c>
      <c r="K234" s="110">
        <v>2204247.84</v>
      </c>
      <c r="L234" s="17">
        <v>503934.97</v>
      </c>
      <c r="M234" s="17">
        <v>515365.33999999997</v>
      </c>
      <c r="N234" s="17">
        <v>492639.91000000003</v>
      </c>
      <c r="O234" s="17">
        <v>580772.09</v>
      </c>
      <c r="P234" s="110">
        <v>2092712.31</v>
      </c>
      <c r="Q234" s="17">
        <v>602111.76</v>
      </c>
      <c r="R234" s="17">
        <v>3282.68</v>
      </c>
      <c r="S234" s="110">
        <v>598829.07999999996</v>
      </c>
    </row>
    <row r="235" spans="1:19" s="24" customFormat="1" ht="12" customHeight="1" x14ac:dyDescent="0.25">
      <c r="A235" s="5">
        <v>231</v>
      </c>
      <c r="B235" s="6" t="s">
        <v>322</v>
      </c>
      <c r="C235" s="7">
        <v>2479.9</v>
      </c>
      <c r="D235" s="8">
        <v>2479.9</v>
      </c>
      <c r="E235" s="8">
        <v>0</v>
      </c>
      <c r="F235" s="8">
        <v>255</v>
      </c>
      <c r="G235" s="17">
        <v>174461.37</v>
      </c>
      <c r="H235" s="17">
        <v>174461.37</v>
      </c>
      <c r="I235" s="17">
        <v>174461.37</v>
      </c>
      <c r="J235" s="17">
        <v>174461.37</v>
      </c>
      <c r="K235" s="110">
        <v>697845.48</v>
      </c>
      <c r="L235" s="17">
        <v>184247.76</v>
      </c>
      <c r="M235" s="17">
        <v>161505.49</v>
      </c>
      <c r="N235" s="17">
        <v>171925.21</v>
      </c>
      <c r="O235" s="17">
        <v>184150.08000000002</v>
      </c>
      <c r="P235" s="110">
        <v>701828.54</v>
      </c>
      <c r="Q235" s="17">
        <v>129313.60000000001</v>
      </c>
      <c r="R235" s="17">
        <v>1209.94</v>
      </c>
      <c r="S235" s="110">
        <v>128103.66</v>
      </c>
    </row>
    <row r="236" spans="1:19" s="24" customFormat="1" ht="12" customHeight="1" x14ac:dyDescent="0.25">
      <c r="A236" s="5">
        <v>232</v>
      </c>
      <c r="B236" s="6" t="s">
        <v>323</v>
      </c>
      <c r="C236" s="7">
        <v>2720.4</v>
      </c>
      <c r="D236" s="8">
        <v>2529.6</v>
      </c>
      <c r="E236" s="8">
        <v>190.8</v>
      </c>
      <c r="F236" s="8">
        <v>221.4</v>
      </c>
      <c r="G236" s="17">
        <v>177957.75</v>
      </c>
      <c r="H236" s="17">
        <v>177957.75</v>
      </c>
      <c r="I236" s="17">
        <v>177957.75</v>
      </c>
      <c r="J236" s="17">
        <v>177957.75</v>
      </c>
      <c r="K236" s="110">
        <v>711831</v>
      </c>
      <c r="L236" s="17">
        <v>160255.28999999998</v>
      </c>
      <c r="M236" s="17">
        <v>164265.70000000001</v>
      </c>
      <c r="N236" s="17">
        <v>160612.55000000002</v>
      </c>
      <c r="O236" s="17">
        <v>191622.55</v>
      </c>
      <c r="P236" s="110">
        <v>676756.09000000008</v>
      </c>
      <c r="Q236" s="17">
        <v>129874.28</v>
      </c>
      <c r="R236" s="17">
        <v>0.1</v>
      </c>
      <c r="S236" s="110">
        <v>129874.18</v>
      </c>
    </row>
    <row r="237" spans="1:19" s="24" customFormat="1" ht="12" customHeight="1" x14ac:dyDescent="0.25">
      <c r="A237" s="5">
        <v>233</v>
      </c>
      <c r="B237" s="6" t="s">
        <v>324</v>
      </c>
      <c r="C237" s="7">
        <v>2976.2999999999997</v>
      </c>
      <c r="D237" s="8">
        <v>2941.7</v>
      </c>
      <c r="E237" s="8">
        <v>34.6</v>
      </c>
      <c r="F237" s="8">
        <v>715</v>
      </c>
      <c r="G237" s="17">
        <v>283021.11</v>
      </c>
      <c r="H237" s="17">
        <v>283021.11</v>
      </c>
      <c r="I237" s="17">
        <v>283021.11</v>
      </c>
      <c r="J237" s="17">
        <v>283021.11</v>
      </c>
      <c r="K237" s="110">
        <v>1132084.44</v>
      </c>
      <c r="L237" s="17">
        <v>257307.98</v>
      </c>
      <c r="M237" s="17">
        <v>247818.79</v>
      </c>
      <c r="N237" s="17">
        <v>250712.33000000002</v>
      </c>
      <c r="O237" s="17">
        <v>322094.64</v>
      </c>
      <c r="P237" s="110">
        <v>1077933.7400000002</v>
      </c>
      <c r="Q237" s="17">
        <v>186248.6</v>
      </c>
      <c r="R237" s="17">
        <v>13033.17</v>
      </c>
      <c r="S237" s="110">
        <v>173215.43</v>
      </c>
    </row>
    <row r="238" spans="1:19" s="24" customFormat="1" ht="12" customHeight="1" x14ac:dyDescent="0.25">
      <c r="A238" s="5">
        <v>234</v>
      </c>
      <c r="B238" s="6" t="s">
        <v>325</v>
      </c>
      <c r="C238" s="7">
        <v>3103.2</v>
      </c>
      <c r="D238" s="8">
        <v>3103.2</v>
      </c>
      <c r="E238" s="8">
        <v>0</v>
      </c>
      <c r="F238" s="8">
        <v>314</v>
      </c>
      <c r="G238" s="17">
        <v>218310.51</v>
      </c>
      <c r="H238" s="17">
        <v>218310.51</v>
      </c>
      <c r="I238" s="17">
        <v>218310.51</v>
      </c>
      <c r="J238" s="17">
        <v>218310.51</v>
      </c>
      <c r="K238" s="110">
        <v>873242.04</v>
      </c>
      <c r="L238" s="17">
        <v>187169.16</v>
      </c>
      <c r="M238" s="17">
        <v>223870.79</v>
      </c>
      <c r="N238" s="17">
        <v>215532.71</v>
      </c>
      <c r="O238" s="17">
        <v>242822.71</v>
      </c>
      <c r="P238" s="110">
        <v>869395.37</v>
      </c>
      <c r="Q238" s="17">
        <v>91015.63</v>
      </c>
      <c r="R238" s="17">
        <v>1186.57</v>
      </c>
      <c r="S238" s="110">
        <v>89829.06</v>
      </c>
    </row>
    <row r="239" spans="1:19" s="24" customFormat="1" ht="12" customHeight="1" x14ac:dyDescent="0.25">
      <c r="A239" s="5">
        <v>235</v>
      </c>
      <c r="B239" s="6" t="s">
        <v>326</v>
      </c>
      <c r="C239" s="7">
        <v>358.6</v>
      </c>
      <c r="D239" s="8">
        <v>358.6</v>
      </c>
      <c r="E239" s="8">
        <v>0</v>
      </c>
      <c r="F239" s="8">
        <v>0</v>
      </c>
      <c r="G239" s="17">
        <v>24185.37</v>
      </c>
      <c r="H239" s="17">
        <v>24185.360000000001</v>
      </c>
      <c r="I239" s="17">
        <v>21054.17</v>
      </c>
      <c r="J239" s="17">
        <v>20838.239999999998</v>
      </c>
      <c r="K239" s="110">
        <v>90263.139999999985</v>
      </c>
      <c r="L239" s="17">
        <v>22810.940000000002</v>
      </c>
      <c r="M239" s="17">
        <v>12991.579999999998</v>
      </c>
      <c r="N239" s="17">
        <v>12174.9</v>
      </c>
      <c r="O239" s="17">
        <v>7292.75</v>
      </c>
      <c r="P239" s="110">
        <v>55270.170000000006</v>
      </c>
      <c r="Q239" s="17">
        <v>92718.19</v>
      </c>
      <c r="R239" s="17">
        <v>6240.29</v>
      </c>
      <c r="S239" s="110">
        <v>86477.900000000009</v>
      </c>
    </row>
    <row r="240" spans="1:19" s="24" customFormat="1" ht="12" customHeight="1" x14ac:dyDescent="0.25">
      <c r="A240" s="5">
        <v>236</v>
      </c>
      <c r="B240" s="6" t="s">
        <v>327</v>
      </c>
      <c r="C240" s="7">
        <v>499.5</v>
      </c>
      <c r="D240" s="8">
        <v>499.5</v>
      </c>
      <c r="E240" s="8">
        <v>0</v>
      </c>
      <c r="F240" s="8">
        <v>60</v>
      </c>
      <c r="G240" s="17">
        <v>21694.5</v>
      </c>
      <c r="H240" s="17">
        <v>21694.5</v>
      </c>
      <c r="I240" s="17">
        <v>23378.370000000003</v>
      </c>
      <c r="J240" s="17">
        <v>22477.5</v>
      </c>
      <c r="K240" s="110">
        <v>89244.87</v>
      </c>
      <c r="L240" s="17">
        <v>20384.759999999998</v>
      </c>
      <c r="M240" s="17">
        <v>22726</v>
      </c>
      <c r="N240" s="17">
        <v>23082.690000000002</v>
      </c>
      <c r="O240" s="17">
        <v>21239.599999999999</v>
      </c>
      <c r="P240" s="110">
        <v>87433.049999999988</v>
      </c>
      <c r="Q240" s="17">
        <v>8750.61</v>
      </c>
      <c r="R240" s="17">
        <v>0</v>
      </c>
      <c r="S240" s="110">
        <v>8750.61</v>
      </c>
    </row>
    <row r="241" spans="1:19" s="24" customFormat="1" ht="12" customHeight="1" x14ac:dyDescent="0.25">
      <c r="A241" s="5">
        <v>237</v>
      </c>
      <c r="B241" s="6" t="s">
        <v>328</v>
      </c>
      <c r="C241" s="7">
        <v>265.5</v>
      </c>
      <c r="D241" s="8">
        <v>265.5</v>
      </c>
      <c r="E241" s="8">
        <v>0</v>
      </c>
      <c r="F241" s="8">
        <v>39.299999999999997</v>
      </c>
      <c r="G241" s="17">
        <v>15882.27</v>
      </c>
      <c r="H241" s="17">
        <v>15882.27</v>
      </c>
      <c r="I241" s="17">
        <v>15882.27</v>
      </c>
      <c r="J241" s="17">
        <v>15882.27</v>
      </c>
      <c r="K241" s="110">
        <v>63529.08</v>
      </c>
      <c r="L241" s="17">
        <v>14312.109999999999</v>
      </c>
      <c r="M241" s="17">
        <v>15443.9</v>
      </c>
      <c r="N241" s="17">
        <v>16605.39</v>
      </c>
      <c r="O241" s="17">
        <v>18805.939999999999</v>
      </c>
      <c r="P241" s="110">
        <v>65167.34</v>
      </c>
      <c r="Q241" s="17">
        <v>63886.29</v>
      </c>
      <c r="R241" s="17">
        <v>590.42999999999995</v>
      </c>
      <c r="S241" s="110">
        <v>63295.86</v>
      </c>
    </row>
    <row r="242" spans="1:19" s="24" customFormat="1" ht="12" customHeight="1" x14ac:dyDescent="0.25">
      <c r="A242" s="5">
        <v>238</v>
      </c>
      <c r="B242" s="6" t="s">
        <v>329</v>
      </c>
      <c r="C242" s="7">
        <v>175.5</v>
      </c>
      <c r="D242" s="8">
        <v>175.5</v>
      </c>
      <c r="E242" s="8">
        <v>0</v>
      </c>
      <c r="F242" s="8">
        <v>39.799999999999997</v>
      </c>
      <c r="G242" s="17">
        <v>10498.380000000001</v>
      </c>
      <c r="H242" s="17">
        <v>10498.380000000001</v>
      </c>
      <c r="I242" s="17">
        <v>10498.380000000001</v>
      </c>
      <c r="J242" s="17">
        <v>10498.380000000001</v>
      </c>
      <c r="K242" s="110">
        <v>41993.520000000004</v>
      </c>
      <c r="L242" s="17">
        <v>13204.2</v>
      </c>
      <c r="M242" s="17">
        <v>7272.34</v>
      </c>
      <c r="N242" s="17">
        <v>3693.98</v>
      </c>
      <c r="O242" s="17">
        <v>4997.6000000000004</v>
      </c>
      <c r="P242" s="110">
        <v>29168.120000000003</v>
      </c>
      <c r="Q242" s="17">
        <v>52351.26</v>
      </c>
      <c r="R242" s="17">
        <v>24.28</v>
      </c>
      <c r="S242" s="110">
        <v>52326.98</v>
      </c>
    </row>
    <row r="243" spans="1:19" s="24" customFormat="1" ht="12" customHeight="1" x14ac:dyDescent="0.25">
      <c r="A243" s="144">
        <v>239</v>
      </c>
      <c r="B243" s="26" t="s">
        <v>330</v>
      </c>
      <c r="C243" s="28">
        <v>144</v>
      </c>
      <c r="D243" s="27">
        <v>144</v>
      </c>
      <c r="E243" s="27">
        <v>0</v>
      </c>
      <c r="F243" s="27">
        <v>0</v>
      </c>
      <c r="G243" s="17">
        <v>12188.01</v>
      </c>
      <c r="H243" s="17">
        <v>12188.01</v>
      </c>
      <c r="I243" s="17">
        <v>-12319.07</v>
      </c>
      <c r="J243" s="17">
        <v>0</v>
      </c>
      <c r="K243" s="110">
        <v>12056.95</v>
      </c>
      <c r="L243" s="17">
        <v>4990.18</v>
      </c>
      <c r="M243" s="17">
        <v>4990.18</v>
      </c>
      <c r="N243" s="17">
        <v>1272.29</v>
      </c>
      <c r="O243" s="17">
        <v>0</v>
      </c>
      <c r="P243" s="110">
        <v>11252.650000000001</v>
      </c>
      <c r="Q243" s="17">
        <v>26423.040000000001</v>
      </c>
      <c r="R243" s="17">
        <v>2615.4699999999998</v>
      </c>
      <c r="S243" s="110">
        <v>23807.57</v>
      </c>
    </row>
    <row r="244" spans="1:19" s="24" customFormat="1" ht="12" customHeight="1" x14ac:dyDescent="0.25">
      <c r="A244" s="201" t="s">
        <v>333</v>
      </c>
      <c r="B244" s="201"/>
      <c r="C244" s="7">
        <v>1045124.2969767074</v>
      </c>
      <c r="D244" s="7">
        <v>1006962.7869767066</v>
      </c>
      <c r="E244" s="7">
        <v>38161.509999999987</v>
      </c>
      <c r="F244" s="7">
        <v>168858.98</v>
      </c>
      <c r="G244" s="7">
        <v>105451137.64000005</v>
      </c>
      <c r="H244" s="7">
        <v>105304116.45</v>
      </c>
      <c r="I244" s="7">
        <v>108349140.84000003</v>
      </c>
      <c r="J244" s="7">
        <v>108333727.53000003</v>
      </c>
      <c r="K244" s="7">
        <v>427438122.45999998</v>
      </c>
      <c r="L244" s="7">
        <v>94086780.189999968</v>
      </c>
      <c r="M244" s="7">
        <v>104279908.54000002</v>
      </c>
      <c r="N244" s="7">
        <v>103131048.87999994</v>
      </c>
      <c r="O244" s="7">
        <v>119063511.12999995</v>
      </c>
      <c r="P244" s="7">
        <v>420561248.74000013</v>
      </c>
      <c r="Q244" s="7">
        <v>103884347.25</v>
      </c>
      <c r="R244" s="7">
        <v>1203821.7099999995</v>
      </c>
      <c r="S244" s="7">
        <v>102680525.53999999</v>
      </c>
    </row>
  </sheetData>
  <autoFilter ref="A4:K4"/>
  <mergeCells count="13">
    <mergeCell ref="L1:O3"/>
    <mergeCell ref="P1:P4"/>
    <mergeCell ref="Q1:S3"/>
    <mergeCell ref="K1:K4"/>
    <mergeCell ref="D2:D4"/>
    <mergeCell ref="E2:E4"/>
    <mergeCell ref="F1:F4"/>
    <mergeCell ref="G1:J3"/>
    <mergeCell ref="A244:B244"/>
    <mergeCell ref="A1:A4"/>
    <mergeCell ref="B1:B4"/>
    <mergeCell ref="C1:C4"/>
    <mergeCell ref="D1:E1"/>
  </mergeCells>
  <pageMargins left="0.25" right="0.25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Q24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13" width="6.7109375" style="24" customWidth="1"/>
    <col min="14" max="15" width="8.7109375" style="24" customWidth="1"/>
    <col min="16" max="17" width="8.7109375" style="1" customWidth="1"/>
    <col min="18" max="18" width="8.7109375" style="24" customWidth="1"/>
    <col min="19" max="26" width="8.7109375" style="24" hidden="1" customWidth="1" outlineLevel="1"/>
    <col min="27" max="27" width="8.7109375" style="24" customWidth="1" collapsed="1"/>
    <col min="28" max="38" width="8.7109375" style="24" customWidth="1"/>
    <col min="39" max="41" width="8.7109375" style="1" customWidth="1"/>
    <col min="42" max="42" width="8.7109375" style="1" hidden="1" customWidth="1" outlineLevel="1"/>
    <col min="43" max="43" width="8.7109375" style="1" customWidth="1" collapsed="1"/>
    <col min="44" max="44" width="8.7109375" style="1" customWidth="1"/>
    <col min="45" max="46" width="8.7109375" style="24" customWidth="1"/>
    <col min="47" max="47" width="8.7109375" style="1" customWidth="1"/>
    <col min="48" max="51" width="10.7109375" style="1" customWidth="1"/>
    <col min="52" max="52" width="10.7109375" style="1"/>
    <col min="53" max="53" width="10.7109375" style="1" hidden="1" customWidth="1" outlineLevel="1"/>
    <col min="54" max="54" width="10.7109375" style="1" collapsed="1"/>
    <col min="55" max="59" width="15.7109375" style="1" hidden="1" customWidth="1" outlineLevel="1"/>
    <col min="60" max="60" width="10.7109375" style="1" collapsed="1"/>
    <col min="61" max="68" width="10.7109375" style="1" hidden="1" customWidth="1" outlineLevel="1"/>
    <col min="69" max="69" width="10.7109375" style="1" collapsed="1"/>
    <col min="70" max="16384" width="10.7109375" style="1"/>
  </cols>
  <sheetData>
    <row r="1" spans="1:68" ht="20.100000000000001" customHeight="1" x14ac:dyDescent="0.25">
      <c r="A1" s="210" t="s">
        <v>0</v>
      </c>
      <c r="B1" s="210" t="s">
        <v>1</v>
      </c>
      <c r="C1" s="210" t="s">
        <v>2</v>
      </c>
      <c r="D1" s="210" t="s">
        <v>3</v>
      </c>
      <c r="E1" s="210"/>
      <c r="F1" s="210" t="s">
        <v>4</v>
      </c>
      <c r="G1" s="210" t="s">
        <v>5</v>
      </c>
      <c r="H1" s="210"/>
      <c r="I1" s="210"/>
      <c r="J1" s="210"/>
      <c r="K1" s="211" t="s">
        <v>6</v>
      </c>
      <c r="L1" s="211" t="s">
        <v>7</v>
      </c>
      <c r="M1" s="211" t="s">
        <v>8</v>
      </c>
      <c r="N1" s="204" t="s">
        <v>334</v>
      </c>
      <c r="O1" s="204" t="s">
        <v>335</v>
      </c>
      <c r="P1" s="204" t="s">
        <v>9</v>
      </c>
      <c r="Q1" s="204" t="s">
        <v>10</v>
      </c>
      <c r="R1" s="204" t="s">
        <v>11</v>
      </c>
      <c r="S1" s="203" t="s">
        <v>3</v>
      </c>
      <c r="T1" s="203"/>
      <c r="U1" s="203"/>
      <c r="V1" s="203"/>
      <c r="W1" s="203"/>
      <c r="X1" s="203"/>
      <c r="Y1" s="203"/>
      <c r="Z1" s="203"/>
      <c r="AA1" s="204" t="s">
        <v>12</v>
      </c>
      <c r="AB1" s="204"/>
      <c r="AC1" s="204"/>
      <c r="AD1" s="204"/>
      <c r="AE1" s="204"/>
      <c r="AF1" s="204" t="s">
        <v>13</v>
      </c>
      <c r="AG1" s="204"/>
      <c r="AH1" s="204"/>
      <c r="AI1" s="204"/>
      <c r="AJ1" s="204"/>
      <c r="AK1" s="204"/>
      <c r="AL1" s="204"/>
      <c r="AM1" s="206" t="s">
        <v>14</v>
      </c>
      <c r="AN1" s="207"/>
      <c r="AO1" s="207"/>
      <c r="AP1" s="207"/>
      <c r="AQ1" s="207"/>
      <c r="AR1" s="207"/>
      <c r="AS1" s="207"/>
      <c r="AT1" s="207"/>
      <c r="AU1" s="208"/>
      <c r="AV1" s="204" t="s">
        <v>15</v>
      </c>
      <c r="AW1" s="204"/>
      <c r="AX1" s="204"/>
      <c r="AY1" s="204"/>
    </row>
    <row r="2" spans="1:68" ht="24.95" customHeight="1" x14ac:dyDescent="0.25">
      <c r="A2" s="210"/>
      <c r="B2" s="210"/>
      <c r="C2" s="210"/>
      <c r="D2" s="210" t="s">
        <v>16</v>
      </c>
      <c r="E2" s="210" t="s">
        <v>17</v>
      </c>
      <c r="F2" s="210"/>
      <c r="G2" s="212" t="s">
        <v>18</v>
      </c>
      <c r="H2" s="212"/>
      <c r="I2" s="212" t="s">
        <v>19</v>
      </c>
      <c r="J2" s="212"/>
      <c r="K2" s="211"/>
      <c r="L2" s="211"/>
      <c r="M2" s="211"/>
      <c r="N2" s="204"/>
      <c r="O2" s="204"/>
      <c r="P2" s="204"/>
      <c r="Q2" s="204"/>
      <c r="R2" s="204"/>
      <c r="S2" s="209" t="s">
        <v>20</v>
      </c>
      <c r="T2" s="209" t="s">
        <v>21</v>
      </c>
      <c r="U2" s="209" t="s">
        <v>22</v>
      </c>
      <c r="V2" s="209" t="s">
        <v>23</v>
      </c>
      <c r="W2" s="209" t="s">
        <v>24</v>
      </c>
      <c r="X2" s="209" t="s">
        <v>25</v>
      </c>
      <c r="Y2" s="209" t="s">
        <v>26</v>
      </c>
      <c r="Z2" s="209" t="s">
        <v>27</v>
      </c>
      <c r="AA2" s="203" t="s">
        <v>28</v>
      </c>
      <c r="AB2" s="203" t="s">
        <v>29</v>
      </c>
      <c r="AC2" s="203"/>
      <c r="AD2" s="203" t="s">
        <v>30</v>
      </c>
      <c r="AE2" s="203" t="s">
        <v>31</v>
      </c>
      <c r="AF2" s="203" t="s">
        <v>28</v>
      </c>
      <c r="AG2" s="203" t="s">
        <v>29</v>
      </c>
      <c r="AH2" s="203"/>
      <c r="AI2" s="203" t="s">
        <v>30</v>
      </c>
      <c r="AJ2" s="203" t="s">
        <v>32</v>
      </c>
      <c r="AK2" s="203" t="s">
        <v>33</v>
      </c>
      <c r="AL2" s="203"/>
      <c r="AM2" s="203" t="s">
        <v>34</v>
      </c>
      <c r="AN2" s="203" t="s">
        <v>35</v>
      </c>
      <c r="AO2" s="203"/>
      <c r="AP2" s="203"/>
      <c r="AQ2" s="203" t="s">
        <v>36</v>
      </c>
      <c r="AR2" s="203" t="s">
        <v>37</v>
      </c>
      <c r="AS2" s="203" t="s">
        <v>38</v>
      </c>
      <c r="AT2" s="203"/>
      <c r="AU2" s="203" t="s">
        <v>39</v>
      </c>
      <c r="AV2" s="204" t="s">
        <v>40</v>
      </c>
      <c r="AW2" s="203" t="s">
        <v>3</v>
      </c>
      <c r="AX2" s="203"/>
      <c r="AY2" s="203"/>
    </row>
    <row r="3" spans="1:68" ht="24.95" customHeight="1" x14ac:dyDescent="0.25">
      <c r="A3" s="210"/>
      <c r="B3" s="210"/>
      <c r="C3" s="210"/>
      <c r="D3" s="210"/>
      <c r="E3" s="210"/>
      <c r="F3" s="210"/>
      <c r="G3" s="212"/>
      <c r="H3" s="212"/>
      <c r="I3" s="212"/>
      <c r="J3" s="212"/>
      <c r="K3" s="211"/>
      <c r="L3" s="211"/>
      <c r="M3" s="211"/>
      <c r="N3" s="204"/>
      <c r="O3" s="204"/>
      <c r="P3" s="204"/>
      <c r="Q3" s="204"/>
      <c r="R3" s="204"/>
      <c r="S3" s="209"/>
      <c r="T3" s="209"/>
      <c r="U3" s="209"/>
      <c r="V3" s="209"/>
      <c r="W3" s="209"/>
      <c r="X3" s="209"/>
      <c r="Y3" s="209"/>
      <c r="Z3" s="209"/>
      <c r="AA3" s="203"/>
      <c r="AB3" s="2" t="s">
        <v>41</v>
      </c>
      <c r="AC3" s="2" t="s">
        <v>42</v>
      </c>
      <c r="AD3" s="203"/>
      <c r="AE3" s="203"/>
      <c r="AF3" s="203"/>
      <c r="AG3" s="2" t="s">
        <v>41</v>
      </c>
      <c r="AH3" s="2" t="s">
        <v>42</v>
      </c>
      <c r="AI3" s="203"/>
      <c r="AJ3" s="203"/>
      <c r="AK3" s="2" t="s">
        <v>43</v>
      </c>
      <c r="AL3" s="2" t="s">
        <v>44</v>
      </c>
      <c r="AM3" s="203"/>
      <c r="AN3" s="2" t="s">
        <v>41</v>
      </c>
      <c r="AO3" s="2" t="s">
        <v>42</v>
      </c>
      <c r="AP3" s="2" t="s">
        <v>45</v>
      </c>
      <c r="AQ3" s="203"/>
      <c r="AR3" s="203"/>
      <c r="AS3" s="2" t="s">
        <v>43</v>
      </c>
      <c r="AT3" s="2" t="s">
        <v>44</v>
      </c>
      <c r="AU3" s="203"/>
      <c r="AV3" s="204"/>
      <c r="AW3" s="205" t="s">
        <v>46</v>
      </c>
      <c r="AX3" s="205" t="s">
        <v>47</v>
      </c>
      <c r="AY3" s="205" t="s">
        <v>48</v>
      </c>
      <c r="BA3" s="201" t="s">
        <v>49</v>
      </c>
      <c r="BC3" s="201" t="s">
        <v>50</v>
      </c>
      <c r="BD3" s="201"/>
      <c r="BE3" s="201"/>
      <c r="BF3" s="201"/>
      <c r="BG3" s="201"/>
      <c r="BI3" s="201" t="s">
        <v>51</v>
      </c>
      <c r="BJ3" s="201"/>
      <c r="BK3" s="201"/>
      <c r="BL3" s="201"/>
      <c r="BM3" s="201"/>
      <c r="BN3" s="201"/>
      <c r="BO3" s="201"/>
      <c r="BP3" s="201"/>
    </row>
    <row r="4" spans="1:68" ht="20.100000000000001" customHeight="1" x14ac:dyDescent="0.25">
      <c r="A4" s="210"/>
      <c r="B4" s="210"/>
      <c r="C4" s="210"/>
      <c r="D4" s="210"/>
      <c r="E4" s="210"/>
      <c r="F4" s="210"/>
      <c r="G4" s="3" t="s">
        <v>52</v>
      </c>
      <c r="H4" s="3" t="s">
        <v>53</v>
      </c>
      <c r="I4" s="3" t="s">
        <v>52</v>
      </c>
      <c r="J4" s="3" t="s">
        <v>53</v>
      </c>
      <c r="K4" s="211"/>
      <c r="L4" s="211"/>
      <c r="M4" s="211"/>
      <c r="N4" s="204"/>
      <c r="O4" s="204"/>
      <c r="P4" s="204"/>
      <c r="Q4" s="204"/>
      <c r="R4" s="204"/>
      <c r="S4" s="209"/>
      <c r="T4" s="209"/>
      <c r="U4" s="209"/>
      <c r="V4" s="209"/>
      <c r="W4" s="209"/>
      <c r="X4" s="209"/>
      <c r="Y4" s="209"/>
      <c r="Z4" s="209"/>
      <c r="AA4" s="4" t="s">
        <v>54</v>
      </c>
      <c r="AB4" s="4" t="s">
        <v>54</v>
      </c>
      <c r="AC4" s="4" t="s">
        <v>55</v>
      </c>
      <c r="AD4" s="4" t="s">
        <v>54</v>
      </c>
      <c r="AE4" s="4" t="s">
        <v>56</v>
      </c>
      <c r="AF4" s="4" t="s">
        <v>57</v>
      </c>
      <c r="AG4" s="4" t="s">
        <v>57</v>
      </c>
      <c r="AH4" s="4" t="s">
        <v>58</v>
      </c>
      <c r="AI4" s="4" t="s">
        <v>59</v>
      </c>
      <c r="AJ4" s="4" t="s">
        <v>60</v>
      </c>
      <c r="AK4" s="4" t="s">
        <v>57</v>
      </c>
      <c r="AL4" s="4" t="s">
        <v>61</v>
      </c>
      <c r="AM4" s="4" t="s">
        <v>62</v>
      </c>
      <c r="AN4" s="4" t="s">
        <v>62</v>
      </c>
      <c r="AO4" s="4" t="s">
        <v>63</v>
      </c>
      <c r="AP4" s="4" t="s">
        <v>64</v>
      </c>
      <c r="AQ4" s="4" t="s">
        <v>62</v>
      </c>
      <c r="AR4" s="4" t="s">
        <v>63</v>
      </c>
      <c r="AS4" s="4" t="s">
        <v>62</v>
      </c>
      <c r="AT4" s="4" t="s">
        <v>62</v>
      </c>
      <c r="AU4" s="4" t="s">
        <v>65</v>
      </c>
      <c r="AV4" s="204"/>
      <c r="AW4" s="205"/>
      <c r="AX4" s="205"/>
      <c r="AY4" s="205"/>
      <c r="BA4" s="201"/>
      <c r="BC4" s="5" t="s">
        <v>28</v>
      </c>
      <c r="BD4" s="5" t="s">
        <v>66</v>
      </c>
      <c r="BE4" s="5" t="s">
        <v>67</v>
      </c>
      <c r="BF4" s="5" t="s">
        <v>30</v>
      </c>
      <c r="BG4" s="5" t="s">
        <v>32</v>
      </c>
      <c r="BI4" s="5">
        <v>1</v>
      </c>
      <c r="BJ4" s="5">
        <v>3</v>
      </c>
      <c r="BK4" s="5" t="s">
        <v>28</v>
      </c>
      <c r="BL4" s="5" t="s">
        <v>29</v>
      </c>
      <c r="BM4" s="5" t="s">
        <v>30</v>
      </c>
      <c r="BN4" s="5" t="s">
        <v>32</v>
      </c>
      <c r="BO4" s="5" t="s">
        <v>68</v>
      </c>
      <c r="BP4" s="5" t="s">
        <v>69</v>
      </c>
    </row>
    <row r="5" spans="1:68" ht="12" customHeight="1" x14ac:dyDescent="0.25">
      <c r="A5" s="5">
        <v>1</v>
      </c>
      <c r="B5" s="6" t="s">
        <v>70</v>
      </c>
      <c r="C5" s="7">
        <f t="shared" ref="C5:C68" si="0">SUM(D5:E5)</f>
        <v>599.6</v>
      </c>
      <c r="D5" s="8">
        <v>599.6</v>
      </c>
      <c r="E5" s="8">
        <v>0</v>
      </c>
      <c r="F5" s="8">
        <v>47.8</v>
      </c>
      <c r="G5" s="9">
        <v>0</v>
      </c>
      <c r="H5" s="9">
        <v>0</v>
      </c>
      <c r="I5" s="9">
        <v>0</v>
      </c>
      <c r="J5" s="9">
        <v>0</v>
      </c>
      <c r="K5" s="9" t="s">
        <v>71</v>
      </c>
      <c r="L5" s="10" t="s">
        <v>71</v>
      </c>
      <c r="M5" s="10">
        <v>0</v>
      </c>
      <c r="N5" s="10" t="s">
        <v>72</v>
      </c>
      <c r="O5" s="10" t="s">
        <v>72</v>
      </c>
      <c r="P5" s="5" t="s">
        <v>73</v>
      </c>
      <c r="Q5" s="11">
        <v>7</v>
      </c>
      <c r="R5" s="12">
        <v>28.44</v>
      </c>
      <c r="S5" s="10">
        <v>4.68</v>
      </c>
      <c r="T5" s="10">
        <v>6.05</v>
      </c>
      <c r="U5" s="10">
        <v>8.24</v>
      </c>
      <c r="V5" s="10">
        <v>6.34</v>
      </c>
      <c r="W5" s="10">
        <v>2.89</v>
      </c>
      <c r="X5" s="10">
        <v>0</v>
      </c>
      <c r="Y5" s="10">
        <v>0</v>
      </c>
      <c r="Z5" s="10">
        <v>0.24</v>
      </c>
      <c r="AA5" s="13">
        <v>1.2999999999999999E-2</v>
      </c>
      <c r="AB5" s="13">
        <v>1.2999999999999999E-2</v>
      </c>
      <c r="AC5" s="14">
        <f>AB5*0.0599</f>
        <v>7.7870000000000001E-4</v>
      </c>
      <c r="AD5" s="13">
        <f>SUM(AA5:AB5)</f>
        <v>2.5999999999999999E-2</v>
      </c>
      <c r="AE5" s="13">
        <v>0.68300000000000005</v>
      </c>
      <c r="AF5" s="10">
        <v>4.29</v>
      </c>
      <c r="AG5" s="10">
        <v>3.17</v>
      </c>
      <c r="AH5" s="15">
        <v>5.9900000000000002E-2</v>
      </c>
      <c r="AI5" s="10">
        <f t="shared" ref="AI5:AI70" si="1">SUM(AF5:AG5)</f>
        <v>7.46</v>
      </c>
      <c r="AJ5" s="10">
        <v>0.02</v>
      </c>
      <c r="AK5" s="10">
        <v>10</v>
      </c>
      <c r="AL5" s="13">
        <v>0</v>
      </c>
      <c r="AM5" s="16">
        <v>40</v>
      </c>
      <c r="AN5" s="16">
        <v>40</v>
      </c>
      <c r="AO5" s="16">
        <v>2604.04</v>
      </c>
      <c r="AP5" s="10">
        <v>195.98199600000001</v>
      </c>
      <c r="AQ5" s="16">
        <v>42.3</v>
      </c>
      <c r="AR5" s="16">
        <v>2604.04</v>
      </c>
      <c r="AS5" s="10">
        <v>7.85</v>
      </c>
      <c r="AT5" s="13">
        <v>0</v>
      </c>
      <c r="AU5" s="10">
        <v>6.73</v>
      </c>
      <c r="AV5" s="17">
        <f>SUM(AW5:AY5)</f>
        <v>4899.3189959901574</v>
      </c>
      <c r="AW5" s="17">
        <v>2570.4662677574943</v>
      </c>
      <c r="AX5" s="17">
        <v>2328.8527282326636</v>
      </c>
      <c r="AY5" s="17">
        <v>0</v>
      </c>
      <c r="BA5" s="18"/>
      <c r="BC5" s="19"/>
      <c r="BD5" s="19"/>
      <c r="BE5" s="19"/>
      <c r="BF5" s="19"/>
      <c r="BG5" s="19"/>
      <c r="BI5" s="16">
        <f t="shared" ref="BI5:BI68" si="2">IF(Q5=1,C5,0)</f>
        <v>0</v>
      </c>
      <c r="BJ5" s="16">
        <f t="shared" ref="BJ5:BJ68" si="3">IF(Q5=3,C5,0)</f>
        <v>0</v>
      </c>
      <c r="BK5" s="16">
        <f t="shared" ref="BK5:BK68" si="4">IF(AF5&gt;0,C5,0)</f>
        <v>599.6</v>
      </c>
      <c r="BL5" s="16">
        <f t="shared" ref="BL5:BL68" si="5">IF(AG5&gt;0,C5,0)</f>
        <v>599.6</v>
      </c>
      <c r="BM5" s="16">
        <f t="shared" ref="BM5:BM68" si="6">IF(AI5&gt;0,C5,0)</f>
        <v>599.6</v>
      </c>
      <c r="BN5" s="16">
        <f t="shared" ref="BN5:BN68" si="7">IF(AJ5&gt;0,C5,0)</f>
        <v>599.6</v>
      </c>
      <c r="BO5" s="16">
        <f t="shared" ref="BO5:BO68" si="8">IF(AU5=6.73,C5,0)</f>
        <v>599.6</v>
      </c>
      <c r="BP5" s="16">
        <f t="shared" ref="BP5:BP68" si="9">IF(AU5=5.05,C5,0)</f>
        <v>0</v>
      </c>
    </row>
    <row r="6" spans="1:68" ht="12" customHeight="1" x14ac:dyDescent="0.25">
      <c r="A6" s="5">
        <f>A5+1</f>
        <v>2</v>
      </c>
      <c r="B6" s="6" t="s">
        <v>74</v>
      </c>
      <c r="C6" s="7">
        <f t="shared" si="0"/>
        <v>464.76</v>
      </c>
      <c r="D6" s="8">
        <v>464.76</v>
      </c>
      <c r="E6" s="8">
        <v>0</v>
      </c>
      <c r="F6" s="8">
        <v>59.3</v>
      </c>
      <c r="G6" s="9">
        <v>0</v>
      </c>
      <c r="H6" s="9">
        <v>0</v>
      </c>
      <c r="I6" s="9">
        <v>0</v>
      </c>
      <c r="J6" s="9">
        <v>0</v>
      </c>
      <c r="K6" s="9" t="s">
        <v>71</v>
      </c>
      <c r="L6" s="10" t="s">
        <v>71</v>
      </c>
      <c r="M6" s="10">
        <v>0</v>
      </c>
      <c r="N6" s="10" t="s">
        <v>72</v>
      </c>
      <c r="O6" s="10" t="s">
        <v>72</v>
      </c>
      <c r="P6" s="5" t="s">
        <v>73</v>
      </c>
      <c r="Q6" s="11">
        <v>7</v>
      </c>
      <c r="R6" s="12">
        <v>28.44</v>
      </c>
      <c r="S6" s="10">
        <v>4.68</v>
      </c>
      <c r="T6" s="10">
        <v>6.05</v>
      </c>
      <c r="U6" s="10">
        <v>8.24</v>
      </c>
      <c r="V6" s="10">
        <v>6.34</v>
      </c>
      <c r="W6" s="10">
        <v>2.89</v>
      </c>
      <c r="X6" s="10">
        <v>0</v>
      </c>
      <c r="Y6" s="10">
        <v>0</v>
      </c>
      <c r="Z6" s="10">
        <v>0.24</v>
      </c>
      <c r="AA6" s="13">
        <v>1.2999999999999999E-2</v>
      </c>
      <c r="AB6" s="13">
        <v>1.2999999999999999E-2</v>
      </c>
      <c r="AC6" s="14">
        <f t="shared" ref="AC6:AC71" si="10">AB6*0.0599</f>
        <v>7.7870000000000001E-4</v>
      </c>
      <c r="AD6" s="13">
        <f t="shared" ref="AD6:AD71" si="11">SUM(AA6:AB6)</f>
        <v>2.5999999999999999E-2</v>
      </c>
      <c r="AE6" s="13">
        <v>0.68300000000000005</v>
      </c>
      <c r="AF6" s="10">
        <v>4.29</v>
      </c>
      <c r="AG6" s="10">
        <v>3.17</v>
      </c>
      <c r="AH6" s="15">
        <v>5.9900000000000002E-2</v>
      </c>
      <c r="AI6" s="10">
        <f t="shared" si="1"/>
        <v>7.46</v>
      </c>
      <c r="AJ6" s="10">
        <v>0.02</v>
      </c>
      <c r="AK6" s="10">
        <v>10</v>
      </c>
      <c r="AL6" s="13">
        <v>0</v>
      </c>
      <c r="AM6" s="16">
        <v>40</v>
      </c>
      <c r="AN6" s="16">
        <v>40</v>
      </c>
      <c r="AO6" s="16">
        <v>2604.04</v>
      </c>
      <c r="AP6" s="10">
        <v>195.98199600000001</v>
      </c>
      <c r="AQ6" s="16">
        <v>42.3</v>
      </c>
      <c r="AR6" s="16">
        <v>2604.04</v>
      </c>
      <c r="AS6" s="10">
        <v>7.85</v>
      </c>
      <c r="AT6" s="13">
        <v>0</v>
      </c>
      <c r="AU6" s="10">
        <v>6.73</v>
      </c>
      <c r="AV6" s="17">
        <f t="shared" ref="AV6:AV69" si="12">SUM(AW6:AY6)</f>
        <v>3634.1203238434318</v>
      </c>
      <c r="AW6" s="17">
        <v>1906.6600678846833</v>
      </c>
      <c r="AX6" s="17">
        <v>1727.4602559587486</v>
      </c>
      <c r="AY6" s="17">
        <v>0</v>
      </c>
      <c r="BA6" s="18"/>
      <c r="BC6" s="19"/>
      <c r="BD6" s="19"/>
      <c r="BE6" s="19"/>
      <c r="BF6" s="19"/>
      <c r="BG6" s="19"/>
      <c r="BI6" s="16">
        <f t="shared" si="2"/>
        <v>0</v>
      </c>
      <c r="BJ6" s="16">
        <f t="shared" si="3"/>
        <v>0</v>
      </c>
      <c r="BK6" s="16">
        <f t="shared" si="4"/>
        <v>464.76</v>
      </c>
      <c r="BL6" s="16">
        <f t="shared" si="5"/>
        <v>464.76</v>
      </c>
      <c r="BM6" s="16">
        <f t="shared" si="6"/>
        <v>464.76</v>
      </c>
      <c r="BN6" s="16">
        <f t="shared" si="7"/>
        <v>464.76</v>
      </c>
      <c r="BO6" s="16">
        <f t="shared" si="8"/>
        <v>464.76</v>
      </c>
      <c r="BP6" s="16">
        <f t="shared" si="9"/>
        <v>0</v>
      </c>
    </row>
    <row r="7" spans="1:68" ht="12" customHeight="1" x14ac:dyDescent="0.25">
      <c r="A7" s="5">
        <f t="shared" ref="A7:A70" si="13">A6+1</f>
        <v>3</v>
      </c>
      <c r="B7" s="6" t="s">
        <v>75</v>
      </c>
      <c r="C7" s="7">
        <f t="shared" si="0"/>
        <v>490.28</v>
      </c>
      <c r="D7" s="8">
        <v>490.28</v>
      </c>
      <c r="E7" s="8">
        <v>0</v>
      </c>
      <c r="F7" s="8">
        <v>67.7</v>
      </c>
      <c r="G7" s="9">
        <v>0</v>
      </c>
      <c r="H7" s="9">
        <v>0</v>
      </c>
      <c r="I7" s="9">
        <v>0</v>
      </c>
      <c r="J7" s="9">
        <v>0</v>
      </c>
      <c r="K7" s="9" t="s">
        <v>71</v>
      </c>
      <c r="L7" s="10" t="s">
        <v>71</v>
      </c>
      <c r="M7" s="10">
        <v>0</v>
      </c>
      <c r="N7" s="10" t="s">
        <v>72</v>
      </c>
      <c r="O7" s="10" t="s">
        <v>72</v>
      </c>
      <c r="P7" s="5" t="s">
        <v>73</v>
      </c>
      <c r="Q7" s="11">
        <v>7</v>
      </c>
      <c r="R7" s="12">
        <v>28.44</v>
      </c>
      <c r="S7" s="10">
        <v>4.68</v>
      </c>
      <c r="T7" s="10">
        <v>6.05</v>
      </c>
      <c r="U7" s="10">
        <v>8.24</v>
      </c>
      <c r="V7" s="10">
        <v>6.34</v>
      </c>
      <c r="W7" s="10">
        <v>2.89</v>
      </c>
      <c r="X7" s="10">
        <v>0</v>
      </c>
      <c r="Y7" s="10">
        <v>0</v>
      </c>
      <c r="Z7" s="10">
        <v>0.24</v>
      </c>
      <c r="AA7" s="13">
        <v>1.2999999999999999E-2</v>
      </c>
      <c r="AB7" s="13">
        <v>1.2999999999999999E-2</v>
      </c>
      <c r="AC7" s="14">
        <f t="shared" si="10"/>
        <v>7.7870000000000001E-4</v>
      </c>
      <c r="AD7" s="13">
        <f t="shared" si="11"/>
        <v>2.5999999999999999E-2</v>
      </c>
      <c r="AE7" s="13">
        <v>0.68300000000000005</v>
      </c>
      <c r="AF7" s="10">
        <v>4.29</v>
      </c>
      <c r="AG7" s="10">
        <v>3.17</v>
      </c>
      <c r="AH7" s="15">
        <v>5.9900000000000002E-2</v>
      </c>
      <c r="AI7" s="10">
        <f t="shared" si="1"/>
        <v>7.46</v>
      </c>
      <c r="AJ7" s="10">
        <v>0.02</v>
      </c>
      <c r="AK7" s="10">
        <v>10</v>
      </c>
      <c r="AL7" s="13">
        <v>0</v>
      </c>
      <c r="AM7" s="16">
        <v>40</v>
      </c>
      <c r="AN7" s="16">
        <v>40</v>
      </c>
      <c r="AO7" s="16">
        <v>2604.04</v>
      </c>
      <c r="AP7" s="10">
        <v>195.98199600000001</v>
      </c>
      <c r="AQ7" s="16">
        <v>42.3</v>
      </c>
      <c r="AR7" s="16">
        <v>2604.04</v>
      </c>
      <c r="AS7" s="10">
        <v>7.85</v>
      </c>
      <c r="AT7" s="13">
        <v>0</v>
      </c>
      <c r="AU7" s="10">
        <v>6.73</v>
      </c>
      <c r="AV7" s="17">
        <f t="shared" si="12"/>
        <v>4006.0509679769634</v>
      </c>
      <c r="AW7" s="17">
        <v>2101.8046906624031</v>
      </c>
      <c r="AX7" s="17">
        <v>1904.2462773145603</v>
      </c>
      <c r="AY7" s="17">
        <v>0</v>
      </c>
      <c r="BA7" s="18"/>
      <c r="BC7" s="19"/>
      <c r="BD7" s="19"/>
      <c r="BE7" s="19"/>
      <c r="BF7" s="19"/>
      <c r="BG7" s="19"/>
      <c r="BI7" s="16">
        <f t="shared" si="2"/>
        <v>0</v>
      </c>
      <c r="BJ7" s="16">
        <f t="shared" si="3"/>
        <v>0</v>
      </c>
      <c r="BK7" s="16">
        <f t="shared" si="4"/>
        <v>490.28</v>
      </c>
      <c r="BL7" s="16">
        <f t="shared" si="5"/>
        <v>490.28</v>
      </c>
      <c r="BM7" s="16">
        <f t="shared" si="6"/>
        <v>490.28</v>
      </c>
      <c r="BN7" s="16">
        <f t="shared" si="7"/>
        <v>490.28</v>
      </c>
      <c r="BO7" s="16">
        <f t="shared" si="8"/>
        <v>490.28</v>
      </c>
      <c r="BP7" s="16">
        <f t="shared" si="9"/>
        <v>0</v>
      </c>
    </row>
    <row r="8" spans="1:68" ht="12" customHeight="1" x14ac:dyDescent="0.25">
      <c r="A8" s="5">
        <f t="shared" si="13"/>
        <v>4</v>
      </c>
      <c r="B8" s="6" t="s">
        <v>76</v>
      </c>
      <c r="C8" s="7">
        <f t="shared" si="0"/>
        <v>1544.17</v>
      </c>
      <c r="D8" s="8">
        <v>1279.77</v>
      </c>
      <c r="E8" s="8">
        <v>264.39999999999998</v>
      </c>
      <c r="F8" s="8">
        <v>217.8</v>
      </c>
      <c r="G8" s="9">
        <v>0</v>
      </c>
      <c r="H8" s="9">
        <v>0</v>
      </c>
      <c r="I8" s="9">
        <v>0</v>
      </c>
      <c r="J8" s="9">
        <v>0</v>
      </c>
      <c r="K8" s="9" t="s">
        <v>71</v>
      </c>
      <c r="L8" s="10" t="s">
        <v>71</v>
      </c>
      <c r="M8" s="10">
        <v>0</v>
      </c>
      <c r="N8" s="10" t="s">
        <v>72</v>
      </c>
      <c r="O8" s="10" t="s">
        <v>72</v>
      </c>
      <c r="P8" s="5" t="s">
        <v>73</v>
      </c>
      <c r="Q8" s="11">
        <v>7</v>
      </c>
      <c r="R8" s="12">
        <v>28.44</v>
      </c>
      <c r="S8" s="10">
        <v>4.68</v>
      </c>
      <c r="T8" s="10">
        <v>6.05</v>
      </c>
      <c r="U8" s="10">
        <v>8.24</v>
      </c>
      <c r="V8" s="10">
        <v>6.34</v>
      </c>
      <c r="W8" s="10">
        <v>2.89</v>
      </c>
      <c r="X8" s="10">
        <v>0</v>
      </c>
      <c r="Y8" s="10">
        <v>0</v>
      </c>
      <c r="Z8" s="10">
        <v>0.24</v>
      </c>
      <c r="AA8" s="13">
        <v>1.2999999999999999E-2</v>
      </c>
      <c r="AB8" s="13">
        <v>1.2999999999999999E-2</v>
      </c>
      <c r="AC8" s="14">
        <f t="shared" si="10"/>
        <v>7.7870000000000001E-4</v>
      </c>
      <c r="AD8" s="13">
        <f t="shared" si="11"/>
        <v>2.5999999999999999E-2</v>
      </c>
      <c r="AE8" s="13">
        <v>0.68300000000000005</v>
      </c>
      <c r="AF8" s="10">
        <v>4.29</v>
      </c>
      <c r="AG8" s="10">
        <v>3.17</v>
      </c>
      <c r="AH8" s="15">
        <v>5.9900000000000002E-2</v>
      </c>
      <c r="AI8" s="10">
        <f t="shared" si="1"/>
        <v>7.46</v>
      </c>
      <c r="AJ8" s="10">
        <v>0.02</v>
      </c>
      <c r="AK8" s="10">
        <v>10</v>
      </c>
      <c r="AL8" s="13">
        <v>0</v>
      </c>
      <c r="AM8" s="16">
        <v>40</v>
      </c>
      <c r="AN8" s="16">
        <v>40</v>
      </c>
      <c r="AO8" s="16">
        <v>2604.04</v>
      </c>
      <c r="AP8" s="10">
        <v>195.98199600000001</v>
      </c>
      <c r="AQ8" s="16">
        <v>42.3</v>
      </c>
      <c r="AR8" s="16">
        <v>2604.04</v>
      </c>
      <c r="AS8" s="10">
        <v>7.85</v>
      </c>
      <c r="AT8" s="13">
        <v>0</v>
      </c>
      <c r="AU8" s="10">
        <v>6.73</v>
      </c>
      <c r="AV8" s="17">
        <f t="shared" si="12"/>
        <v>12617.352275058238</v>
      </c>
      <c r="AW8" s="17">
        <v>6619.7861558400364</v>
      </c>
      <c r="AX8" s="17">
        <v>5997.5661192182006</v>
      </c>
      <c r="AY8" s="17">
        <v>0</v>
      </c>
      <c r="BA8" s="18"/>
      <c r="BC8" s="19"/>
      <c r="BD8" s="19"/>
      <c r="BE8" s="19"/>
      <c r="BF8" s="19"/>
      <c r="BG8" s="19"/>
      <c r="BI8" s="16">
        <f t="shared" si="2"/>
        <v>0</v>
      </c>
      <c r="BJ8" s="16">
        <f t="shared" si="3"/>
        <v>0</v>
      </c>
      <c r="BK8" s="16">
        <f t="shared" si="4"/>
        <v>1544.17</v>
      </c>
      <c r="BL8" s="16">
        <f t="shared" si="5"/>
        <v>1544.17</v>
      </c>
      <c r="BM8" s="16">
        <f t="shared" si="6"/>
        <v>1544.17</v>
      </c>
      <c r="BN8" s="16">
        <f t="shared" si="7"/>
        <v>1544.17</v>
      </c>
      <c r="BO8" s="16">
        <f t="shared" si="8"/>
        <v>1544.17</v>
      </c>
      <c r="BP8" s="16">
        <f t="shared" si="9"/>
        <v>0</v>
      </c>
    </row>
    <row r="9" spans="1:68" ht="12" customHeight="1" x14ac:dyDescent="0.25">
      <c r="A9" s="5">
        <f t="shared" si="13"/>
        <v>5</v>
      </c>
      <c r="B9" s="6" t="s">
        <v>77</v>
      </c>
      <c r="C9" s="7">
        <f t="shared" si="0"/>
        <v>543.29999999999995</v>
      </c>
      <c r="D9" s="8">
        <v>543.29999999999995</v>
      </c>
      <c r="E9" s="8">
        <v>0</v>
      </c>
      <c r="F9" s="8">
        <v>84.8</v>
      </c>
      <c r="G9" s="9">
        <v>0</v>
      </c>
      <c r="H9" s="9">
        <v>0</v>
      </c>
      <c r="I9" s="9">
        <v>0</v>
      </c>
      <c r="J9" s="9">
        <v>0</v>
      </c>
      <c r="K9" s="9" t="s">
        <v>71</v>
      </c>
      <c r="L9" s="10" t="s">
        <v>71</v>
      </c>
      <c r="M9" s="10">
        <v>0</v>
      </c>
      <c r="N9" s="10" t="s">
        <v>72</v>
      </c>
      <c r="O9" s="10" t="s">
        <v>72</v>
      </c>
      <c r="P9" s="5" t="s">
        <v>73</v>
      </c>
      <c r="Q9" s="11">
        <v>7</v>
      </c>
      <c r="R9" s="12">
        <v>28.44</v>
      </c>
      <c r="S9" s="10">
        <v>4.68</v>
      </c>
      <c r="T9" s="10">
        <v>6.05</v>
      </c>
      <c r="U9" s="10">
        <v>8.24</v>
      </c>
      <c r="V9" s="10">
        <v>6.34</v>
      </c>
      <c r="W9" s="10">
        <v>2.89</v>
      </c>
      <c r="X9" s="10">
        <v>0</v>
      </c>
      <c r="Y9" s="10">
        <v>0</v>
      </c>
      <c r="Z9" s="10">
        <v>0.24</v>
      </c>
      <c r="AA9" s="13">
        <v>1.2999999999999999E-2</v>
      </c>
      <c r="AB9" s="13">
        <v>1.2999999999999999E-2</v>
      </c>
      <c r="AC9" s="14">
        <f t="shared" si="10"/>
        <v>7.7870000000000001E-4</v>
      </c>
      <c r="AD9" s="13">
        <f t="shared" si="11"/>
        <v>2.5999999999999999E-2</v>
      </c>
      <c r="AE9" s="13">
        <v>0.68300000000000005</v>
      </c>
      <c r="AF9" s="10">
        <v>4.29</v>
      </c>
      <c r="AG9" s="10">
        <v>3.17</v>
      </c>
      <c r="AH9" s="15">
        <v>5.9900000000000002E-2</v>
      </c>
      <c r="AI9" s="10">
        <f t="shared" si="1"/>
        <v>7.46</v>
      </c>
      <c r="AJ9" s="10">
        <v>0.02</v>
      </c>
      <c r="AK9" s="10">
        <v>10</v>
      </c>
      <c r="AL9" s="13">
        <v>0</v>
      </c>
      <c r="AM9" s="16">
        <v>40</v>
      </c>
      <c r="AN9" s="16">
        <v>40</v>
      </c>
      <c r="AO9" s="16">
        <v>2604.04</v>
      </c>
      <c r="AP9" s="10">
        <v>195.98199600000001</v>
      </c>
      <c r="AQ9" s="16">
        <v>42.3</v>
      </c>
      <c r="AR9" s="16">
        <v>2604.04</v>
      </c>
      <c r="AS9" s="10">
        <v>7.85</v>
      </c>
      <c r="AT9" s="13">
        <v>0</v>
      </c>
      <c r="AU9" s="10">
        <v>6.73</v>
      </c>
      <c r="AV9" s="17">
        <f t="shared" si="12"/>
        <v>4439.2780995026478</v>
      </c>
      <c r="AW9" s="17">
        <v>2329.1010038341615</v>
      </c>
      <c r="AX9" s="17">
        <v>2110.1770956684868</v>
      </c>
      <c r="AY9" s="17">
        <v>0</v>
      </c>
      <c r="BA9" s="18"/>
      <c r="BC9" s="19"/>
      <c r="BD9" s="19"/>
      <c r="BE9" s="19"/>
      <c r="BF9" s="19"/>
      <c r="BG9" s="19"/>
      <c r="BI9" s="16">
        <f t="shared" si="2"/>
        <v>0</v>
      </c>
      <c r="BJ9" s="16">
        <f t="shared" si="3"/>
        <v>0</v>
      </c>
      <c r="BK9" s="16">
        <f t="shared" si="4"/>
        <v>543.29999999999995</v>
      </c>
      <c r="BL9" s="16">
        <f t="shared" si="5"/>
        <v>543.29999999999995</v>
      </c>
      <c r="BM9" s="16">
        <f t="shared" si="6"/>
        <v>543.29999999999995</v>
      </c>
      <c r="BN9" s="16">
        <f t="shared" si="7"/>
        <v>543.29999999999995</v>
      </c>
      <c r="BO9" s="16">
        <f t="shared" si="8"/>
        <v>543.29999999999995</v>
      </c>
      <c r="BP9" s="16">
        <f t="shared" si="9"/>
        <v>0</v>
      </c>
    </row>
    <row r="10" spans="1:68" ht="12" customHeight="1" x14ac:dyDescent="0.25">
      <c r="A10" s="5">
        <f t="shared" si="13"/>
        <v>6</v>
      </c>
      <c r="B10" s="6" t="s">
        <v>78</v>
      </c>
      <c r="C10" s="7">
        <f t="shared" si="0"/>
        <v>724.96</v>
      </c>
      <c r="D10" s="8">
        <v>724.96</v>
      </c>
      <c r="E10" s="8">
        <v>0</v>
      </c>
      <c r="F10" s="8">
        <v>94.7</v>
      </c>
      <c r="G10" s="9">
        <v>0</v>
      </c>
      <c r="H10" s="9">
        <v>0</v>
      </c>
      <c r="I10" s="9">
        <v>0</v>
      </c>
      <c r="J10" s="9">
        <v>0</v>
      </c>
      <c r="K10" s="9" t="s">
        <v>71</v>
      </c>
      <c r="L10" s="10" t="s">
        <v>71</v>
      </c>
      <c r="M10" s="10">
        <v>0</v>
      </c>
      <c r="N10" s="10" t="s">
        <v>72</v>
      </c>
      <c r="O10" s="10" t="s">
        <v>72</v>
      </c>
      <c r="P10" s="5" t="s">
        <v>73</v>
      </c>
      <c r="Q10" s="11">
        <v>7</v>
      </c>
      <c r="R10" s="12">
        <v>28.44</v>
      </c>
      <c r="S10" s="10">
        <v>4.68</v>
      </c>
      <c r="T10" s="10">
        <v>6.05</v>
      </c>
      <c r="U10" s="10">
        <v>8.24</v>
      </c>
      <c r="V10" s="10">
        <v>6.34</v>
      </c>
      <c r="W10" s="10">
        <v>2.89</v>
      </c>
      <c r="X10" s="10">
        <v>0</v>
      </c>
      <c r="Y10" s="10">
        <v>0</v>
      </c>
      <c r="Z10" s="10">
        <v>0.24</v>
      </c>
      <c r="AA10" s="13">
        <v>1.2999999999999999E-2</v>
      </c>
      <c r="AB10" s="13">
        <v>1.2999999999999999E-2</v>
      </c>
      <c r="AC10" s="14">
        <f t="shared" si="10"/>
        <v>7.7870000000000001E-4</v>
      </c>
      <c r="AD10" s="13">
        <f t="shared" si="11"/>
        <v>2.5999999999999999E-2</v>
      </c>
      <c r="AE10" s="13">
        <v>0.68300000000000005</v>
      </c>
      <c r="AF10" s="10">
        <v>4.29</v>
      </c>
      <c r="AG10" s="10">
        <v>3.17</v>
      </c>
      <c r="AH10" s="15">
        <v>5.9900000000000002E-2</v>
      </c>
      <c r="AI10" s="10">
        <f t="shared" si="1"/>
        <v>7.46</v>
      </c>
      <c r="AJ10" s="10">
        <v>0.02</v>
      </c>
      <c r="AK10" s="10">
        <v>10</v>
      </c>
      <c r="AL10" s="13">
        <v>0</v>
      </c>
      <c r="AM10" s="16">
        <v>40</v>
      </c>
      <c r="AN10" s="16">
        <v>40</v>
      </c>
      <c r="AO10" s="16">
        <v>2604.04</v>
      </c>
      <c r="AP10" s="10">
        <v>195.98199600000001</v>
      </c>
      <c r="AQ10" s="16">
        <v>42.3</v>
      </c>
      <c r="AR10" s="16">
        <v>2604.04</v>
      </c>
      <c r="AS10" s="10">
        <v>7.85</v>
      </c>
      <c r="AT10" s="13">
        <v>0</v>
      </c>
      <c r="AU10" s="10">
        <v>6.73</v>
      </c>
      <c r="AV10" s="17">
        <f t="shared" si="12"/>
        <v>5746.3250035908222</v>
      </c>
      <c r="AW10" s="17">
        <v>3014.8520082616337</v>
      </c>
      <c r="AX10" s="17">
        <v>2731.4729953291885</v>
      </c>
      <c r="AY10" s="17">
        <v>0</v>
      </c>
      <c r="BA10" s="18"/>
      <c r="BC10" s="19"/>
      <c r="BD10" s="19"/>
      <c r="BE10" s="19"/>
      <c r="BF10" s="19"/>
      <c r="BG10" s="19"/>
      <c r="BI10" s="16">
        <f t="shared" si="2"/>
        <v>0</v>
      </c>
      <c r="BJ10" s="16">
        <f t="shared" si="3"/>
        <v>0</v>
      </c>
      <c r="BK10" s="16">
        <f t="shared" si="4"/>
        <v>724.96</v>
      </c>
      <c r="BL10" s="16">
        <f t="shared" si="5"/>
        <v>724.96</v>
      </c>
      <c r="BM10" s="16">
        <f t="shared" si="6"/>
        <v>724.96</v>
      </c>
      <c r="BN10" s="16">
        <f t="shared" si="7"/>
        <v>724.96</v>
      </c>
      <c r="BO10" s="16">
        <f t="shared" si="8"/>
        <v>724.96</v>
      </c>
      <c r="BP10" s="16">
        <f t="shared" si="9"/>
        <v>0</v>
      </c>
    </row>
    <row r="11" spans="1:68" ht="12" customHeight="1" x14ac:dyDescent="0.25">
      <c r="A11" s="5">
        <f t="shared" si="13"/>
        <v>7</v>
      </c>
      <c r="B11" s="6" t="s">
        <v>79</v>
      </c>
      <c r="C11" s="7">
        <f t="shared" si="0"/>
        <v>1102.18</v>
      </c>
      <c r="D11" s="8">
        <v>1102.18</v>
      </c>
      <c r="E11" s="8">
        <v>0</v>
      </c>
      <c r="F11" s="8">
        <v>139.9</v>
      </c>
      <c r="G11" s="9">
        <v>0</v>
      </c>
      <c r="H11" s="9">
        <v>0</v>
      </c>
      <c r="I11" s="9">
        <v>0</v>
      </c>
      <c r="J11" s="9">
        <v>0</v>
      </c>
      <c r="K11" s="9" t="s">
        <v>71</v>
      </c>
      <c r="L11" s="10" t="s">
        <v>71</v>
      </c>
      <c r="M11" s="10">
        <v>0</v>
      </c>
      <c r="N11" s="10" t="s">
        <v>72</v>
      </c>
      <c r="O11" s="10" t="s">
        <v>72</v>
      </c>
      <c r="P11" s="5" t="s">
        <v>73</v>
      </c>
      <c r="Q11" s="11">
        <v>7</v>
      </c>
      <c r="R11" s="12">
        <v>28.44</v>
      </c>
      <c r="S11" s="10">
        <v>4.68</v>
      </c>
      <c r="T11" s="10">
        <v>6.05</v>
      </c>
      <c r="U11" s="10">
        <v>8.24</v>
      </c>
      <c r="V11" s="10">
        <v>6.34</v>
      </c>
      <c r="W11" s="10">
        <v>2.89</v>
      </c>
      <c r="X11" s="10">
        <v>0</v>
      </c>
      <c r="Y11" s="10">
        <v>0</v>
      </c>
      <c r="Z11" s="10">
        <v>0.24</v>
      </c>
      <c r="AA11" s="13">
        <v>1.2999999999999999E-2</v>
      </c>
      <c r="AB11" s="13">
        <v>1.2999999999999999E-2</v>
      </c>
      <c r="AC11" s="14">
        <f t="shared" si="10"/>
        <v>7.7870000000000001E-4</v>
      </c>
      <c r="AD11" s="13">
        <f t="shared" si="11"/>
        <v>2.5999999999999999E-2</v>
      </c>
      <c r="AE11" s="13">
        <v>0.68300000000000005</v>
      </c>
      <c r="AF11" s="10">
        <v>4.29</v>
      </c>
      <c r="AG11" s="10">
        <v>3.17</v>
      </c>
      <c r="AH11" s="15">
        <v>5.9900000000000002E-2</v>
      </c>
      <c r="AI11" s="10">
        <f t="shared" si="1"/>
        <v>7.46</v>
      </c>
      <c r="AJ11" s="10">
        <v>0.02</v>
      </c>
      <c r="AK11" s="10">
        <v>10</v>
      </c>
      <c r="AL11" s="13">
        <v>0</v>
      </c>
      <c r="AM11" s="16">
        <v>40</v>
      </c>
      <c r="AN11" s="16">
        <v>40</v>
      </c>
      <c r="AO11" s="16">
        <v>2604.04</v>
      </c>
      <c r="AP11" s="10">
        <v>195.98199600000001</v>
      </c>
      <c r="AQ11" s="16">
        <v>42.3</v>
      </c>
      <c r="AR11" s="16">
        <v>2604.04</v>
      </c>
      <c r="AS11" s="10">
        <v>7.85</v>
      </c>
      <c r="AT11" s="13">
        <v>0</v>
      </c>
      <c r="AU11" s="10">
        <v>6.73</v>
      </c>
      <c r="AV11" s="17">
        <f t="shared" si="12"/>
        <v>7061.7581057740517</v>
      </c>
      <c r="AW11" s="17">
        <v>3705.0030080712163</v>
      </c>
      <c r="AX11" s="17">
        <v>3356.7550977028354</v>
      </c>
      <c r="AY11" s="17">
        <v>0</v>
      </c>
      <c r="BA11" s="18"/>
      <c r="BC11" s="19"/>
      <c r="BD11" s="19"/>
      <c r="BE11" s="19"/>
      <c r="BF11" s="19"/>
      <c r="BG11" s="19"/>
      <c r="BI11" s="16">
        <f t="shared" si="2"/>
        <v>0</v>
      </c>
      <c r="BJ11" s="16">
        <f t="shared" si="3"/>
        <v>0</v>
      </c>
      <c r="BK11" s="16">
        <f t="shared" si="4"/>
        <v>1102.18</v>
      </c>
      <c r="BL11" s="16">
        <f t="shared" si="5"/>
        <v>1102.18</v>
      </c>
      <c r="BM11" s="16">
        <f t="shared" si="6"/>
        <v>1102.18</v>
      </c>
      <c r="BN11" s="16">
        <f t="shared" si="7"/>
        <v>1102.18</v>
      </c>
      <c r="BO11" s="16">
        <f t="shared" si="8"/>
        <v>1102.18</v>
      </c>
      <c r="BP11" s="16">
        <f t="shared" si="9"/>
        <v>0</v>
      </c>
    </row>
    <row r="12" spans="1:68" ht="12" customHeight="1" x14ac:dyDescent="0.25">
      <c r="A12" s="5">
        <f t="shared" si="13"/>
        <v>8</v>
      </c>
      <c r="B12" s="6" t="s">
        <v>80</v>
      </c>
      <c r="C12" s="7">
        <f t="shared" si="0"/>
        <v>1647.35</v>
      </c>
      <c r="D12" s="8">
        <v>1311.85</v>
      </c>
      <c r="E12" s="8">
        <v>335.5</v>
      </c>
      <c r="F12" s="8">
        <v>230.1</v>
      </c>
      <c r="G12" s="9">
        <v>0</v>
      </c>
      <c r="H12" s="9">
        <v>0</v>
      </c>
      <c r="I12" s="9">
        <v>0</v>
      </c>
      <c r="J12" s="9">
        <v>0</v>
      </c>
      <c r="K12" s="9" t="s">
        <v>71</v>
      </c>
      <c r="L12" s="10" t="s">
        <v>71</v>
      </c>
      <c r="M12" s="10">
        <v>0</v>
      </c>
      <c r="N12" s="10" t="s">
        <v>72</v>
      </c>
      <c r="O12" s="10" t="s">
        <v>72</v>
      </c>
      <c r="P12" s="5" t="s">
        <v>73</v>
      </c>
      <c r="Q12" s="11">
        <v>7</v>
      </c>
      <c r="R12" s="12">
        <v>28.44</v>
      </c>
      <c r="S12" s="10">
        <v>4.68</v>
      </c>
      <c r="T12" s="10">
        <v>6.05</v>
      </c>
      <c r="U12" s="10">
        <v>8.24</v>
      </c>
      <c r="V12" s="10">
        <v>6.34</v>
      </c>
      <c r="W12" s="10">
        <v>2.89</v>
      </c>
      <c r="X12" s="10">
        <v>0</v>
      </c>
      <c r="Y12" s="10">
        <v>0</v>
      </c>
      <c r="Z12" s="10">
        <v>0.24</v>
      </c>
      <c r="AA12" s="13">
        <v>1.2999999999999999E-2</v>
      </c>
      <c r="AB12" s="13">
        <v>1.2999999999999999E-2</v>
      </c>
      <c r="AC12" s="14">
        <f t="shared" si="10"/>
        <v>7.7870000000000001E-4</v>
      </c>
      <c r="AD12" s="13">
        <f t="shared" si="11"/>
        <v>2.5999999999999999E-2</v>
      </c>
      <c r="AE12" s="13">
        <v>0.68300000000000005</v>
      </c>
      <c r="AF12" s="10">
        <v>4.29</v>
      </c>
      <c r="AG12" s="10">
        <v>3.17</v>
      </c>
      <c r="AH12" s="15">
        <v>5.9900000000000002E-2</v>
      </c>
      <c r="AI12" s="10">
        <f t="shared" si="1"/>
        <v>7.46</v>
      </c>
      <c r="AJ12" s="10">
        <v>0.02</v>
      </c>
      <c r="AK12" s="10">
        <v>10</v>
      </c>
      <c r="AL12" s="13">
        <v>0</v>
      </c>
      <c r="AM12" s="16">
        <v>40</v>
      </c>
      <c r="AN12" s="16">
        <v>40</v>
      </c>
      <c r="AO12" s="16">
        <v>2604.04</v>
      </c>
      <c r="AP12" s="10">
        <v>195.98199600000001</v>
      </c>
      <c r="AQ12" s="16">
        <v>42.3</v>
      </c>
      <c r="AR12" s="16">
        <v>2604.04</v>
      </c>
      <c r="AS12" s="10">
        <v>7.85</v>
      </c>
      <c r="AT12" s="13">
        <v>0</v>
      </c>
      <c r="AU12" s="10">
        <v>6.73</v>
      </c>
      <c r="AV12" s="17">
        <f t="shared" si="12"/>
        <v>13478.413440321503</v>
      </c>
      <c r="AW12" s="17">
        <v>7071.5511989442657</v>
      </c>
      <c r="AX12" s="17">
        <v>6406.8622413772382</v>
      </c>
      <c r="AY12" s="17">
        <v>0</v>
      </c>
      <c r="BA12" s="18"/>
      <c r="BC12" s="19"/>
      <c r="BD12" s="19"/>
      <c r="BE12" s="19"/>
      <c r="BF12" s="19"/>
      <c r="BG12" s="19"/>
      <c r="BI12" s="16">
        <f t="shared" si="2"/>
        <v>0</v>
      </c>
      <c r="BJ12" s="16">
        <f t="shared" si="3"/>
        <v>0</v>
      </c>
      <c r="BK12" s="16">
        <f t="shared" si="4"/>
        <v>1647.35</v>
      </c>
      <c r="BL12" s="16">
        <f t="shared" si="5"/>
        <v>1647.35</v>
      </c>
      <c r="BM12" s="16">
        <f t="shared" si="6"/>
        <v>1647.35</v>
      </c>
      <c r="BN12" s="16">
        <f t="shared" si="7"/>
        <v>1647.35</v>
      </c>
      <c r="BO12" s="16">
        <f t="shared" si="8"/>
        <v>1647.35</v>
      </c>
      <c r="BP12" s="16">
        <f t="shared" si="9"/>
        <v>0</v>
      </c>
    </row>
    <row r="13" spans="1:68" ht="12" customHeight="1" x14ac:dyDescent="0.25">
      <c r="A13" s="5">
        <f t="shared" si="13"/>
        <v>9</v>
      </c>
      <c r="B13" s="6" t="s">
        <v>81</v>
      </c>
      <c r="C13" s="7">
        <f t="shared" si="0"/>
        <v>553.4</v>
      </c>
      <c r="D13" s="8">
        <v>553.4</v>
      </c>
      <c r="E13" s="8">
        <v>0</v>
      </c>
      <c r="F13" s="8">
        <v>82.8</v>
      </c>
      <c r="G13" s="9">
        <v>0</v>
      </c>
      <c r="H13" s="9">
        <v>0</v>
      </c>
      <c r="I13" s="9">
        <v>0</v>
      </c>
      <c r="J13" s="9">
        <v>0</v>
      </c>
      <c r="K13" s="9" t="s">
        <v>71</v>
      </c>
      <c r="L13" s="10" t="s">
        <v>71</v>
      </c>
      <c r="M13" s="10">
        <v>0</v>
      </c>
      <c r="N13" s="10" t="s">
        <v>72</v>
      </c>
      <c r="O13" s="10" t="s">
        <v>72</v>
      </c>
      <c r="P13" s="5" t="s">
        <v>73</v>
      </c>
      <c r="Q13" s="11">
        <v>7</v>
      </c>
      <c r="R13" s="12">
        <v>28.44</v>
      </c>
      <c r="S13" s="10">
        <v>4.68</v>
      </c>
      <c r="T13" s="10">
        <v>6.05</v>
      </c>
      <c r="U13" s="10">
        <v>8.24</v>
      </c>
      <c r="V13" s="10">
        <v>6.34</v>
      </c>
      <c r="W13" s="10">
        <v>2.89</v>
      </c>
      <c r="X13" s="10">
        <v>0</v>
      </c>
      <c r="Y13" s="10">
        <v>0</v>
      </c>
      <c r="Z13" s="10">
        <v>0.24</v>
      </c>
      <c r="AA13" s="13">
        <v>1.2999999999999999E-2</v>
      </c>
      <c r="AB13" s="13">
        <v>1.2999999999999999E-2</v>
      </c>
      <c r="AC13" s="14">
        <f t="shared" si="10"/>
        <v>7.7870000000000001E-4</v>
      </c>
      <c r="AD13" s="13">
        <f t="shared" si="11"/>
        <v>2.5999999999999999E-2</v>
      </c>
      <c r="AE13" s="13">
        <v>0.68300000000000005</v>
      </c>
      <c r="AF13" s="10">
        <v>4.29</v>
      </c>
      <c r="AG13" s="10">
        <v>3.17</v>
      </c>
      <c r="AH13" s="15">
        <v>5.9900000000000002E-2</v>
      </c>
      <c r="AI13" s="10">
        <f t="shared" si="1"/>
        <v>7.46</v>
      </c>
      <c r="AJ13" s="10">
        <v>0.02</v>
      </c>
      <c r="AK13" s="10">
        <v>10</v>
      </c>
      <c r="AL13" s="13">
        <v>0</v>
      </c>
      <c r="AM13" s="16">
        <v>40</v>
      </c>
      <c r="AN13" s="16">
        <v>40</v>
      </c>
      <c r="AO13" s="16">
        <v>2604.04</v>
      </c>
      <c r="AP13" s="10">
        <v>195.98199600000001</v>
      </c>
      <c r="AQ13" s="16">
        <v>42.3</v>
      </c>
      <c r="AR13" s="16">
        <v>2604.04</v>
      </c>
      <c r="AS13" s="10">
        <v>7.85</v>
      </c>
      <c r="AT13" s="13">
        <v>0</v>
      </c>
      <c r="AU13" s="10">
        <v>6.73</v>
      </c>
      <c r="AV13" s="17">
        <f t="shared" si="12"/>
        <v>4521.8021508229122</v>
      </c>
      <c r="AW13" s="17">
        <v>2372.3975101176829</v>
      </c>
      <c r="AX13" s="17">
        <v>2149.4046407052297</v>
      </c>
      <c r="AY13" s="17">
        <v>0</v>
      </c>
      <c r="BA13" s="18"/>
      <c r="BC13" s="19"/>
      <c r="BD13" s="19"/>
      <c r="BE13" s="19"/>
      <c r="BF13" s="19"/>
      <c r="BG13" s="19"/>
      <c r="BI13" s="16">
        <f t="shared" si="2"/>
        <v>0</v>
      </c>
      <c r="BJ13" s="16">
        <f t="shared" si="3"/>
        <v>0</v>
      </c>
      <c r="BK13" s="16">
        <f t="shared" si="4"/>
        <v>553.4</v>
      </c>
      <c r="BL13" s="16">
        <f t="shared" si="5"/>
        <v>553.4</v>
      </c>
      <c r="BM13" s="16">
        <f t="shared" si="6"/>
        <v>553.4</v>
      </c>
      <c r="BN13" s="16">
        <f t="shared" si="7"/>
        <v>553.4</v>
      </c>
      <c r="BO13" s="16">
        <f t="shared" si="8"/>
        <v>553.4</v>
      </c>
      <c r="BP13" s="16">
        <f t="shared" si="9"/>
        <v>0</v>
      </c>
    </row>
    <row r="14" spans="1:68" ht="12" customHeight="1" x14ac:dyDescent="0.25">
      <c r="A14" s="5">
        <f t="shared" si="13"/>
        <v>10</v>
      </c>
      <c r="B14" s="6" t="s">
        <v>82</v>
      </c>
      <c r="C14" s="7">
        <f t="shared" si="0"/>
        <v>2262.31</v>
      </c>
      <c r="D14" s="8">
        <v>2262.31</v>
      </c>
      <c r="E14" s="8">
        <v>0</v>
      </c>
      <c r="F14" s="8">
        <v>484.5</v>
      </c>
      <c r="G14" s="9">
        <v>1</v>
      </c>
      <c r="H14" s="9">
        <v>0</v>
      </c>
      <c r="I14" s="9">
        <v>400</v>
      </c>
      <c r="J14" s="9">
        <v>0</v>
      </c>
      <c r="K14" s="9" t="s">
        <v>83</v>
      </c>
      <c r="L14" s="10" t="s">
        <v>71</v>
      </c>
      <c r="M14" s="10">
        <v>0</v>
      </c>
      <c r="N14" s="10" t="s">
        <v>72</v>
      </c>
      <c r="O14" s="10" t="s">
        <v>72</v>
      </c>
      <c r="P14" s="5" t="s">
        <v>73</v>
      </c>
      <c r="Q14" s="11">
        <v>3</v>
      </c>
      <c r="R14" s="12">
        <v>41.34</v>
      </c>
      <c r="S14" s="10">
        <v>4.68</v>
      </c>
      <c r="T14" s="10">
        <v>7.92</v>
      </c>
      <c r="U14" s="10">
        <v>12.32</v>
      </c>
      <c r="V14" s="10">
        <v>6.34</v>
      </c>
      <c r="W14" s="10">
        <v>2.89</v>
      </c>
      <c r="X14" s="10">
        <v>1.66</v>
      </c>
      <c r="Y14" s="10">
        <v>5.29</v>
      </c>
      <c r="Z14" s="10">
        <v>0.24</v>
      </c>
      <c r="AA14" s="13">
        <v>1.2E-2</v>
      </c>
      <c r="AB14" s="13">
        <v>1.2E-2</v>
      </c>
      <c r="AC14" s="14">
        <f t="shared" si="10"/>
        <v>7.1880000000000002E-4</v>
      </c>
      <c r="AD14" s="13">
        <f t="shared" si="11"/>
        <v>2.4E-2</v>
      </c>
      <c r="AE14" s="13">
        <v>3.23</v>
      </c>
      <c r="AF14" s="10">
        <v>4.29</v>
      </c>
      <c r="AG14" s="10">
        <v>3.17</v>
      </c>
      <c r="AH14" s="15">
        <v>5.9900000000000002E-2</v>
      </c>
      <c r="AI14" s="10">
        <f t="shared" si="1"/>
        <v>7.46</v>
      </c>
      <c r="AJ14" s="10">
        <v>0.02</v>
      </c>
      <c r="AK14" s="10">
        <v>10</v>
      </c>
      <c r="AL14" s="13">
        <v>0</v>
      </c>
      <c r="AM14" s="16">
        <v>40</v>
      </c>
      <c r="AN14" s="16">
        <v>40</v>
      </c>
      <c r="AO14" s="16">
        <v>2604.04</v>
      </c>
      <c r="AP14" s="10">
        <v>195.98199600000001</v>
      </c>
      <c r="AQ14" s="16">
        <v>42.3</v>
      </c>
      <c r="AR14" s="16">
        <v>2604.04</v>
      </c>
      <c r="AS14" s="10">
        <v>7.85</v>
      </c>
      <c r="AT14" s="13">
        <v>0</v>
      </c>
      <c r="AU14" s="10">
        <v>6.73</v>
      </c>
      <c r="AV14" s="17">
        <f t="shared" si="12"/>
        <v>23044.251676630178</v>
      </c>
      <c r="AW14" s="17">
        <v>9698.8449932669428</v>
      </c>
      <c r="AX14" s="17">
        <v>8787.2045707428679</v>
      </c>
      <c r="AY14" s="17">
        <v>4558.2021126203681</v>
      </c>
      <c r="BA14" s="18"/>
      <c r="BC14" s="19"/>
      <c r="BD14" s="19"/>
      <c r="BE14" s="19"/>
      <c r="BF14" s="19"/>
      <c r="BG14" s="19"/>
      <c r="BI14" s="16">
        <f t="shared" si="2"/>
        <v>0</v>
      </c>
      <c r="BJ14" s="16">
        <f t="shared" si="3"/>
        <v>2262.31</v>
      </c>
      <c r="BK14" s="16">
        <f t="shared" si="4"/>
        <v>2262.31</v>
      </c>
      <c r="BL14" s="16">
        <f t="shared" si="5"/>
        <v>2262.31</v>
      </c>
      <c r="BM14" s="16">
        <f t="shared" si="6"/>
        <v>2262.31</v>
      </c>
      <c r="BN14" s="16">
        <f t="shared" si="7"/>
        <v>2262.31</v>
      </c>
      <c r="BO14" s="16">
        <f t="shared" si="8"/>
        <v>2262.31</v>
      </c>
      <c r="BP14" s="16">
        <f t="shared" si="9"/>
        <v>0</v>
      </c>
    </row>
    <row r="15" spans="1:68" ht="12" customHeight="1" x14ac:dyDescent="0.25">
      <c r="A15" s="5">
        <f t="shared" si="13"/>
        <v>11</v>
      </c>
      <c r="B15" s="6" t="s">
        <v>84</v>
      </c>
      <c r="C15" s="7">
        <f t="shared" si="0"/>
        <v>2252</v>
      </c>
      <c r="D15" s="8">
        <v>2252</v>
      </c>
      <c r="E15" s="8">
        <v>0</v>
      </c>
      <c r="F15" s="8">
        <v>485.9</v>
      </c>
      <c r="G15" s="9">
        <v>1</v>
      </c>
      <c r="H15" s="9">
        <v>0</v>
      </c>
      <c r="I15" s="9">
        <v>400</v>
      </c>
      <c r="J15" s="9">
        <v>0</v>
      </c>
      <c r="K15" s="9" t="s">
        <v>83</v>
      </c>
      <c r="L15" s="10" t="s">
        <v>71</v>
      </c>
      <c r="M15" s="10">
        <v>0</v>
      </c>
      <c r="N15" s="10" t="s">
        <v>72</v>
      </c>
      <c r="O15" s="10" t="s">
        <v>72</v>
      </c>
      <c r="P15" s="5" t="s">
        <v>73</v>
      </c>
      <c r="Q15" s="11">
        <v>3</v>
      </c>
      <c r="R15" s="12">
        <v>41.34</v>
      </c>
      <c r="S15" s="10">
        <v>4.68</v>
      </c>
      <c r="T15" s="10">
        <v>7.92</v>
      </c>
      <c r="U15" s="10">
        <v>12.32</v>
      </c>
      <c r="V15" s="10">
        <v>6.34</v>
      </c>
      <c r="W15" s="10">
        <v>2.89</v>
      </c>
      <c r="X15" s="10">
        <v>1.66</v>
      </c>
      <c r="Y15" s="10">
        <v>5.29</v>
      </c>
      <c r="Z15" s="10">
        <v>0.24</v>
      </c>
      <c r="AA15" s="13">
        <v>1.2E-2</v>
      </c>
      <c r="AB15" s="13">
        <v>1.2E-2</v>
      </c>
      <c r="AC15" s="14">
        <f t="shared" si="10"/>
        <v>7.1880000000000002E-4</v>
      </c>
      <c r="AD15" s="13">
        <f t="shared" si="11"/>
        <v>2.4E-2</v>
      </c>
      <c r="AE15" s="13">
        <v>3.23</v>
      </c>
      <c r="AF15" s="10">
        <v>4.29</v>
      </c>
      <c r="AG15" s="10">
        <v>3.17</v>
      </c>
      <c r="AH15" s="15">
        <v>5.9900000000000002E-2</v>
      </c>
      <c r="AI15" s="10">
        <f t="shared" si="1"/>
        <v>7.46</v>
      </c>
      <c r="AJ15" s="10">
        <v>0.02</v>
      </c>
      <c r="AK15" s="10">
        <v>10</v>
      </c>
      <c r="AL15" s="13">
        <v>0</v>
      </c>
      <c r="AM15" s="16">
        <v>40</v>
      </c>
      <c r="AN15" s="16">
        <v>40</v>
      </c>
      <c r="AO15" s="16">
        <v>2604.04</v>
      </c>
      <c r="AP15" s="10">
        <v>195.98199600000001</v>
      </c>
      <c r="AQ15" s="16">
        <v>42.3</v>
      </c>
      <c r="AR15" s="16">
        <v>2604.04</v>
      </c>
      <c r="AS15" s="10">
        <v>7.85</v>
      </c>
      <c r="AT15" s="13">
        <v>0</v>
      </c>
      <c r="AU15" s="10">
        <v>6.73</v>
      </c>
      <c r="AV15" s="17">
        <f t="shared" si="12"/>
        <v>22934.155240454627</v>
      </c>
      <c r="AW15" s="17">
        <v>9652.5140074095525</v>
      </c>
      <c r="AX15" s="17">
        <v>8745.2184079117014</v>
      </c>
      <c r="AY15" s="17">
        <v>4536.4228251333725</v>
      </c>
      <c r="BA15" s="18"/>
      <c r="BC15" s="19"/>
      <c r="BD15" s="19"/>
      <c r="BE15" s="19"/>
      <c r="BF15" s="19"/>
      <c r="BG15" s="19"/>
      <c r="BI15" s="16">
        <f t="shared" si="2"/>
        <v>0</v>
      </c>
      <c r="BJ15" s="16">
        <f t="shared" si="3"/>
        <v>2252</v>
      </c>
      <c r="BK15" s="16">
        <f t="shared" si="4"/>
        <v>2252</v>
      </c>
      <c r="BL15" s="16">
        <f t="shared" si="5"/>
        <v>2252</v>
      </c>
      <c r="BM15" s="16">
        <f t="shared" si="6"/>
        <v>2252</v>
      </c>
      <c r="BN15" s="16">
        <f t="shared" si="7"/>
        <v>2252</v>
      </c>
      <c r="BO15" s="16">
        <f t="shared" si="8"/>
        <v>2252</v>
      </c>
      <c r="BP15" s="16">
        <f t="shared" si="9"/>
        <v>0</v>
      </c>
    </row>
    <row r="16" spans="1:68" ht="12" customHeight="1" x14ac:dyDescent="0.25">
      <c r="A16" s="5">
        <f t="shared" si="13"/>
        <v>12</v>
      </c>
      <c r="B16" s="6" t="s">
        <v>85</v>
      </c>
      <c r="C16" s="7">
        <f t="shared" si="0"/>
        <v>2252.2800000000002</v>
      </c>
      <c r="D16" s="8">
        <v>2252.2800000000002</v>
      </c>
      <c r="E16" s="8">
        <v>0</v>
      </c>
      <c r="F16" s="8">
        <v>485.9</v>
      </c>
      <c r="G16" s="9">
        <v>1</v>
      </c>
      <c r="H16" s="9">
        <v>0</v>
      </c>
      <c r="I16" s="9">
        <v>400</v>
      </c>
      <c r="J16" s="9">
        <v>0</v>
      </c>
      <c r="K16" s="9" t="s">
        <v>83</v>
      </c>
      <c r="L16" s="10" t="s">
        <v>71</v>
      </c>
      <c r="M16" s="10">
        <v>0</v>
      </c>
      <c r="N16" s="10" t="s">
        <v>72</v>
      </c>
      <c r="O16" s="10" t="s">
        <v>72</v>
      </c>
      <c r="P16" s="5" t="s">
        <v>73</v>
      </c>
      <c r="Q16" s="11">
        <v>3</v>
      </c>
      <c r="R16" s="12">
        <v>41.34</v>
      </c>
      <c r="S16" s="10">
        <v>4.68</v>
      </c>
      <c r="T16" s="10">
        <v>7.92</v>
      </c>
      <c r="U16" s="10">
        <v>12.32</v>
      </c>
      <c r="V16" s="10">
        <v>6.34</v>
      </c>
      <c r="W16" s="10">
        <v>2.89</v>
      </c>
      <c r="X16" s="10">
        <v>1.66</v>
      </c>
      <c r="Y16" s="10">
        <v>5.29</v>
      </c>
      <c r="Z16" s="10">
        <v>0.24</v>
      </c>
      <c r="AA16" s="13">
        <v>1.2E-2</v>
      </c>
      <c r="AB16" s="13">
        <v>1.2E-2</v>
      </c>
      <c r="AC16" s="14">
        <f t="shared" si="10"/>
        <v>7.1880000000000002E-4</v>
      </c>
      <c r="AD16" s="13">
        <f t="shared" si="11"/>
        <v>2.4E-2</v>
      </c>
      <c r="AE16" s="13">
        <v>3.23</v>
      </c>
      <c r="AF16" s="10">
        <v>4.29</v>
      </c>
      <c r="AG16" s="10">
        <v>3.17</v>
      </c>
      <c r="AH16" s="15">
        <v>5.9900000000000002E-2</v>
      </c>
      <c r="AI16" s="10">
        <f t="shared" si="1"/>
        <v>7.46</v>
      </c>
      <c r="AJ16" s="10">
        <v>0.02</v>
      </c>
      <c r="AK16" s="10">
        <v>10</v>
      </c>
      <c r="AL16" s="13">
        <v>0</v>
      </c>
      <c r="AM16" s="16">
        <v>40</v>
      </c>
      <c r="AN16" s="16">
        <v>40</v>
      </c>
      <c r="AO16" s="16">
        <v>2604.04</v>
      </c>
      <c r="AP16" s="10">
        <v>195.98199600000001</v>
      </c>
      <c r="AQ16" s="16">
        <v>42.3</v>
      </c>
      <c r="AR16" s="16">
        <v>2604.04</v>
      </c>
      <c r="AS16" s="10">
        <v>7.85</v>
      </c>
      <c r="AT16" s="13">
        <v>0</v>
      </c>
      <c r="AU16" s="10">
        <v>6.73</v>
      </c>
      <c r="AV16" s="17">
        <f t="shared" si="12"/>
        <v>22848.596709560486</v>
      </c>
      <c r="AW16" s="17">
        <v>9616.5002521033166</v>
      </c>
      <c r="AX16" s="17">
        <v>8712.5977524926075</v>
      </c>
      <c r="AY16" s="17">
        <v>4519.4987049645661</v>
      </c>
      <c r="BA16" s="18"/>
      <c r="BC16" s="19"/>
      <c r="BD16" s="19"/>
      <c r="BE16" s="19"/>
      <c r="BF16" s="19"/>
      <c r="BG16" s="19"/>
      <c r="BI16" s="16">
        <f t="shared" si="2"/>
        <v>0</v>
      </c>
      <c r="BJ16" s="16">
        <f t="shared" si="3"/>
        <v>2252.2800000000002</v>
      </c>
      <c r="BK16" s="16">
        <f t="shared" si="4"/>
        <v>2252.2800000000002</v>
      </c>
      <c r="BL16" s="16">
        <f t="shared" si="5"/>
        <v>2252.2800000000002</v>
      </c>
      <c r="BM16" s="16">
        <f t="shared" si="6"/>
        <v>2252.2800000000002</v>
      </c>
      <c r="BN16" s="16">
        <f t="shared" si="7"/>
        <v>2252.2800000000002</v>
      </c>
      <c r="BO16" s="16">
        <f t="shared" si="8"/>
        <v>2252.2800000000002</v>
      </c>
      <c r="BP16" s="16">
        <f t="shared" si="9"/>
        <v>0</v>
      </c>
    </row>
    <row r="17" spans="1:68" ht="12" customHeight="1" x14ac:dyDescent="0.25">
      <c r="A17" s="5">
        <f t="shared" si="13"/>
        <v>13</v>
      </c>
      <c r="B17" s="6" t="s">
        <v>86</v>
      </c>
      <c r="C17" s="7">
        <f t="shared" si="0"/>
        <v>546.05999999999995</v>
      </c>
      <c r="D17" s="8">
        <v>546.05999999999995</v>
      </c>
      <c r="E17" s="8">
        <v>0</v>
      </c>
      <c r="F17" s="8">
        <v>89.7</v>
      </c>
      <c r="G17" s="9">
        <v>0</v>
      </c>
      <c r="H17" s="9">
        <v>0</v>
      </c>
      <c r="I17" s="9">
        <v>0</v>
      </c>
      <c r="J17" s="9">
        <v>0</v>
      </c>
      <c r="K17" s="9" t="s">
        <v>71</v>
      </c>
      <c r="L17" s="10" t="s">
        <v>71</v>
      </c>
      <c r="M17" s="10">
        <v>0</v>
      </c>
      <c r="N17" s="10" t="s">
        <v>72</v>
      </c>
      <c r="O17" s="10" t="s">
        <v>72</v>
      </c>
      <c r="P17" s="5" t="s">
        <v>73</v>
      </c>
      <c r="Q17" s="11">
        <v>7</v>
      </c>
      <c r="R17" s="12">
        <v>28.44</v>
      </c>
      <c r="S17" s="10">
        <v>4.68</v>
      </c>
      <c r="T17" s="10">
        <v>6.05</v>
      </c>
      <c r="U17" s="10">
        <v>8.24</v>
      </c>
      <c r="V17" s="10">
        <v>6.34</v>
      </c>
      <c r="W17" s="10">
        <v>2.89</v>
      </c>
      <c r="X17" s="10">
        <v>0</v>
      </c>
      <c r="Y17" s="10">
        <v>0</v>
      </c>
      <c r="Z17" s="10">
        <v>0.24</v>
      </c>
      <c r="AA17" s="13">
        <v>1.2999999999999999E-2</v>
      </c>
      <c r="AB17" s="13">
        <v>1.2999999999999999E-2</v>
      </c>
      <c r="AC17" s="14">
        <f t="shared" si="10"/>
        <v>7.7870000000000001E-4</v>
      </c>
      <c r="AD17" s="13">
        <f t="shared" si="11"/>
        <v>2.5999999999999999E-2</v>
      </c>
      <c r="AE17" s="13">
        <v>0.68300000000000005</v>
      </c>
      <c r="AF17" s="10">
        <v>4.29</v>
      </c>
      <c r="AG17" s="10">
        <v>3.17</v>
      </c>
      <c r="AH17" s="15">
        <v>5.9900000000000002E-2</v>
      </c>
      <c r="AI17" s="10">
        <f t="shared" si="1"/>
        <v>7.46</v>
      </c>
      <c r="AJ17" s="10">
        <v>0.02</v>
      </c>
      <c r="AK17" s="10">
        <v>10</v>
      </c>
      <c r="AL17" s="13">
        <v>0</v>
      </c>
      <c r="AM17" s="16">
        <v>40</v>
      </c>
      <c r="AN17" s="16">
        <v>40</v>
      </c>
      <c r="AO17" s="16">
        <v>2604.04</v>
      </c>
      <c r="AP17" s="10">
        <v>195.98199600000001</v>
      </c>
      <c r="AQ17" s="16">
        <v>42.3</v>
      </c>
      <c r="AR17" s="16">
        <v>2604.04</v>
      </c>
      <c r="AS17" s="10">
        <v>7.85</v>
      </c>
      <c r="AT17" s="13">
        <v>0</v>
      </c>
      <c r="AU17" s="10">
        <v>6.73</v>
      </c>
      <c r="AV17" s="17">
        <f t="shared" si="12"/>
        <v>4450.7815357054069</v>
      </c>
      <c r="AW17" s="17">
        <v>2335.1423768039554</v>
      </c>
      <c r="AX17" s="17">
        <v>2115.6391589014515</v>
      </c>
      <c r="AY17" s="17">
        <v>0</v>
      </c>
      <c r="BA17" s="18"/>
      <c r="BC17" s="19"/>
      <c r="BD17" s="19" t="s">
        <v>87</v>
      </c>
      <c r="BE17" s="19" t="s">
        <v>87</v>
      </c>
      <c r="BF17" s="19"/>
      <c r="BG17" s="19" t="s">
        <v>87</v>
      </c>
      <c r="BI17" s="16">
        <f t="shared" si="2"/>
        <v>0</v>
      </c>
      <c r="BJ17" s="16">
        <f t="shared" si="3"/>
        <v>0</v>
      </c>
      <c r="BK17" s="16">
        <f t="shared" si="4"/>
        <v>546.05999999999995</v>
      </c>
      <c r="BL17" s="16">
        <f t="shared" si="5"/>
        <v>546.05999999999995</v>
      </c>
      <c r="BM17" s="16">
        <f t="shared" si="6"/>
        <v>546.05999999999995</v>
      </c>
      <c r="BN17" s="16">
        <f t="shared" si="7"/>
        <v>546.05999999999995</v>
      </c>
      <c r="BO17" s="16">
        <f t="shared" si="8"/>
        <v>546.05999999999995</v>
      </c>
      <c r="BP17" s="16">
        <f t="shared" si="9"/>
        <v>0</v>
      </c>
    </row>
    <row r="18" spans="1:68" ht="12" customHeight="1" x14ac:dyDescent="0.25">
      <c r="A18" s="5">
        <f t="shared" si="13"/>
        <v>14</v>
      </c>
      <c r="B18" s="6" t="s">
        <v>88</v>
      </c>
      <c r="C18" s="7">
        <f t="shared" si="0"/>
        <v>560.67999999999995</v>
      </c>
      <c r="D18" s="8">
        <v>560.67999999999995</v>
      </c>
      <c r="E18" s="8">
        <v>0</v>
      </c>
      <c r="F18" s="8">
        <v>100</v>
      </c>
      <c r="G18" s="9">
        <v>0</v>
      </c>
      <c r="H18" s="9">
        <v>0</v>
      </c>
      <c r="I18" s="9">
        <v>0</v>
      </c>
      <c r="J18" s="9">
        <v>0</v>
      </c>
      <c r="K18" s="9" t="s">
        <v>71</v>
      </c>
      <c r="L18" s="10" t="s">
        <v>71</v>
      </c>
      <c r="M18" s="10">
        <v>0</v>
      </c>
      <c r="N18" s="10" t="s">
        <v>72</v>
      </c>
      <c r="O18" s="10" t="s">
        <v>72</v>
      </c>
      <c r="P18" s="5" t="s">
        <v>73</v>
      </c>
      <c r="Q18" s="11">
        <v>7</v>
      </c>
      <c r="R18" s="12">
        <v>28.44</v>
      </c>
      <c r="S18" s="10">
        <v>4.68</v>
      </c>
      <c r="T18" s="10">
        <v>6.05</v>
      </c>
      <c r="U18" s="10">
        <v>8.24</v>
      </c>
      <c r="V18" s="10">
        <v>6.34</v>
      </c>
      <c r="W18" s="10">
        <v>2.89</v>
      </c>
      <c r="X18" s="10">
        <v>0</v>
      </c>
      <c r="Y18" s="10">
        <v>0</v>
      </c>
      <c r="Z18" s="10">
        <v>0.24</v>
      </c>
      <c r="AA18" s="13">
        <v>1.2999999999999999E-2</v>
      </c>
      <c r="AB18" s="13">
        <v>1.2999999999999999E-2</v>
      </c>
      <c r="AC18" s="14">
        <f t="shared" si="10"/>
        <v>7.7870000000000001E-4</v>
      </c>
      <c r="AD18" s="13">
        <f t="shared" si="11"/>
        <v>2.5999999999999999E-2</v>
      </c>
      <c r="AE18" s="13">
        <v>0.68300000000000005</v>
      </c>
      <c r="AF18" s="10">
        <v>4.29</v>
      </c>
      <c r="AG18" s="10">
        <v>3.17</v>
      </c>
      <c r="AH18" s="15">
        <v>5.9900000000000002E-2</v>
      </c>
      <c r="AI18" s="10">
        <f t="shared" si="1"/>
        <v>7.46</v>
      </c>
      <c r="AJ18" s="10">
        <v>0.02</v>
      </c>
      <c r="AK18" s="10">
        <v>10</v>
      </c>
      <c r="AL18" s="13">
        <v>0</v>
      </c>
      <c r="AM18" s="16">
        <v>40</v>
      </c>
      <c r="AN18" s="16">
        <v>40</v>
      </c>
      <c r="AO18" s="16">
        <v>2604.04</v>
      </c>
      <c r="AP18" s="10">
        <v>195.98199600000001</v>
      </c>
      <c r="AQ18" s="16">
        <v>42.3</v>
      </c>
      <c r="AR18" s="16">
        <v>2604.04</v>
      </c>
      <c r="AS18" s="10">
        <v>7.85</v>
      </c>
      <c r="AT18" s="13">
        <v>0</v>
      </c>
      <c r="AU18" s="10">
        <v>6.73</v>
      </c>
      <c r="AV18" s="17">
        <f t="shared" si="12"/>
        <v>4411.3333012451094</v>
      </c>
      <c r="AW18" s="17">
        <v>2314.4389502567856</v>
      </c>
      <c r="AX18" s="17">
        <v>2096.8943509883243</v>
      </c>
      <c r="AY18" s="17">
        <v>0</v>
      </c>
      <c r="BA18" s="18"/>
      <c r="BC18" s="19"/>
      <c r="BD18" s="19" t="s">
        <v>87</v>
      </c>
      <c r="BE18" s="19" t="s">
        <v>87</v>
      </c>
      <c r="BF18" s="19"/>
      <c r="BG18" s="19" t="s">
        <v>87</v>
      </c>
      <c r="BI18" s="16">
        <f t="shared" si="2"/>
        <v>0</v>
      </c>
      <c r="BJ18" s="16">
        <f t="shared" si="3"/>
        <v>0</v>
      </c>
      <c r="BK18" s="16">
        <f t="shared" si="4"/>
        <v>560.67999999999995</v>
      </c>
      <c r="BL18" s="16">
        <f t="shared" si="5"/>
        <v>560.67999999999995</v>
      </c>
      <c r="BM18" s="16">
        <f t="shared" si="6"/>
        <v>560.67999999999995</v>
      </c>
      <c r="BN18" s="16">
        <f t="shared" si="7"/>
        <v>560.67999999999995</v>
      </c>
      <c r="BO18" s="16">
        <f t="shared" si="8"/>
        <v>560.67999999999995</v>
      </c>
      <c r="BP18" s="16">
        <f t="shared" si="9"/>
        <v>0</v>
      </c>
    </row>
    <row r="19" spans="1:68" ht="12" customHeight="1" x14ac:dyDescent="0.25">
      <c r="A19" s="5">
        <f t="shared" si="13"/>
        <v>15</v>
      </c>
      <c r="B19" s="6" t="s">
        <v>89</v>
      </c>
      <c r="C19" s="7">
        <f t="shared" si="0"/>
        <v>642.20000000000005</v>
      </c>
      <c r="D19" s="8">
        <v>642.20000000000005</v>
      </c>
      <c r="E19" s="8">
        <v>0</v>
      </c>
      <c r="F19" s="8">
        <v>65.400000000000006</v>
      </c>
      <c r="G19" s="9">
        <v>0</v>
      </c>
      <c r="H19" s="9">
        <v>0</v>
      </c>
      <c r="I19" s="9">
        <v>0</v>
      </c>
      <c r="J19" s="9">
        <v>0</v>
      </c>
      <c r="K19" s="9" t="s">
        <v>71</v>
      </c>
      <c r="L19" s="10" t="s">
        <v>71</v>
      </c>
      <c r="M19" s="10">
        <v>0</v>
      </c>
      <c r="N19" s="10" t="s">
        <v>72</v>
      </c>
      <c r="O19" s="10" t="s">
        <v>72</v>
      </c>
      <c r="P19" s="5" t="s">
        <v>73</v>
      </c>
      <c r="Q19" s="11">
        <v>7</v>
      </c>
      <c r="R19" s="12">
        <v>28.44</v>
      </c>
      <c r="S19" s="10">
        <v>4.68</v>
      </c>
      <c r="T19" s="10">
        <v>6.05</v>
      </c>
      <c r="U19" s="10">
        <v>8.24</v>
      </c>
      <c r="V19" s="10">
        <v>6.34</v>
      </c>
      <c r="W19" s="10">
        <v>2.89</v>
      </c>
      <c r="X19" s="10">
        <v>0</v>
      </c>
      <c r="Y19" s="10">
        <v>0</v>
      </c>
      <c r="Z19" s="10">
        <v>0.24</v>
      </c>
      <c r="AA19" s="13">
        <v>1.2999999999999999E-2</v>
      </c>
      <c r="AB19" s="13">
        <v>1.2999999999999999E-2</v>
      </c>
      <c r="AC19" s="14">
        <f t="shared" si="10"/>
        <v>7.7870000000000001E-4</v>
      </c>
      <c r="AD19" s="13">
        <f t="shared" si="11"/>
        <v>2.5999999999999999E-2</v>
      </c>
      <c r="AE19" s="13">
        <v>0.68300000000000005</v>
      </c>
      <c r="AF19" s="10">
        <v>4.29</v>
      </c>
      <c r="AG19" s="10">
        <v>3.17</v>
      </c>
      <c r="AH19" s="15">
        <v>5.9900000000000002E-2</v>
      </c>
      <c r="AI19" s="10">
        <f t="shared" si="1"/>
        <v>7.46</v>
      </c>
      <c r="AJ19" s="10">
        <v>0.02</v>
      </c>
      <c r="AK19" s="10">
        <v>10</v>
      </c>
      <c r="AL19" s="13">
        <v>0</v>
      </c>
      <c r="AM19" s="16">
        <v>40</v>
      </c>
      <c r="AN19" s="16">
        <v>40</v>
      </c>
      <c r="AO19" s="16">
        <v>2604.04</v>
      </c>
      <c r="AP19" s="10">
        <v>195.98199600000001</v>
      </c>
      <c r="AQ19" s="16">
        <v>42.3</v>
      </c>
      <c r="AR19" s="16">
        <v>2604.04</v>
      </c>
      <c r="AS19" s="10">
        <v>7.85</v>
      </c>
      <c r="AT19" s="13">
        <v>0</v>
      </c>
      <c r="AU19" s="10">
        <v>6.73</v>
      </c>
      <c r="AV19" s="17">
        <f t="shared" si="12"/>
        <v>5250.6565582882968</v>
      </c>
      <c r="AW19" s="17">
        <v>2754.7971087810629</v>
      </c>
      <c r="AX19" s="17">
        <v>2495.8594495072339</v>
      </c>
      <c r="AY19" s="17">
        <v>0</v>
      </c>
      <c r="BA19" s="18"/>
      <c r="BC19" s="19"/>
      <c r="BD19" s="19" t="s">
        <v>87</v>
      </c>
      <c r="BE19" s="19" t="s">
        <v>87</v>
      </c>
      <c r="BF19" s="19"/>
      <c r="BG19" s="19" t="s">
        <v>87</v>
      </c>
      <c r="BI19" s="16">
        <f t="shared" si="2"/>
        <v>0</v>
      </c>
      <c r="BJ19" s="16">
        <f t="shared" si="3"/>
        <v>0</v>
      </c>
      <c r="BK19" s="16">
        <f t="shared" si="4"/>
        <v>642.20000000000005</v>
      </c>
      <c r="BL19" s="16">
        <f t="shared" si="5"/>
        <v>642.20000000000005</v>
      </c>
      <c r="BM19" s="16">
        <f t="shared" si="6"/>
        <v>642.20000000000005</v>
      </c>
      <c r="BN19" s="16">
        <f t="shared" si="7"/>
        <v>642.20000000000005</v>
      </c>
      <c r="BO19" s="16">
        <f t="shared" si="8"/>
        <v>642.20000000000005</v>
      </c>
      <c r="BP19" s="16">
        <f t="shared" si="9"/>
        <v>0</v>
      </c>
    </row>
    <row r="20" spans="1:68" ht="12" customHeight="1" x14ac:dyDescent="0.25">
      <c r="A20" s="5">
        <f t="shared" si="13"/>
        <v>16</v>
      </c>
      <c r="B20" s="6" t="s">
        <v>90</v>
      </c>
      <c r="C20" s="7">
        <f t="shared" si="0"/>
        <v>646.79999999999995</v>
      </c>
      <c r="D20" s="8">
        <v>646.79999999999995</v>
      </c>
      <c r="E20" s="8">
        <v>0</v>
      </c>
      <c r="F20" s="8">
        <v>65.400000000000006</v>
      </c>
      <c r="G20" s="9">
        <v>0</v>
      </c>
      <c r="H20" s="9">
        <v>0</v>
      </c>
      <c r="I20" s="9">
        <v>0</v>
      </c>
      <c r="J20" s="9">
        <v>0</v>
      </c>
      <c r="K20" s="9" t="s">
        <v>71</v>
      </c>
      <c r="L20" s="10" t="s">
        <v>71</v>
      </c>
      <c r="M20" s="10">
        <v>0</v>
      </c>
      <c r="N20" s="10" t="s">
        <v>72</v>
      </c>
      <c r="O20" s="10" t="s">
        <v>72</v>
      </c>
      <c r="P20" s="5" t="s">
        <v>73</v>
      </c>
      <c r="Q20" s="11">
        <v>7</v>
      </c>
      <c r="R20" s="12">
        <v>28.44</v>
      </c>
      <c r="S20" s="10">
        <v>4.68</v>
      </c>
      <c r="T20" s="10">
        <v>6.05</v>
      </c>
      <c r="U20" s="10">
        <v>8.24</v>
      </c>
      <c r="V20" s="10">
        <v>6.34</v>
      </c>
      <c r="W20" s="10">
        <v>2.89</v>
      </c>
      <c r="X20" s="10">
        <v>0</v>
      </c>
      <c r="Y20" s="10">
        <v>0</v>
      </c>
      <c r="Z20" s="10">
        <v>0.24</v>
      </c>
      <c r="AA20" s="13">
        <v>1.2999999999999999E-2</v>
      </c>
      <c r="AB20" s="13">
        <v>1.2999999999999999E-2</v>
      </c>
      <c r="AC20" s="14">
        <f t="shared" si="10"/>
        <v>7.7870000000000001E-4</v>
      </c>
      <c r="AD20" s="13">
        <f t="shared" si="11"/>
        <v>2.5999999999999999E-2</v>
      </c>
      <c r="AE20" s="13">
        <v>0.68300000000000005</v>
      </c>
      <c r="AF20" s="10">
        <v>4.29</v>
      </c>
      <c r="AG20" s="10">
        <v>3.17</v>
      </c>
      <c r="AH20" s="15">
        <v>5.9900000000000002E-2</v>
      </c>
      <c r="AI20" s="10">
        <f t="shared" si="1"/>
        <v>7.46</v>
      </c>
      <c r="AJ20" s="10">
        <v>0.02</v>
      </c>
      <c r="AK20" s="10">
        <v>10</v>
      </c>
      <c r="AL20" s="13">
        <v>0</v>
      </c>
      <c r="AM20" s="16">
        <v>40</v>
      </c>
      <c r="AN20" s="16">
        <v>40</v>
      </c>
      <c r="AO20" s="16">
        <v>2604.04</v>
      </c>
      <c r="AP20" s="10">
        <v>195.98199600000001</v>
      </c>
      <c r="AQ20" s="16">
        <v>42.3</v>
      </c>
      <c r="AR20" s="16">
        <v>2604.04</v>
      </c>
      <c r="AS20" s="10">
        <v>7.85</v>
      </c>
      <c r="AT20" s="13">
        <v>0</v>
      </c>
      <c r="AU20" s="10">
        <v>6.73</v>
      </c>
      <c r="AV20" s="17">
        <f t="shared" si="12"/>
        <v>5284.1461783126324</v>
      </c>
      <c r="AW20" s="17">
        <v>2772.3695041315586</v>
      </c>
      <c r="AX20" s="17">
        <v>2511.7766741810738</v>
      </c>
      <c r="AY20" s="17">
        <v>0</v>
      </c>
      <c r="BA20" s="18"/>
      <c r="BC20" s="19"/>
      <c r="BD20" s="19" t="s">
        <v>87</v>
      </c>
      <c r="BE20" s="19" t="s">
        <v>87</v>
      </c>
      <c r="BF20" s="19"/>
      <c r="BG20" s="19" t="s">
        <v>87</v>
      </c>
      <c r="BI20" s="16">
        <f t="shared" si="2"/>
        <v>0</v>
      </c>
      <c r="BJ20" s="16">
        <f t="shared" si="3"/>
        <v>0</v>
      </c>
      <c r="BK20" s="16">
        <f t="shared" si="4"/>
        <v>646.79999999999995</v>
      </c>
      <c r="BL20" s="16">
        <f t="shared" si="5"/>
        <v>646.79999999999995</v>
      </c>
      <c r="BM20" s="16">
        <f t="shared" si="6"/>
        <v>646.79999999999995</v>
      </c>
      <c r="BN20" s="16">
        <f t="shared" si="7"/>
        <v>646.79999999999995</v>
      </c>
      <c r="BO20" s="16">
        <f t="shared" si="8"/>
        <v>646.79999999999995</v>
      </c>
      <c r="BP20" s="16">
        <f t="shared" si="9"/>
        <v>0</v>
      </c>
    </row>
    <row r="21" spans="1:68" ht="12" customHeight="1" x14ac:dyDescent="0.25">
      <c r="A21" s="5">
        <f t="shared" si="13"/>
        <v>17</v>
      </c>
      <c r="B21" s="6" t="s">
        <v>91</v>
      </c>
      <c r="C21" s="7">
        <f t="shared" si="0"/>
        <v>633</v>
      </c>
      <c r="D21" s="8">
        <v>633</v>
      </c>
      <c r="E21" s="8">
        <v>0</v>
      </c>
      <c r="F21" s="8">
        <v>65.400000000000006</v>
      </c>
      <c r="G21" s="9">
        <v>0</v>
      </c>
      <c r="H21" s="9">
        <v>0</v>
      </c>
      <c r="I21" s="9">
        <v>0</v>
      </c>
      <c r="J21" s="9">
        <v>0</v>
      </c>
      <c r="K21" s="9" t="s">
        <v>71</v>
      </c>
      <c r="L21" s="10" t="s">
        <v>71</v>
      </c>
      <c r="M21" s="10">
        <v>0</v>
      </c>
      <c r="N21" s="10" t="s">
        <v>72</v>
      </c>
      <c r="O21" s="10" t="s">
        <v>72</v>
      </c>
      <c r="P21" s="5" t="s">
        <v>73</v>
      </c>
      <c r="Q21" s="11">
        <v>7</v>
      </c>
      <c r="R21" s="12">
        <v>28.44</v>
      </c>
      <c r="S21" s="10">
        <v>4.68</v>
      </c>
      <c r="T21" s="10">
        <v>6.05</v>
      </c>
      <c r="U21" s="10">
        <v>8.24</v>
      </c>
      <c r="V21" s="10">
        <v>6.34</v>
      </c>
      <c r="W21" s="10">
        <v>2.89</v>
      </c>
      <c r="X21" s="10">
        <v>0</v>
      </c>
      <c r="Y21" s="10">
        <v>0</v>
      </c>
      <c r="Z21" s="10">
        <v>0.24</v>
      </c>
      <c r="AA21" s="13">
        <v>1.2999999999999999E-2</v>
      </c>
      <c r="AB21" s="13">
        <v>1.2999999999999999E-2</v>
      </c>
      <c r="AC21" s="14">
        <f t="shared" si="10"/>
        <v>7.7870000000000001E-4</v>
      </c>
      <c r="AD21" s="13">
        <f t="shared" si="11"/>
        <v>2.5999999999999999E-2</v>
      </c>
      <c r="AE21" s="13">
        <v>0.68300000000000005</v>
      </c>
      <c r="AF21" s="10">
        <v>4.29</v>
      </c>
      <c r="AG21" s="10">
        <v>3.17</v>
      </c>
      <c r="AH21" s="15">
        <v>5.9900000000000002E-2</v>
      </c>
      <c r="AI21" s="10">
        <f t="shared" si="1"/>
        <v>7.46</v>
      </c>
      <c r="AJ21" s="10">
        <v>0.02</v>
      </c>
      <c r="AK21" s="10">
        <v>10</v>
      </c>
      <c r="AL21" s="13">
        <v>0</v>
      </c>
      <c r="AM21" s="16">
        <v>40</v>
      </c>
      <c r="AN21" s="16">
        <v>40</v>
      </c>
      <c r="AO21" s="16">
        <v>2604.04</v>
      </c>
      <c r="AP21" s="10">
        <v>195.98199600000001</v>
      </c>
      <c r="AQ21" s="16">
        <v>42.3</v>
      </c>
      <c r="AR21" s="16">
        <v>2604.04</v>
      </c>
      <c r="AS21" s="10">
        <v>7.85</v>
      </c>
      <c r="AT21" s="13">
        <v>0</v>
      </c>
      <c r="AU21" s="10">
        <v>6.73</v>
      </c>
      <c r="AV21" s="17">
        <f t="shared" si="12"/>
        <v>5169.773884555716</v>
      </c>
      <c r="AW21" s="17">
        <v>2712.3557740138135</v>
      </c>
      <c r="AX21" s="17">
        <v>2457.4181105419029</v>
      </c>
      <c r="AY21" s="17">
        <v>0</v>
      </c>
      <c r="BA21" s="18"/>
      <c r="BC21" s="19"/>
      <c r="BD21" s="19" t="s">
        <v>87</v>
      </c>
      <c r="BE21" s="19" t="s">
        <v>87</v>
      </c>
      <c r="BF21" s="19"/>
      <c r="BG21" s="19" t="s">
        <v>87</v>
      </c>
      <c r="BI21" s="16">
        <f t="shared" si="2"/>
        <v>0</v>
      </c>
      <c r="BJ21" s="16">
        <f t="shared" si="3"/>
        <v>0</v>
      </c>
      <c r="BK21" s="16">
        <f t="shared" si="4"/>
        <v>633</v>
      </c>
      <c r="BL21" s="16">
        <f t="shared" si="5"/>
        <v>633</v>
      </c>
      <c r="BM21" s="16">
        <f t="shared" si="6"/>
        <v>633</v>
      </c>
      <c r="BN21" s="16">
        <f t="shared" si="7"/>
        <v>633</v>
      </c>
      <c r="BO21" s="16">
        <f t="shared" si="8"/>
        <v>633</v>
      </c>
      <c r="BP21" s="16">
        <f t="shared" si="9"/>
        <v>0</v>
      </c>
    </row>
    <row r="22" spans="1:68" ht="12" customHeight="1" x14ac:dyDescent="0.25">
      <c r="A22" s="5">
        <f t="shared" si="13"/>
        <v>18</v>
      </c>
      <c r="B22" s="6" t="s">
        <v>92</v>
      </c>
      <c r="C22" s="7">
        <f t="shared" si="0"/>
        <v>604.79999999999995</v>
      </c>
      <c r="D22" s="8">
        <v>604.79999999999995</v>
      </c>
      <c r="E22" s="8">
        <v>0</v>
      </c>
      <c r="F22" s="8">
        <v>67.400000000000006</v>
      </c>
      <c r="G22" s="9">
        <v>0</v>
      </c>
      <c r="H22" s="9">
        <v>0</v>
      </c>
      <c r="I22" s="9">
        <v>0</v>
      </c>
      <c r="J22" s="9">
        <v>0</v>
      </c>
      <c r="K22" s="9" t="s">
        <v>71</v>
      </c>
      <c r="L22" s="10" t="s">
        <v>71</v>
      </c>
      <c r="M22" s="10">
        <v>0</v>
      </c>
      <c r="N22" s="10" t="s">
        <v>72</v>
      </c>
      <c r="O22" s="10" t="s">
        <v>72</v>
      </c>
      <c r="P22" s="5" t="s">
        <v>73</v>
      </c>
      <c r="Q22" s="11">
        <v>7</v>
      </c>
      <c r="R22" s="12">
        <v>28.44</v>
      </c>
      <c r="S22" s="10">
        <v>4.68</v>
      </c>
      <c r="T22" s="10">
        <v>6.05</v>
      </c>
      <c r="U22" s="10">
        <v>8.24</v>
      </c>
      <c r="V22" s="10">
        <v>6.34</v>
      </c>
      <c r="W22" s="10">
        <v>2.89</v>
      </c>
      <c r="X22" s="10">
        <v>0</v>
      </c>
      <c r="Y22" s="10">
        <v>0</v>
      </c>
      <c r="Z22" s="10">
        <v>0.24</v>
      </c>
      <c r="AA22" s="13">
        <v>1.2999999999999999E-2</v>
      </c>
      <c r="AB22" s="13">
        <v>1.2999999999999999E-2</v>
      </c>
      <c r="AC22" s="14">
        <f t="shared" si="10"/>
        <v>7.7870000000000001E-4</v>
      </c>
      <c r="AD22" s="13">
        <f t="shared" si="11"/>
        <v>2.5999999999999999E-2</v>
      </c>
      <c r="AE22" s="13">
        <v>0.68300000000000005</v>
      </c>
      <c r="AF22" s="10">
        <v>4.29</v>
      </c>
      <c r="AG22" s="10">
        <v>3.17</v>
      </c>
      <c r="AH22" s="15">
        <v>5.9900000000000002E-2</v>
      </c>
      <c r="AI22" s="10">
        <f t="shared" si="1"/>
        <v>7.46</v>
      </c>
      <c r="AJ22" s="10">
        <v>0.02</v>
      </c>
      <c r="AK22" s="10">
        <v>10</v>
      </c>
      <c r="AL22" s="13">
        <v>0</v>
      </c>
      <c r="AM22" s="16">
        <v>40</v>
      </c>
      <c r="AN22" s="16">
        <v>40</v>
      </c>
      <c r="AO22" s="16">
        <v>2604.04</v>
      </c>
      <c r="AP22" s="10">
        <v>195.98199600000001</v>
      </c>
      <c r="AQ22" s="16">
        <v>42.3</v>
      </c>
      <c r="AR22" s="16">
        <v>2604.04</v>
      </c>
      <c r="AS22" s="10">
        <v>7.85</v>
      </c>
      <c r="AT22" s="13">
        <v>0</v>
      </c>
      <c r="AU22" s="10">
        <v>6.73</v>
      </c>
      <c r="AV22" s="17">
        <f t="shared" si="12"/>
        <v>4941.7879169353509</v>
      </c>
      <c r="AW22" s="17">
        <v>2592.7421064474875</v>
      </c>
      <c r="AX22" s="17">
        <v>2349.0458104878639</v>
      </c>
      <c r="AY22" s="17">
        <v>0</v>
      </c>
      <c r="BA22" s="18"/>
      <c r="BC22" s="19"/>
      <c r="BD22" s="19" t="s">
        <v>87</v>
      </c>
      <c r="BE22" s="19" t="s">
        <v>87</v>
      </c>
      <c r="BF22" s="19"/>
      <c r="BG22" s="19" t="s">
        <v>87</v>
      </c>
      <c r="BI22" s="16">
        <f t="shared" si="2"/>
        <v>0</v>
      </c>
      <c r="BJ22" s="16">
        <f t="shared" si="3"/>
        <v>0</v>
      </c>
      <c r="BK22" s="16">
        <f t="shared" si="4"/>
        <v>604.79999999999995</v>
      </c>
      <c r="BL22" s="16">
        <f t="shared" si="5"/>
        <v>604.79999999999995</v>
      </c>
      <c r="BM22" s="16">
        <f t="shared" si="6"/>
        <v>604.79999999999995</v>
      </c>
      <c r="BN22" s="16">
        <f t="shared" si="7"/>
        <v>604.79999999999995</v>
      </c>
      <c r="BO22" s="16">
        <f t="shared" si="8"/>
        <v>604.79999999999995</v>
      </c>
      <c r="BP22" s="16">
        <f t="shared" si="9"/>
        <v>0</v>
      </c>
    </row>
    <row r="23" spans="1:68" ht="12" customHeight="1" x14ac:dyDescent="0.25">
      <c r="A23" s="5">
        <f t="shared" si="13"/>
        <v>19</v>
      </c>
      <c r="B23" s="6" t="s">
        <v>93</v>
      </c>
      <c r="C23" s="7">
        <f t="shared" si="0"/>
        <v>1021.96</v>
      </c>
      <c r="D23" s="8">
        <v>1021.96</v>
      </c>
      <c r="E23" s="8">
        <v>0</v>
      </c>
      <c r="F23" s="8">
        <v>90.7</v>
      </c>
      <c r="G23" s="9">
        <v>0</v>
      </c>
      <c r="H23" s="9">
        <v>0</v>
      </c>
      <c r="I23" s="9">
        <v>0</v>
      </c>
      <c r="J23" s="9">
        <v>0</v>
      </c>
      <c r="K23" s="9" t="s">
        <v>71</v>
      </c>
      <c r="L23" s="10" t="s">
        <v>71</v>
      </c>
      <c r="M23" s="10">
        <v>0</v>
      </c>
      <c r="N23" s="10" t="s">
        <v>72</v>
      </c>
      <c r="O23" s="10" t="s">
        <v>72</v>
      </c>
      <c r="P23" s="5" t="s">
        <v>73</v>
      </c>
      <c r="Q23" s="11">
        <v>7</v>
      </c>
      <c r="R23" s="12">
        <v>28.44</v>
      </c>
      <c r="S23" s="10">
        <v>4.68</v>
      </c>
      <c r="T23" s="10">
        <v>6.05</v>
      </c>
      <c r="U23" s="10">
        <v>8.24</v>
      </c>
      <c r="V23" s="10">
        <v>6.34</v>
      </c>
      <c r="W23" s="10">
        <v>2.89</v>
      </c>
      <c r="X23" s="10">
        <v>0</v>
      </c>
      <c r="Y23" s="10">
        <v>0</v>
      </c>
      <c r="Z23" s="10">
        <v>0.24</v>
      </c>
      <c r="AA23" s="13">
        <v>1.2999999999999999E-2</v>
      </c>
      <c r="AB23" s="13">
        <v>1.2999999999999999E-2</v>
      </c>
      <c r="AC23" s="14">
        <f t="shared" si="10"/>
        <v>7.7870000000000001E-4</v>
      </c>
      <c r="AD23" s="13">
        <f t="shared" si="11"/>
        <v>2.5999999999999999E-2</v>
      </c>
      <c r="AE23" s="13">
        <v>0.68300000000000005</v>
      </c>
      <c r="AF23" s="10">
        <v>4.29</v>
      </c>
      <c r="AG23" s="10">
        <v>3.17</v>
      </c>
      <c r="AH23" s="15">
        <v>5.9900000000000002E-2</v>
      </c>
      <c r="AI23" s="10">
        <f t="shared" si="1"/>
        <v>7.46</v>
      </c>
      <c r="AJ23" s="10">
        <v>0.02</v>
      </c>
      <c r="AK23" s="10">
        <v>10</v>
      </c>
      <c r="AL23" s="13">
        <v>0</v>
      </c>
      <c r="AM23" s="16">
        <v>40</v>
      </c>
      <c r="AN23" s="16">
        <v>40</v>
      </c>
      <c r="AO23" s="16">
        <v>2604.04</v>
      </c>
      <c r="AP23" s="10">
        <v>195.98199600000001</v>
      </c>
      <c r="AQ23" s="16">
        <v>42.3</v>
      </c>
      <c r="AR23" s="16">
        <v>2604.04</v>
      </c>
      <c r="AS23" s="10">
        <v>7.85</v>
      </c>
      <c r="AT23" s="13">
        <v>0</v>
      </c>
      <c r="AU23" s="10">
        <v>6.73</v>
      </c>
      <c r="AV23" s="17">
        <f t="shared" si="12"/>
        <v>8241.3706608487009</v>
      </c>
      <c r="AW23" s="17">
        <v>4323.8989102507667</v>
      </c>
      <c r="AX23" s="17">
        <v>3917.4717505979334</v>
      </c>
      <c r="AY23" s="17">
        <v>0</v>
      </c>
      <c r="BA23" s="18"/>
      <c r="BC23" s="19"/>
      <c r="BD23" s="19" t="s">
        <v>87</v>
      </c>
      <c r="BE23" s="19" t="s">
        <v>87</v>
      </c>
      <c r="BF23" s="19"/>
      <c r="BG23" s="19" t="s">
        <v>87</v>
      </c>
      <c r="BI23" s="16">
        <f t="shared" si="2"/>
        <v>0</v>
      </c>
      <c r="BJ23" s="16">
        <f t="shared" si="3"/>
        <v>0</v>
      </c>
      <c r="BK23" s="16">
        <f t="shared" si="4"/>
        <v>1021.96</v>
      </c>
      <c r="BL23" s="16">
        <f t="shared" si="5"/>
        <v>1021.96</v>
      </c>
      <c r="BM23" s="16">
        <f t="shared" si="6"/>
        <v>1021.96</v>
      </c>
      <c r="BN23" s="16">
        <f t="shared" si="7"/>
        <v>1021.96</v>
      </c>
      <c r="BO23" s="16">
        <f t="shared" si="8"/>
        <v>1021.96</v>
      </c>
      <c r="BP23" s="16">
        <f t="shared" si="9"/>
        <v>0</v>
      </c>
    </row>
    <row r="24" spans="1:68" ht="12" customHeight="1" x14ac:dyDescent="0.25">
      <c r="A24" s="5">
        <f t="shared" si="13"/>
        <v>20</v>
      </c>
      <c r="B24" s="6" t="s">
        <v>94</v>
      </c>
      <c r="C24" s="7">
        <f t="shared" si="0"/>
        <v>385.6</v>
      </c>
      <c r="D24" s="8">
        <v>385.6</v>
      </c>
      <c r="E24" s="8">
        <v>0</v>
      </c>
      <c r="F24" s="8">
        <v>54.9</v>
      </c>
      <c r="G24" s="9">
        <v>0</v>
      </c>
      <c r="H24" s="9">
        <v>0</v>
      </c>
      <c r="I24" s="9">
        <v>0</v>
      </c>
      <c r="J24" s="9">
        <v>0</v>
      </c>
      <c r="K24" s="9" t="s">
        <v>71</v>
      </c>
      <c r="L24" s="10" t="s">
        <v>71</v>
      </c>
      <c r="M24" s="10">
        <v>0</v>
      </c>
      <c r="N24" s="10" t="s">
        <v>72</v>
      </c>
      <c r="O24" s="10" t="s">
        <v>72</v>
      </c>
      <c r="P24" s="5" t="s">
        <v>95</v>
      </c>
      <c r="Q24" s="11">
        <v>9</v>
      </c>
      <c r="R24" s="12">
        <v>22.98</v>
      </c>
      <c r="S24" s="10">
        <v>3.58</v>
      </c>
      <c r="T24" s="10">
        <v>4.67</v>
      </c>
      <c r="U24" s="10">
        <v>7.75</v>
      </c>
      <c r="V24" s="10">
        <v>4.5199999999999996</v>
      </c>
      <c r="W24" s="10">
        <v>2.2200000000000002</v>
      </c>
      <c r="X24" s="10">
        <v>0</v>
      </c>
      <c r="Y24" s="10">
        <v>0</v>
      </c>
      <c r="Z24" s="10">
        <v>0.24</v>
      </c>
      <c r="AA24" s="13">
        <v>0</v>
      </c>
      <c r="AB24" s="13">
        <v>0</v>
      </c>
      <c r="AC24" s="14">
        <f t="shared" si="10"/>
        <v>0</v>
      </c>
      <c r="AD24" s="13">
        <f t="shared" si="11"/>
        <v>0</v>
      </c>
      <c r="AE24" s="13">
        <v>0.68300000000000005</v>
      </c>
      <c r="AF24" s="13">
        <v>0</v>
      </c>
      <c r="AG24" s="13">
        <v>0</v>
      </c>
      <c r="AH24" s="13">
        <v>0</v>
      </c>
      <c r="AI24" s="10">
        <f t="shared" si="1"/>
        <v>0</v>
      </c>
      <c r="AJ24" s="10">
        <v>0.02</v>
      </c>
      <c r="AK24" s="10">
        <v>11.6</v>
      </c>
      <c r="AL24" s="10">
        <v>0</v>
      </c>
      <c r="AM24" s="16">
        <v>0</v>
      </c>
      <c r="AN24" s="16">
        <v>0</v>
      </c>
      <c r="AO24" s="16">
        <v>0</v>
      </c>
      <c r="AP24" s="10">
        <v>0</v>
      </c>
      <c r="AQ24" s="16">
        <v>0</v>
      </c>
      <c r="AR24" s="20"/>
      <c r="AS24" s="10">
        <v>7.85</v>
      </c>
      <c r="AT24" s="13">
        <v>0</v>
      </c>
      <c r="AU24" s="10">
        <v>6.73</v>
      </c>
      <c r="AV24" s="17">
        <f t="shared" si="12"/>
        <v>0</v>
      </c>
      <c r="AW24" s="17">
        <v>0</v>
      </c>
      <c r="AX24" s="17">
        <v>0</v>
      </c>
      <c r="AY24" s="17">
        <v>0</v>
      </c>
      <c r="BA24" s="18"/>
      <c r="BC24" s="19"/>
      <c r="BD24" s="19"/>
      <c r="BE24" s="19"/>
      <c r="BF24" s="19"/>
      <c r="BG24" s="19"/>
      <c r="BI24" s="16">
        <f t="shared" si="2"/>
        <v>0</v>
      </c>
      <c r="BJ24" s="16">
        <f t="shared" si="3"/>
        <v>0</v>
      </c>
      <c r="BK24" s="16">
        <f t="shared" si="4"/>
        <v>0</v>
      </c>
      <c r="BL24" s="16">
        <f t="shared" si="5"/>
        <v>0</v>
      </c>
      <c r="BM24" s="16">
        <f t="shared" si="6"/>
        <v>0</v>
      </c>
      <c r="BN24" s="16">
        <f t="shared" si="7"/>
        <v>385.6</v>
      </c>
      <c r="BO24" s="16">
        <f t="shared" si="8"/>
        <v>385.6</v>
      </c>
      <c r="BP24" s="16">
        <f t="shared" si="9"/>
        <v>0</v>
      </c>
    </row>
    <row r="25" spans="1:68" ht="12" customHeight="1" x14ac:dyDescent="0.25">
      <c r="A25" s="5">
        <f t="shared" si="13"/>
        <v>21</v>
      </c>
      <c r="B25" s="6" t="s">
        <v>96</v>
      </c>
      <c r="C25" s="7">
        <f t="shared" si="0"/>
        <v>385.6</v>
      </c>
      <c r="D25" s="8">
        <v>385.6</v>
      </c>
      <c r="E25" s="8">
        <v>0</v>
      </c>
      <c r="F25" s="8">
        <v>54.9</v>
      </c>
      <c r="G25" s="9">
        <v>0</v>
      </c>
      <c r="H25" s="9">
        <v>0</v>
      </c>
      <c r="I25" s="9">
        <v>0</v>
      </c>
      <c r="J25" s="9">
        <v>0</v>
      </c>
      <c r="K25" s="9" t="s">
        <v>71</v>
      </c>
      <c r="L25" s="10" t="s">
        <v>71</v>
      </c>
      <c r="M25" s="10">
        <v>0</v>
      </c>
      <c r="N25" s="10" t="s">
        <v>72</v>
      </c>
      <c r="O25" s="10" t="s">
        <v>72</v>
      </c>
      <c r="P25" s="5" t="s">
        <v>95</v>
      </c>
      <c r="Q25" s="11">
        <v>9</v>
      </c>
      <c r="R25" s="12">
        <v>22.98</v>
      </c>
      <c r="S25" s="10">
        <v>3.58</v>
      </c>
      <c r="T25" s="10">
        <v>4.67</v>
      </c>
      <c r="U25" s="10">
        <v>7.75</v>
      </c>
      <c r="V25" s="10">
        <v>4.5199999999999996</v>
      </c>
      <c r="W25" s="10">
        <v>2.2200000000000002</v>
      </c>
      <c r="X25" s="10">
        <v>0</v>
      </c>
      <c r="Y25" s="10">
        <v>0</v>
      </c>
      <c r="Z25" s="10">
        <v>0.24</v>
      </c>
      <c r="AA25" s="13">
        <v>0</v>
      </c>
      <c r="AB25" s="13">
        <v>0</v>
      </c>
      <c r="AC25" s="14">
        <f t="shared" si="10"/>
        <v>0</v>
      </c>
      <c r="AD25" s="13">
        <f t="shared" si="11"/>
        <v>0</v>
      </c>
      <c r="AE25" s="13">
        <v>0.68300000000000005</v>
      </c>
      <c r="AF25" s="13">
        <v>0</v>
      </c>
      <c r="AG25" s="13">
        <v>0</v>
      </c>
      <c r="AH25" s="13">
        <v>0</v>
      </c>
      <c r="AI25" s="10">
        <f t="shared" si="1"/>
        <v>0</v>
      </c>
      <c r="AJ25" s="10">
        <v>0.02</v>
      </c>
      <c r="AK25" s="10">
        <v>11.6</v>
      </c>
      <c r="AL25" s="10">
        <v>0</v>
      </c>
      <c r="AM25" s="16">
        <v>0</v>
      </c>
      <c r="AN25" s="16">
        <v>0</v>
      </c>
      <c r="AO25" s="16">
        <v>0</v>
      </c>
      <c r="AP25" s="10">
        <v>0</v>
      </c>
      <c r="AQ25" s="16">
        <v>0</v>
      </c>
      <c r="AR25" s="20"/>
      <c r="AS25" s="10">
        <v>7.85</v>
      </c>
      <c r="AT25" s="13">
        <v>0</v>
      </c>
      <c r="AU25" s="10">
        <v>6.73</v>
      </c>
      <c r="AV25" s="17">
        <f t="shared" si="12"/>
        <v>0</v>
      </c>
      <c r="AW25" s="17">
        <v>0</v>
      </c>
      <c r="AX25" s="17">
        <v>0</v>
      </c>
      <c r="AY25" s="17">
        <v>0</v>
      </c>
      <c r="BA25" s="18"/>
      <c r="BC25" s="19"/>
      <c r="BD25" s="19"/>
      <c r="BE25" s="19"/>
      <c r="BF25" s="19"/>
      <c r="BG25" s="19"/>
      <c r="BI25" s="16">
        <f t="shared" si="2"/>
        <v>0</v>
      </c>
      <c r="BJ25" s="16">
        <f t="shared" si="3"/>
        <v>0</v>
      </c>
      <c r="BK25" s="16">
        <f t="shared" si="4"/>
        <v>0</v>
      </c>
      <c r="BL25" s="16">
        <f t="shared" si="5"/>
        <v>0</v>
      </c>
      <c r="BM25" s="16">
        <f t="shared" si="6"/>
        <v>0</v>
      </c>
      <c r="BN25" s="16">
        <f t="shared" si="7"/>
        <v>385.6</v>
      </c>
      <c r="BO25" s="16">
        <f t="shared" si="8"/>
        <v>385.6</v>
      </c>
      <c r="BP25" s="16">
        <f t="shared" si="9"/>
        <v>0</v>
      </c>
    </row>
    <row r="26" spans="1:68" ht="12" customHeight="1" x14ac:dyDescent="0.25">
      <c r="A26" s="5">
        <f t="shared" si="13"/>
        <v>22</v>
      </c>
      <c r="B26" s="6" t="s">
        <v>97</v>
      </c>
      <c r="C26" s="7">
        <f t="shared" si="0"/>
        <v>10450.300000000001</v>
      </c>
      <c r="D26" s="8">
        <v>9759.6</v>
      </c>
      <c r="E26" s="8">
        <v>690.7</v>
      </c>
      <c r="F26" s="8">
        <v>2001.5</v>
      </c>
      <c r="G26" s="9">
        <v>5</v>
      </c>
      <c r="H26" s="9">
        <v>0</v>
      </c>
      <c r="I26" s="9">
        <v>400</v>
      </c>
      <c r="J26" s="9">
        <v>0</v>
      </c>
      <c r="K26" s="9" t="s">
        <v>71</v>
      </c>
      <c r="L26" s="10" t="s">
        <v>71</v>
      </c>
      <c r="M26" s="10">
        <v>0</v>
      </c>
      <c r="N26" s="10" t="s">
        <v>72</v>
      </c>
      <c r="O26" s="10" t="s">
        <v>72</v>
      </c>
      <c r="P26" s="5" t="s">
        <v>98</v>
      </c>
      <c r="Q26" s="11">
        <v>3</v>
      </c>
      <c r="R26" s="12">
        <v>41.34</v>
      </c>
      <c r="S26" s="10">
        <v>4.68</v>
      </c>
      <c r="T26" s="10">
        <v>7.92</v>
      </c>
      <c r="U26" s="10">
        <v>12.32</v>
      </c>
      <c r="V26" s="10">
        <v>6.34</v>
      </c>
      <c r="W26" s="10">
        <v>2.89</v>
      </c>
      <c r="X26" s="10">
        <v>1.66</v>
      </c>
      <c r="Y26" s="10">
        <v>5.29</v>
      </c>
      <c r="Z26" s="10">
        <v>0.24</v>
      </c>
      <c r="AA26" s="13">
        <v>1.2E-2</v>
      </c>
      <c r="AB26" s="13">
        <v>1.2E-2</v>
      </c>
      <c r="AC26" s="14">
        <f t="shared" si="10"/>
        <v>7.1880000000000002E-4</v>
      </c>
      <c r="AD26" s="13">
        <f t="shared" si="11"/>
        <v>2.4E-2</v>
      </c>
      <c r="AE26" s="13">
        <v>3.23</v>
      </c>
      <c r="AF26" s="10">
        <v>4.29</v>
      </c>
      <c r="AG26" s="10">
        <v>3.17</v>
      </c>
      <c r="AH26" s="15">
        <v>5.9900000000000002E-2</v>
      </c>
      <c r="AI26" s="10">
        <f t="shared" si="1"/>
        <v>7.46</v>
      </c>
      <c r="AJ26" s="10">
        <v>0.02</v>
      </c>
      <c r="AK26" s="10">
        <v>10</v>
      </c>
      <c r="AL26" s="10">
        <v>0</v>
      </c>
      <c r="AM26" s="16">
        <v>40</v>
      </c>
      <c r="AN26" s="16">
        <v>40</v>
      </c>
      <c r="AO26" s="16">
        <v>2604.04</v>
      </c>
      <c r="AP26" s="10">
        <v>195.98199600000001</v>
      </c>
      <c r="AQ26" s="16">
        <v>42.3</v>
      </c>
      <c r="AR26" s="16">
        <v>2604.04</v>
      </c>
      <c r="AS26" s="10">
        <v>7.85</v>
      </c>
      <c r="AT26" s="13">
        <v>0</v>
      </c>
      <c r="AU26" s="10">
        <v>6.73</v>
      </c>
      <c r="AV26" s="17">
        <f t="shared" si="12"/>
        <v>106537.47439352109</v>
      </c>
      <c r="AW26" s="17">
        <v>44839.401215944112</v>
      </c>
      <c r="AX26" s="17">
        <v>40624.729777263652</v>
      </c>
      <c r="AY26" s="17">
        <v>21073.343400313308</v>
      </c>
      <c r="BA26" s="18"/>
      <c r="BC26" s="19"/>
      <c r="BD26" s="19"/>
      <c r="BE26" s="19"/>
      <c r="BF26" s="19"/>
      <c r="BG26" s="19"/>
      <c r="BI26" s="16">
        <f t="shared" si="2"/>
        <v>0</v>
      </c>
      <c r="BJ26" s="16">
        <f t="shared" si="3"/>
        <v>10450.300000000001</v>
      </c>
      <c r="BK26" s="16">
        <f t="shared" si="4"/>
        <v>10450.300000000001</v>
      </c>
      <c r="BL26" s="16">
        <f t="shared" si="5"/>
        <v>10450.300000000001</v>
      </c>
      <c r="BM26" s="16">
        <f t="shared" si="6"/>
        <v>10450.300000000001</v>
      </c>
      <c r="BN26" s="16">
        <f t="shared" si="7"/>
        <v>10450.300000000001</v>
      </c>
      <c r="BO26" s="16">
        <f t="shared" si="8"/>
        <v>10450.300000000001</v>
      </c>
      <c r="BP26" s="16">
        <f t="shared" si="9"/>
        <v>0</v>
      </c>
    </row>
    <row r="27" spans="1:68" ht="12" customHeight="1" x14ac:dyDescent="0.25">
      <c r="A27" s="5">
        <f t="shared" si="13"/>
        <v>23</v>
      </c>
      <c r="B27" s="6" t="s">
        <v>99</v>
      </c>
      <c r="C27" s="7">
        <f t="shared" si="0"/>
        <v>3844.53</v>
      </c>
      <c r="D27" s="8">
        <v>3633.53</v>
      </c>
      <c r="E27" s="8">
        <v>211</v>
      </c>
      <c r="F27" s="8">
        <v>808.1</v>
      </c>
      <c r="G27" s="9">
        <v>2</v>
      </c>
      <c r="H27" s="9">
        <v>0</v>
      </c>
      <c r="I27" s="9">
        <v>400</v>
      </c>
      <c r="J27" s="9">
        <v>0</v>
      </c>
      <c r="K27" s="9" t="s">
        <v>83</v>
      </c>
      <c r="L27" s="10" t="s">
        <v>71</v>
      </c>
      <c r="M27" s="10">
        <v>0</v>
      </c>
      <c r="N27" s="10" t="s">
        <v>72</v>
      </c>
      <c r="O27" s="10" t="s">
        <v>72</v>
      </c>
      <c r="P27" s="5" t="s">
        <v>98</v>
      </c>
      <c r="Q27" s="11">
        <v>3</v>
      </c>
      <c r="R27" s="12">
        <v>41.34</v>
      </c>
      <c r="S27" s="10">
        <v>4.68</v>
      </c>
      <c r="T27" s="10">
        <v>7.92</v>
      </c>
      <c r="U27" s="10">
        <v>12.32</v>
      </c>
      <c r="V27" s="10">
        <v>6.34</v>
      </c>
      <c r="W27" s="10">
        <v>2.89</v>
      </c>
      <c r="X27" s="10">
        <v>1.66</v>
      </c>
      <c r="Y27" s="10">
        <v>5.29</v>
      </c>
      <c r="Z27" s="10">
        <v>0.24</v>
      </c>
      <c r="AA27" s="13">
        <v>1.2E-2</v>
      </c>
      <c r="AB27" s="13">
        <v>1.2E-2</v>
      </c>
      <c r="AC27" s="14">
        <f t="shared" si="10"/>
        <v>7.1880000000000002E-4</v>
      </c>
      <c r="AD27" s="13">
        <f t="shared" si="11"/>
        <v>2.4E-2</v>
      </c>
      <c r="AE27" s="13">
        <v>3.23</v>
      </c>
      <c r="AF27" s="10">
        <v>4.29</v>
      </c>
      <c r="AG27" s="10">
        <v>3.17</v>
      </c>
      <c r="AH27" s="15">
        <v>5.9900000000000002E-2</v>
      </c>
      <c r="AI27" s="10">
        <f t="shared" si="1"/>
        <v>7.46</v>
      </c>
      <c r="AJ27" s="10">
        <v>0.02</v>
      </c>
      <c r="AK27" s="10">
        <v>10</v>
      </c>
      <c r="AL27" s="10">
        <v>0</v>
      </c>
      <c r="AM27" s="16">
        <v>40</v>
      </c>
      <c r="AN27" s="16">
        <v>40</v>
      </c>
      <c r="AO27" s="16">
        <v>2604.04</v>
      </c>
      <c r="AP27" s="10">
        <v>195.98199600000001</v>
      </c>
      <c r="AQ27" s="16">
        <v>42.3</v>
      </c>
      <c r="AR27" s="16">
        <v>2604.04</v>
      </c>
      <c r="AS27" s="10">
        <v>7.85</v>
      </c>
      <c r="AT27" s="13">
        <v>0</v>
      </c>
      <c r="AU27" s="10">
        <v>6.73</v>
      </c>
      <c r="AV27" s="17">
        <f t="shared" si="12"/>
        <v>39184.745081662077</v>
      </c>
      <c r="AW27" s="17">
        <v>16492.03786366462</v>
      </c>
      <c r="AX27" s="17">
        <v>14941.887766442622</v>
      </c>
      <c r="AY27" s="17">
        <v>7750.8194515548366</v>
      </c>
      <c r="BA27" s="18"/>
      <c r="BC27" s="19"/>
      <c r="BD27" s="19"/>
      <c r="BE27" s="19"/>
      <c r="BF27" s="19"/>
      <c r="BG27" s="19"/>
      <c r="BI27" s="16">
        <f t="shared" si="2"/>
        <v>0</v>
      </c>
      <c r="BJ27" s="16">
        <f t="shared" si="3"/>
        <v>3844.53</v>
      </c>
      <c r="BK27" s="16">
        <f t="shared" si="4"/>
        <v>3844.53</v>
      </c>
      <c r="BL27" s="16">
        <f t="shared" si="5"/>
        <v>3844.53</v>
      </c>
      <c r="BM27" s="16">
        <f t="shared" si="6"/>
        <v>3844.53</v>
      </c>
      <c r="BN27" s="16">
        <f t="shared" si="7"/>
        <v>3844.53</v>
      </c>
      <c r="BO27" s="16">
        <f t="shared" si="8"/>
        <v>3844.53</v>
      </c>
      <c r="BP27" s="16">
        <f t="shared" si="9"/>
        <v>0</v>
      </c>
    </row>
    <row r="28" spans="1:68" ht="12" customHeight="1" x14ac:dyDescent="0.25">
      <c r="A28" s="5">
        <f t="shared" si="13"/>
        <v>24</v>
      </c>
      <c r="B28" s="6" t="s">
        <v>100</v>
      </c>
      <c r="C28" s="7">
        <f t="shared" si="0"/>
        <v>8950.7999999999993</v>
      </c>
      <c r="D28" s="8">
        <v>8950.7999999999993</v>
      </c>
      <c r="E28" s="8">
        <v>0</v>
      </c>
      <c r="F28" s="8">
        <v>1174.4000000000001</v>
      </c>
      <c r="G28" s="9">
        <v>4</v>
      </c>
      <c r="H28" s="9">
        <v>0</v>
      </c>
      <c r="I28" s="9">
        <v>400</v>
      </c>
      <c r="J28" s="9">
        <v>0</v>
      </c>
      <c r="K28" s="9" t="s">
        <v>83</v>
      </c>
      <c r="L28" s="10" t="s">
        <v>71</v>
      </c>
      <c r="M28" s="10">
        <v>0</v>
      </c>
      <c r="N28" s="10" t="s">
        <v>72</v>
      </c>
      <c r="O28" s="10" t="s">
        <v>72</v>
      </c>
      <c r="P28" s="5" t="s">
        <v>98</v>
      </c>
      <c r="Q28" s="11">
        <v>1</v>
      </c>
      <c r="R28" s="12">
        <v>41.1</v>
      </c>
      <c r="S28" s="10">
        <v>4.68</v>
      </c>
      <c r="T28" s="10">
        <v>7.92</v>
      </c>
      <c r="U28" s="10">
        <v>12.32</v>
      </c>
      <c r="V28" s="10">
        <v>6.34</v>
      </c>
      <c r="W28" s="10">
        <v>2.89</v>
      </c>
      <c r="X28" s="10">
        <v>1.66</v>
      </c>
      <c r="Y28" s="10">
        <v>5.29</v>
      </c>
      <c r="Z28" s="10">
        <v>0</v>
      </c>
      <c r="AA28" s="13">
        <v>7.0000000000000001E-3</v>
      </c>
      <c r="AB28" s="13">
        <v>7.0000000000000001E-3</v>
      </c>
      <c r="AC28" s="14">
        <f t="shared" si="10"/>
        <v>4.193E-4</v>
      </c>
      <c r="AD28" s="13">
        <f t="shared" si="11"/>
        <v>1.4E-2</v>
      </c>
      <c r="AE28" s="13">
        <v>3.23</v>
      </c>
      <c r="AF28" s="10">
        <v>4.29</v>
      </c>
      <c r="AG28" s="10">
        <v>3.17</v>
      </c>
      <c r="AH28" s="15">
        <v>5.9900000000000002E-2</v>
      </c>
      <c r="AI28" s="10">
        <f t="shared" si="1"/>
        <v>7.46</v>
      </c>
      <c r="AJ28" s="10">
        <v>0.02</v>
      </c>
      <c r="AK28" s="13">
        <v>0</v>
      </c>
      <c r="AL28" s="10">
        <v>0</v>
      </c>
      <c r="AM28" s="16">
        <v>40</v>
      </c>
      <c r="AN28" s="16">
        <v>40</v>
      </c>
      <c r="AO28" s="16">
        <v>2604.04</v>
      </c>
      <c r="AP28" s="10">
        <v>195.98199600000001</v>
      </c>
      <c r="AQ28" s="16">
        <v>42.3</v>
      </c>
      <c r="AR28" s="16">
        <v>2604.04</v>
      </c>
      <c r="AS28" s="10">
        <v>0</v>
      </c>
      <c r="AT28" s="13">
        <v>0</v>
      </c>
      <c r="AU28" s="10">
        <v>5.05</v>
      </c>
      <c r="AV28" s="17">
        <f t="shared" si="12"/>
        <v>91174.387069136472</v>
      </c>
      <c r="AW28" s="17">
        <v>38373.394209054379</v>
      </c>
      <c r="AX28" s="17">
        <v>34766.501442841931</v>
      </c>
      <c r="AY28" s="17">
        <v>18034.491417240166</v>
      </c>
      <c r="BA28" s="18"/>
      <c r="BC28" s="19"/>
      <c r="BD28" s="19"/>
      <c r="BE28" s="19"/>
      <c r="BF28" s="19"/>
      <c r="BG28" s="19"/>
      <c r="BI28" s="16">
        <f t="shared" si="2"/>
        <v>8950.7999999999993</v>
      </c>
      <c r="BJ28" s="16">
        <f t="shared" si="3"/>
        <v>0</v>
      </c>
      <c r="BK28" s="16">
        <f t="shared" si="4"/>
        <v>8950.7999999999993</v>
      </c>
      <c r="BL28" s="16">
        <f t="shared" si="5"/>
        <v>8950.7999999999993</v>
      </c>
      <c r="BM28" s="16">
        <f t="shared" si="6"/>
        <v>8950.7999999999993</v>
      </c>
      <c r="BN28" s="16">
        <f t="shared" si="7"/>
        <v>8950.7999999999993</v>
      </c>
      <c r="BO28" s="16">
        <f t="shared" si="8"/>
        <v>0</v>
      </c>
      <c r="BP28" s="16">
        <f t="shared" si="9"/>
        <v>8950.7999999999993</v>
      </c>
    </row>
    <row r="29" spans="1:68" ht="12" customHeight="1" x14ac:dyDescent="0.25">
      <c r="A29" s="5">
        <f t="shared" si="13"/>
        <v>25</v>
      </c>
      <c r="B29" s="6" t="s">
        <v>101</v>
      </c>
      <c r="C29" s="7">
        <f t="shared" si="0"/>
        <v>3811.9</v>
      </c>
      <c r="D29" s="8">
        <v>3811.9</v>
      </c>
      <c r="E29" s="8">
        <v>0</v>
      </c>
      <c r="F29" s="8">
        <v>523.44000000000005</v>
      </c>
      <c r="G29" s="9">
        <v>1</v>
      </c>
      <c r="H29" s="9">
        <v>1</v>
      </c>
      <c r="I29" s="9">
        <v>400</v>
      </c>
      <c r="J29" s="9">
        <v>630</v>
      </c>
      <c r="K29" s="9" t="s">
        <v>83</v>
      </c>
      <c r="L29" s="10" t="s">
        <v>71</v>
      </c>
      <c r="M29" s="10">
        <v>0</v>
      </c>
      <c r="N29" s="10" t="s">
        <v>72</v>
      </c>
      <c r="O29" s="10" t="s">
        <v>72</v>
      </c>
      <c r="P29" s="5" t="s">
        <v>102</v>
      </c>
      <c r="Q29" s="11">
        <v>3</v>
      </c>
      <c r="R29" s="21">
        <v>36.75</v>
      </c>
      <c r="S29" s="10">
        <v>4.0199999999999996</v>
      </c>
      <c r="T29" s="10">
        <v>7</v>
      </c>
      <c r="U29" s="10">
        <v>11</v>
      </c>
      <c r="V29" s="10">
        <v>5.4</v>
      </c>
      <c r="W29" s="10">
        <v>2.67</v>
      </c>
      <c r="X29" s="10">
        <v>1.54</v>
      </c>
      <c r="Y29" s="10">
        <v>4.9000000000000004</v>
      </c>
      <c r="Z29" s="10">
        <v>0.22</v>
      </c>
      <c r="AA29" s="13">
        <v>7.0000000000000001E-3</v>
      </c>
      <c r="AB29" s="13">
        <v>7.0000000000000001E-3</v>
      </c>
      <c r="AC29" s="14">
        <f t="shared" si="10"/>
        <v>4.193E-4</v>
      </c>
      <c r="AD29" s="13">
        <f t="shared" si="11"/>
        <v>1.4E-2</v>
      </c>
      <c r="AE29" s="13">
        <v>3.23</v>
      </c>
      <c r="AF29" s="10">
        <v>4.29</v>
      </c>
      <c r="AG29" s="10">
        <v>3.17</v>
      </c>
      <c r="AH29" s="15">
        <v>5.9900000000000002E-2</v>
      </c>
      <c r="AI29" s="10">
        <f t="shared" si="1"/>
        <v>7.46</v>
      </c>
      <c r="AJ29" s="10">
        <v>0.02</v>
      </c>
      <c r="AK29" s="10">
        <v>10</v>
      </c>
      <c r="AL29" s="10">
        <v>0</v>
      </c>
      <c r="AM29" s="16">
        <v>40</v>
      </c>
      <c r="AN29" s="16">
        <v>40</v>
      </c>
      <c r="AO29" s="16">
        <v>2604.04</v>
      </c>
      <c r="AP29" s="10">
        <v>195.98199600000001</v>
      </c>
      <c r="AQ29" s="16">
        <v>42.3</v>
      </c>
      <c r="AR29" s="16">
        <v>2604.04</v>
      </c>
      <c r="AS29" s="10">
        <v>7.85</v>
      </c>
      <c r="AT29" s="13">
        <v>0</v>
      </c>
      <c r="AU29" s="10">
        <v>6.73</v>
      </c>
      <c r="AV29" s="17">
        <f t="shared" si="12"/>
        <v>73076.475028802437</v>
      </c>
      <c r="AW29" s="17">
        <v>32696.600166972068</v>
      </c>
      <c r="AX29" s="17">
        <v>25013.32547211376</v>
      </c>
      <c r="AY29" s="17">
        <v>15366.549389716614</v>
      </c>
      <c r="BA29" s="18"/>
      <c r="BC29" s="19"/>
      <c r="BD29" s="19"/>
      <c r="BE29" s="19"/>
      <c r="BF29" s="19"/>
      <c r="BG29" s="19"/>
      <c r="BI29" s="16">
        <f t="shared" si="2"/>
        <v>0</v>
      </c>
      <c r="BJ29" s="16">
        <f t="shared" si="3"/>
        <v>3811.9</v>
      </c>
      <c r="BK29" s="16">
        <f t="shared" si="4"/>
        <v>3811.9</v>
      </c>
      <c r="BL29" s="16">
        <f t="shared" si="5"/>
        <v>3811.9</v>
      </c>
      <c r="BM29" s="16">
        <f t="shared" si="6"/>
        <v>3811.9</v>
      </c>
      <c r="BN29" s="16">
        <f t="shared" si="7"/>
        <v>3811.9</v>
      </c>
      <c r="BO29" s="16">
        <f t="shared" si="8"/>
        <v>3811.9</v>
      </c>
      <c r="BP29" s="16">
        <f t="shared" si="9"/>
        <v>0</v>
      </c>
    </row>
    <row r="30" spans="1:68" ht="12" customHeight="1" x14ac:dyDescent="0.25">
      <c r="A30" s="5">
        <f t="shared" si="13"/>
        <v>26</v>
      </c>
      <c r="B30" s="6" t="s">
        <v>103</v>
      </c>
      <c r="C30" s="7">
        <f t="shared" si="0"/>
        <v>3817.2000000000003</v>
      </c>
      <c r="D30" s="8">
        <v>3785.3</v>
      </c>
      <c r="E30" s="8">
        <v>31.9</v>
      </c>
      <c r="F30" s="8">
        <v>524.16</v>
      </c>
      <c r="G30" s="9">
        <v>1</v>
      </c>
      <c r="H30" s="9">
        <v>1</v>
      </c>
      <c r="I30" s="9">
        <v>400</v>
      </c>
      <c r="J30" s="9">
        <v>630</v>
      </c>
      <c r="K30" s="9" t="s">
        <v>83</v>
      </c>
      <c r="L30" s="10" t="s">
        <v>71</v>
      </c>
      <c r="M30" s="10">
        <v>0</v>
      </c>
      <c r="N30" s="10" t="s">
        <v>72</v>
      </c>
      <c r="O30" s="10" t="s">
        <v>72</v>
      </c>
      <c r="P30" s="5" t="s">
        <v>102</v>
      </c>
      <c r="Q30" s="11">
        <v>3</v>
      </c>
      <c r="R30" s="21">
        <v>36.75</v>
      </c>
      <c r="S30" s="10">
        <v>4.0199999999999996</v>
      </c>
      <c r="T30" s="10">
        <v>7</v>
      </c>
      <c r="U30" s="10">
        <v>11</v>
      </c>
      <c r="V30" s="10">
        <v>5.4</v>
      </c>
      <c r="W30" s="10">
        <v>2.67</v>
      </c>
      <c r="X30" s="10">
        <v>1.54</v>
      </c>
      <c r="Y30" s="10">
        <v>4.9000000000000004</v>
      </c>
      <c r="Z30" s="10">
        <v>0.22</v>
      </c>
      <c r="AA30" s="13">
        <v>7.0000000000000001E-3</v>
      </c>
      <c r="AB30" s="13">
        <v>7.0000000000000001E-3</v>
      </c>
      <c r="AC30" s="14">
        <f t="shared" si="10"/>
        <v>4.193E-4</v>
      </c>
      <c r="AD30" s="13">
        <f t="shared" si="11"/>
        <v>1.4E-2</v>
      </c>
      <c r="AE30" s="13">
        <v>3.23</v>
      </c>
      <c r="AF30" s="10">
        <v>4.29</v>
      </c>
      <c r="AG30" s="10">
        <v>3.17</v>
      </c>
      <c r="AH30" s="15">
        <v>5.9900000000000002E-2</v>
      </c>
      <c r="AI30" s="10">
        <f t="shared" si="1"/>
        <v>7.46</v>
      </c>
      <c r="AJ30" s="10">
        <v>0.02</v>
      </c>
      <c r="AK30" s="10">
        <v>10</v>
      </c>
      <c r="AL30" s="10">
        <v>0</v>
      </c>
      <c r="AM30" s="16">
        <v>40</v>
      </c>
      <c r="AN30" s="16">
        <v>40</v>
      </c>
      <c r="AO30" s="16">
        <v>2604.04</v>
      </c>
      <c r="AP30" s="10">
        <v>195.98199600000001</v>
      </c>
      <c r="AQ30" s="16">
        <v>42.3</v>
      </c>
      <c r="AR30" s="16">
        <v>2604.04</v>
      </c>
      <c r="AS30" s="10">
        <v>7.85</v>
      </c>
      <c r="AT30" s="13">
        <v>0</v>
      </c>
      <c r="AU30" s="10">
        <v>6.73</v>
      </c>
      <c r="AV30" s="17">
        <f t="shared" si="12"/>
        <v>73076.475028802437</v>
      </c>
      <c r="AW30" s="17">
        <v>32696.600166972068</v>
      </c>
      <c r="AX30" s="17">
        <v>25013.32547211376</v>
      </c>
      <c r="AY30" s="17">
        <v>15366.549389716614</v>
      </c>
      <c r="BA30" s="18"/>
      <c r="BC30" s="19"/>
      <c r="BD30" s="19"/>
      <c r="BE30" s="19"/>
      <c r="BF30" s="19"/>
      <c r="BG30" s="19"/>
      <c r="BI30" s="16">
        <f t="shared" si="2"/>
        <v>0</v>
      </c>
      <c r="BJ30" s="16">
        <f t="shared" si="3"/>
        <v>3817.2000000000003</v>
      </c>
      <c r="BK30" s="16">
        <f t="shared" si="4"/>
        <v>3817.2000000000003</v>
      </c>
      <c r="BL30" s="16">
        <f t="shared" si="5"/>
        <v>3817.2000000000003</v>
      </c>
      <c r="BM30" s="16">
        <f t="shared" si="6"/>
        <v>3817.2000000000003</v>
      </c>
      <c r="BN30" s="16">
        <f t="shared" si="7"/>
        <v>3817.2000000000003</v>
      </c>
      <c r="BO30" s="16">
        <f t="shared" si="8"/>
        <v>3817.2000000000003</v>
      </c>
      <c r="BP30" s="16">
        <f t="shared" si="9"/>
        <v>0</v>
      </c>
    </row>
    <row r="31" spans="1:68" ht="12" customHeight="1" x14ac:dyDescent="0.25">
      <c r="A31" s="5">
        <f t="shared" si="13"/>
        <v>27</v>
      </c>
      <c r="B31" s="6" t="s">
        <v>104</v>
      </c>
      <c r="C31" s="7">
        <f t="shared" si="0"/>
        <v>8096.3</v>
      </c>
      <c r="D31" s="8">
        <v>7660</v>
      </c>
      <c r="E31" s="8">
        <v>436.3</v>
      </c>
      <c r="F31" s="8">
        <v>1661.3</v>
      </c>
      <c r="G31" s="9">
        <v>3</v>
      </c>
      <c r="H31" s="9">
        <v>1</v>
      </c>
      <c r="I31" s="9">
        <v>400</v>
      </c>
      <c r="J31" s="9">
        <v>630</v>
      </c>
      <c r="K31" s="9" t="s">
        <v>71</v>
      </c>
      <c r="L31" s="10" t="s">
        <v>71</v>
      </c>
      <c r="M31" s="10">
        <v>0</v>
      </c>
      <c r="N31" s="10" t="s">
        <v>72</v>
      </c>
      <c r="O31" s="10" t="s">
        <v>72</v>
      </c>
      <c r="P31" s="5" t="s">
        <v>102</v>
      </c>
      <c r="Q31" s="11">
        <v>1</v>
      </c>
      <c r="R31" s="21">
        <v>36.54</v>
      </c>
      <c r="S31" s="10">
        <v>4.03</v>
      </c>
      <c r="T31" s="10">
        <v>7</v>
      </c>
      <c r="U31" s="10">
        <v>11</v>
      </c>
      <c r="V31" s="10">
        <v>5.4</v>
      </c>
      <c r="W31" s="10">
        <v>2.67</v>
      </c>
      <c r="X31" s="10">
        <v>1.54</v>
      </c>
      <c r="Y31" s="10">
        <v>4.9000000000000004</v>
      </c>
      <c r="Z31" s="10">
        <v>0</v>
      </c>
      <c r="AA31" s="13">
        <v>7.0000000000000001E-3</v>
      </c>
      <c r="AB31" s="13">
        <v>7.0000000000000001E-3</v>
      </c>
      <c r="AC31" s="14">
        <f t="shared" si="10"/>
        <v>4.193E-4</v>
      </c>
      <c r="AD31" s="13">
        <f t="shared" si="11"/>
        <v>1.4E-2</v>
      </c>
      <c r="AE31" s="13">
        <v>3.23</v>
      </c>
      <c r="AF31" s="10">
        <v>4.29</v>
      </c>
      <c r="AG31" s="10">
        <v>3.17</v>
      </c>
      <c r="AH31" s="15">
        <v>5.9900000000000002E-2</v>
      </c>
      <c r="AI31" s="10">
        <f t="shared" si="1"/>
        <v>7.46</v>
      </c>
      <c r="AJ31" s="10">
        <v>0.02</v>
      </c>
      <c r="AK31" s="13">
        <v>0</v>
      </c>
      <c r="AL31" s="10">
        <v>0</v>
      </c>
      <c r="AM31" s="16">
        <v>40</v>
      </c>
      <c r="AN31" s="16">
        <v>40</v>
      </c>
      <c r="AO31" s="16">
        <v>2604.04</v>
      </c>
      <c r="AP31" s="10">
        <v>195.98199600000001</v>
      </c>
      <c r="AQ31" s="16">
        <v>42.3</v>
      </c>
      <c r="AR31" s="16">
        <v>2604.04</v>
      </c>
      <c r="AS31" s="10">
        <v>0</v>
      </c>
      <c r="AT31" s="13">
        <v>0</v>
      </c>
      <c r="AU31" s="10">
        <v>5.05</v>
      </c>
      <c r="AV31" s="17">
        <f t="shared" si="12"/>
        <v>77443.615272980838</v>
      </c>
      <c r="AW31" s="17">
        <v>34650.584323120136</v>
      </c>
      <c r="AX31" s="17">
        <v>26508.151489468535</v>
      </c>
      <c r="AY31" s="17">
        <v>16284.879460392172</v>
      </c>
      <c r="BA31" s="18"/>
      <c r="BC31" s="19"/>
      <c r="BD31" s="19"/>
      <c r="BE31" s="19"/>
      <c r="BF31" s="19"/>
      <c r="BG31" s="19"/>
      <c r="BI31" s="16">
        <f t="shared" si="2"/>
        <v>8096.3</v>
      </c>
      <c r="BJ31" s="16">
        <f t="shared" si="3"/>
        <v>0</v>
      </c>
      <c r="BK31" s="16">
        <f t="shared" si="4"/>
        <v>8096.3</v>
      </c>
      <c r="BL31" s="16">
        <f t="shared" si="5"/>
        <v>8096.3</v>
      </c>
      <c r="BM31" s="16">
        <f t="shared" si="6"/>
        <v>8096.3</v>
      </c>
      <c r="BN31" s="16">
        <f t="shared" si="7"/>
        <v>8096.3</v>
      </c>
      <c r="BO31" s="16">
        <f t="shared" si="8"/>
        <v>0</v>
      </c>
      <c r="BP31" s="16">
        <f t="shared" si="9"/>
        <v>8096.3</v>
      </c>
    </row>
    <row r="32" spans="1:68" ht="12" customHeight="1" x14ac:dyDescent="0.25">
      <c r="A32" s="5">
        <f t="shared" si="13"/>
        <v>28</v>
      </c>
      <c r="B32" s="6" t="s">
        <v>105</v>
      </c>
      <c r="C32" s="7">
        <f t="shared" si="0"/>
        <v>1596.9</v>
      </c>
      <c r="D32" s="8">
        <v>1545.9</v>
      </c>
      <c r="E32" s="8">
        <v>51</v>
      </c>
      <c r="F32" s="8">
        <v>87.4</v>
      </c>
      <c r="G32" s="9">
        <v>0</v>
      </c>
      <c r="H32" s="9">
        <v>0</v>
      </c>
      <c r="I32" s="9">
        <v>0</v>
      </c>
      <c r="J32" s="9">
        <v>0</v>
      </c>
      <c r="K32" s="9" t="s">
        <v>71</v>
      </c>
      <c r="L32" s="10" t="s">
        <v>71</v>
      </c>
      <c r="M32" s="10" t="s">
        <v>106</v>
      </c>
      <c r="N32" s="10" t="s">
        <v>72</v>
      </c>
      <c r="O32" s="10" t="s">
        <v>72</v>
      </c>
      <c r="P32" s="5" t="s">
        <v>102</v>
      </c>
      <c r="Q32" s="11">
        <v>9</v>
      </c>
      <c r="R32" s="21">
        <v>20.440000000000001</v>
      </c>
      <c r="S32" s="10">
        <v>3.11</v>
      </c>
      <c r="T32" s="10">
        <v>4.0599999999999996</v>
      </c>
      <c r="U32" s="10">
        <v>7</v>
      </c>
      <c r="V32" s="10">
        <v>4</v>
      </c>
      <c r="W32" s="10">
        <v>2.0499999999999998</v>
      </c>
      <c r="X32" s="10">
        <v>0</v>
      </c>
      <c r="Y32" s="10">
        <v>0</v>
      </c>
      <c r="Z32" s="10">
        <v>0.22</v>
      </c>
      <c r="AA32" s="13">
        <v>0.01</v>
      </c>
      <c r="AB32" s="13">
        <v>0</v>
      </c>
      <c r="AC32" s="14">
        <f t="shared" si="10"/>
        <v>0</v>
      </c>
      <c r="AD32" s="13">
        <f t="shared" si="11"/>
        <v>0.01</v>
      </c>
      <c r="AE32" s="13">
        <v>0.68300000000000005</v>
      </c>
      <c r="AF32" s="10">
        <v>7.46</v>
      </c>
      <c r="AG32" s="13">
        <v>0</v>
      </c>
      <c r="AH32" s="13">
        <v>0</v>
      </c>
      <c r="AI32" s="10">
        <f t="shared" si="1"/>
        <v>7.46</v>
      </c>
      <c r="AJ32" s="10">
        <v>0.02</v>
      </c>
      <c r="AK32" s="10">
        <v>23.1</v>
      </c>
      <c r="AL32" s="10">
        <v>0</v>
      </c>
      <c r="AM32" s="16">
        <v>40</v>
      </c>
      <c r="AN32" s="16">
        <v>0</v>
      </c>
      <c r="AO32" s="16">
        <v>0</v>
      </c>
      <c r="AP32" s="10">
        <v>0</v>
      </c>
      <c r="AQ32" s="16">
        <v>42.3</v>
      </c>
      <c r="AR32" s="16">
        <v>2604.04</v>
      </c>
      <c r="AS32" s="10">
        <v>6.92</v>
      </c>
      <c r="AT32" s="13">
        <v>0</v>
      </c>
      <c r="AU32" s="10">
        <v>6.73</v>
      </c>
      <c r="AV32" s="17">
        <f t="shared" si="12"/>
        <v>13050.662165117754</v>
      </c>
      <c r="AW32" s="17">
        <v>6847.1238482787094</v>
      </c>
      <c r="AX32" s="17">
        <v>6203.5383168390445</v>
      </c>
      <c r="AY32" s="17">
        <v>0</v>
      </c>
      <c r="BA32" s="18"/>
      <c r="BC32" s="19"/>
      <c r="BD32" s="19"/>
      <c r="BE32" s="19"/>
      <c r="BF32" s="19"/>
      <c r="BG32" s="19"/>
      <c r="BI32" s="16">
        <f t="shared" si="2"/>
        <v>0</v>
      </c>
      <c r="BJ32" s="16">
        <f t="shared" si="3"/>
        <v>0</v>
      </c>
      <c r="BK32" s="16">
        <f t="shared" si="4"/>
        <v>1596.9</v>
      </c>
      <c r="BL32" s="16">
        <f t="shared" si="5"/>
        <v>0</v>
      </c>
      <c r="BM32" s="16">
        <f t="shared" si="6"/>
        <v>1596.9</v>
      </c>
      <c r="BN32" s="16">
        <f t="shared" si="7"/>
        <v>1596.9</v>
      </c>
      <c r="BO32" s="16">
        <f t="shared" si="8"/>
        <v>1596.9</v>
      </c>
      <c r="BP32" s="16">
        <f t="shared" si="9"/>
        <v>0</v>
      </c>
    </row>
    <row r="33" spans="1:68" ht="12" customHeight="1" x14ac:dyDescent="0.25">
      <c r="A33" s="5">
        <f t="shared" si="13"/>
        <v>29</v>
      </c>
      <c r="B33" s="6" t="s">
        <v>107</v>
      </c>
      <c r="C33" s="7">
        <f t="shared" si="0"/>
        <v>2617.3000000000002</v>
      </c>
      <c r="D33" s="8">
        <v>2539.3000000000002</v>
      </c>
      <c r="E33" s="8">
        <v>78</v>
      </c>
      <c r="F33" s="8">
        <v>193.2</v>
      </c>
      <c r="G33" s="9">
        <v>0</v>
      </c>
      <c r="H33" s="9">
        <v>0</v>
      </c>
      <c r="I33" s="9">
        <v>0</v>
      </c>
      <c r="J33" s="9">
        <v>0</v>
      </c>
      <c r="K33" s="9" t="s">
        <v>71</v>
      </c>
      <c r="L33" s="10" t="s">
        <v>71</v>
      </c>
      <c r="M33" s="10" t="s">
        <v>106</v>
      </c>
      <c r="N33" s="10" t="s">
        <v>72</v>
      </c>
      <c r="O33" s="10" t="s">
        <v>72</v>
      </c>
      <c r="P33" s="5" t="s">
        <v>102</v>
      </c>
      <c r="Q33" s="11">
        <v>9</v>
      </c>
      <c r="R33" s="21">
        <v>20.440000000000001</v>
      </c>
      <c r="S33" s="10">
        <v>3.11</v>
      </c>
      <c r="T33" s="10">
        <v>4.0599999999999996</v>
      </c>
      <c r="U33" s="10">
        <v>7</v>
      </c>
      <c r="V33" s="10">
        <v>4</v>
      </c>
      <c r="W33" s="10">
        <v>2.0499999999999998</v>
      </c>
      <c r="X33" s="10">
        <v>0</v>
      </c>
      <c r="Y33" s="10">
        <v>0</v>
      </c>
      <c r="Z33" s="10">
        <v>0.22</v>
      </c>
      <c r="AA33" s="13">
        <v>0.01</v>
      </c>
      <c r="AB33" s="13">
        <v>0</v>
      </c>
      <c r="AC33" s="14">
        <f t="shared" si="10"/>
        <v>0</v>
      </c>
      <c r="AD33" s="13">
        <f t="shared" si="11"/>
        <v>0.01</v>
      </c>
      <c r="AE33" s="13">
        <v>0.68300000000000005</v>
      </c>
      <c r="AF33" s="10">
        <v>7.46</v>
      </c>
      <c r="AG33" s="13">
        <v>0</v>
      </c>
      <c r="AH33" s="13">
        <v>0</v>
      </c>
      <c r="AI33" s="10">
        <f t="shared" si="1"/>
        <v>7.46</v>
      </c>
      <c r="AJ33" s="10">
        <v>0.02</v>
      </c>
      <c r="AK33" s="10">
        <v>23.1</v>
      </c>
      <c r="AL33" s="10">
        <v>0</v>
      </c>
      <c r="AM33" s="16">
        <v>40</v>
      </c>
      <c r="AN33" s="16">
        <v>0</v>
      </c>
      <c r="AO33" s="16">
        <v>0</v>
      </c>
      <c r="AP33" s="10">
        <v>0</v>
      </c>
      <c r="AQ33" s="16">
        <v>42.3</v>
      </c>
      <c r="AR33" s="16">
        <v>2604.04</v>
      </c>
      <c r="AS33" s="10">
        <v>6.92</v>
      </c>
      <c r="AT33" s="13">
        <v>0</v>
      </c>
      <c r="AU33" s="10">
        <v>6.73</v>
      </c>
      <c r="AV33" s="17">
        <f t="shared" si="12"/>
        <v>21385.039624905541</v>
      </c>
      <c r="AW33" s="17">
        <v>11219.82270731288</v>
      </c>
      <c r="AX33" s="17">
        <v>10165.216917592659</v>
      </c>
      <c r="AY33" s="17">
        <v>0</v>
      </c>
      <c r="BA33" s="18"/>
      <c r="BC33" s="19"/>
      <c r="BD33" s="19"/>
      <c r="BE33" s="19"/>
      <c r="BF33" s="19"/>
      <c r="BG33" s="19"/>
      <c r="BI33" s="16">
        <f t="shared" si="2"/>
        <v>0</v>
      </c>
      <c r="BJ33" s="16">
        <f t="shared" si="3"/>
        <v>0</v>
      </c>
      <c r="BK33" s="16">
        <f t="shared" si="4"/>
        <v>2617.3000000000002</v>
      </c>
      <c r="BL33" s="16">
        <f t="shared" si="5"/>
        <v>0</v>
      </c>
      <c r="BM33" s="16">
        <f t="shared" si="6"/>
        <v>2617.3000000000002</v>
      </c>
      <c r="BN33" s="16">
        <f t="shared" si="7"/>
        <v>2617.3000000000002</v>
      </c>
      <c r="BO33" s="16">
        <f t="shared" si="8"/>
        <v>2617.3000000000002</v>
      </c>
      <c r="BP33" s="16">
        <f t="shared" si="9"/>
        <v>0</v>
      </c>
    </row>
    <row r="34" spans="1:68" ht="12" customHeight="1" x14ac:dyDescent="0.25">
      <c r="A34" s="5">
        <f t="shared" si="13"/>
        <v>30</v>
      </c>
      <c r="B34" s="6" t="s">
        <v>108</v>
      </c>
      <c r="C34" s="7">
        <f t="shared" si="0"/>
        <v>794.16</v>
      </c>
      <c r="D34" s="8">
        <v>794.16</v>
      </c>
      <c r="E34" s="8">
        <v>0</v>
      </c>
      <c r="F34" s="8">
        <v>96</v>
      </c>
      <c r="G34" s="9">
        <v>0</v>
      </c>
      <c r="H34" s="9">
        <v>0</v>
      </c>
      <c r="I34" s="9">
        <v>0</v>
      </c>
      <c r="J34" s="9">
        <v>0</v>
      </c>
      <c r="K34" s="9" t="s">
        <v>71</v>
      </c>
      <c r="L34" s="10" t="s">
        <v>71</v>
      </c>
      <c r="M34" s="10">
        <v>0</v>
      </c>
      <c r="N34" s="10" t="s">
        <v>72</v>
      </c>
      <c r="O34" s="10" t="s">
        <v>72</v>
      </c>
      <c r="P34" s="5" t="s">
        <v>102</v>
      </c>
      <c r="Q34" s="11">
        <v>9</v>
      </c>
      <c r="R34" s="21">
        <v>16.23</v>
      </c>
      <c r="S34" s="10">
        <v>0</v>
      </c>
      <c r="T34" s="10">
        <v>3.25</v>
      </c>
      <c r="U34" s="10">
        <v>6.71</v>
      </c>
      <c r="V34" s="10">
        <v>4</v>
      </c>
      <c r="W34" s="10">
        <v>2.0499999999999998</v>
      </c>
      <c r="X34" s="10">
        <v>0</v>
      </c>
      <c r="Y34" s="10">
        <v>0</v>
      </c>
      <c r="Z34" s="10">
        <v>0.22</v>
      </c>
      <c r="AA34" s="13">
        <v>0.01</v>
      </c>
      <c r="AB34" s="13">
        <v>0</v>
      </c>
      <c r="AC34" s="14">
        <f t="shared" si="10"/>
        <v>0</v>
      </c>
      <c r="AD34" s="13">
        <f t="shared" si="11"/>
        <v>0.01</v>
      </c>
      <c r="AE34" s="13">
        <v>0.68300000000000005</v>
      </c>
      <c r="AF34" s="10">
        <v>3.86</v>
      </c>
      <c r="AG34" s="13">
        <v>0</v>
      </c>
      <c r="AH34" s="13">
        <v>0</v>
      </c>
      <c r="AI34" s="10">
        <f t="shared" si="1"/>
        <v>3.86</v>
      </c>
      <c r="AJ34" s="10">
        <v>0.02</v>
      </c>
      <c r="AK34" s="10">
        <v>11.6</v>
      </c>
      <c r="AL34" s="10">
        <v>0</v>
      </c>
      <c r="AM34" s="16">
        <v>40</v>
      </c>
      <c r="AN34" s="16">
        <v>0</v>
      </c>
      <c r="AO34" s="16">
        <v>0</v>
      </c>
      <c r="AP34" s="10">
        <v>0</v>
      </c>
      <c r="AQ34" s="16">
        <v>42.3</v>
      </c>
      <c r="AR34" s="16">
        <v>2604.04</v>
      </c>
      <c r="AS34" s="10">
        <v>7.85</v>
      </c>
      <c r="AT34" s="13">
        <v>0</v>
      </c>
      <c r="AU34" s="10">
        <v>6.73</v>
      </c>
      <c r="AV34" s="17">
        <f t="shared" si="12"/>
        <v>5485.4287256829512</v>
      </c>
      <c r="AW34" s="17">
        <v>3107.8726002896906</v>
      </c>
      <c r="AX34" s="17">
        <v>2377.5561253932606</v>
      </c>
      <c r="AY34" s="17">
        <v>0</v>
      </c>
      <c r="BA34" s="18"/>
      <c r="BC34" s="19"/>
      <c r="BD34" s="19"/>
      <c r="BE34" s="19"/>
      <c r="BF34" s="19"/>
      <c r="BG34" s="19"/>
      <c r="BI34" s="16">
        <f t="shared" si="2"/>
        <v>0</v>
      </c>
      <c r="BJ34" s="16">
        <f t="shared" si="3"/>
        <v>0</v>
      </c>
      <c r="BK34" s="16">
        <f t="shared" si="4"/>
        <v>794.16</v>
      </c>
      <c r="BL34" s="16">
        <f t="shared" si="5"/>
        <v>0</v>
      </c>
      <c r="BM34" s="16">
        <f t="shared" si="6"/>
        <v>794.16</v>
      </c>
      <c r="BN34" s="16">
        <f t="shared" si="7"/>
        <v>794.16</v>
      </c>
      <c r="BO34" s="16">
        <f t="shared" si="8"/>
        <v>794.16</v>
      </c>
      <c r="BP34" s="16">
        <f t="shared" si="9"/>
        <v>0</v>
      </c>
    </row>
    <row r="35" spans="1:68" ht="12" customHeight="1" x14ac:dyDescent="0.25">
      <c r="A35" s="5">
        <f t="shared" si="13"/>
        <v>31</v>
      </c>
      <c r="B35" s="6" t="s">
        <v>109</v>
      </c>
      <c r="C35" s="7">
        <f t="shared" si="0"/>
        <v>3900.4</v>
      </c>
      <c r="D35" s="8">
        <v>3900.4</v>
      </c>
      <c r="E35" s="8">
        <v>0</v>
      </c>
      <c r="F35" s="8">
        <v>628</v>
      </c>
      <c r="G35" s="9">
        <v>1</v>
      </c>
      <c r="H35" s="9">
        <v>1</v>
      </c>
      <c r="I35" s="9">
        <v>400</v>
      </c>
      <c r="J35" s="9">
        <v>630</v>
      </c>
      <c r="K35" s="9" t="s">
        <v>83</v>
      </c>
      <c r="L35" s="10" t="s">
        <v>71</v>
      </c>
      <c r="M35" s="10">
        <v>0</v>
      </c>
      <c r="N35" s="10" t="s">
        <v>72</v>
      </c>
      <c r="O35" s="10" t="s">
        <v>72</v>
      </c>
      <c r="P35" s="5" t="s">
        <v>102</v>
      </c>
      <c r="Q35" s="11">
        <v>1</v>
      </c>
      <c r="R35" s="21">
        <v>36.54</v>
      </c>
      <c r="S35" s="10">
        <v>4.03</v>
      </c>
      <c r="T35" s="10">
        <v>7</v>
      </c>
      <c r="U35" s="10">
        <v>11</v>
      </c>
      <c r="V35" s="10">
        <v>5.4</v>
      </c>
      <c r="W35" s="10">
        <v>2.67</v>
      </c>
      <c r="X35" s="10">
        <v>1.54</v>
      </c>
      <c r="Y35" s="10">
        <v>4.9000000000000004</v>
      </c>
      <c r="Z35" s="10">
        <v>0</v>
      </c>
      <c r="AA35" s="13">
        <v>7.0000000000000001E-3</v>
      </c>
      <c r="AB35" s="13">
        <v>7.0000000000000001E-3</v>
      </c>
      <c r="AC35" s="14">
        <f t="shared" si="10"/>
        <v>4.193E-4</v>
      </c>
      <c r="AD35" s="13">
        <f t="shared" si="11"/>
        <v>1.4E-2</v>
      </c>
      <c r="AE35" s="13">
        <v>3.23</v>
      </c>
      <c r="AF35" s="10">
        <v>4.29</v>
      </c>
      <c r="AG35" s="10">
        <v>3.17</v>
      </c>
      <c r="AH35" s="15">
        <v>5.9900000000000002E-2</v>
      </c>
      <c r="AI35" s="10">
        <f t="shared" si="1"/>
        <v>7.46</v>
      </c>
      <c r="AJ35" s="10">
        <v>0.02</v>
      </c>
      <c r="AK35" s="13">
        <v>0</v>
      </c>
      <c r="AL35" s="10">
        <v>0</v>
      </c>
      <c r="AM35" s="16">
        <v>40</v>
      </c>
      <c r="AN35" s="16">
        <v>40</v>
      </c>
      <c r="AO35" s="16">
        <v>2604.04</v>
      </c>
      <c r="AP35" s="10">
        <v>195.98199600000001</v>
      </c>
      <c r="AQ35" s="16">
        <v>42.3</v>
      </c>
      <c r="AR35" s="16">
        <v>2604.04</v>
      </c>
      <c r="AS35" s="10">
        <v>0</v>
      </c>
      <c r="AT35" s="13">
        <v>0</v>
      </c>
      <c r="AU35" s="10">
        <v>5.05</v>
      </c>
      <c r="AV35" s="17">
        <f t="shared" si="12"/>
        <v>39790.496170051185</v>
      </c>
      <c r="AW35" s="17">
        <v>16746.989320225501</v>
      </c>
      <c r="AX35" s="17">
        <v>15172.866834369941</v>
      </c>
      <c r="AY35" s="17">
        <v>7870.6400154557441</v>
      </c>
      <c r="BA35" s="18"/>
      <c r="BC35" s="19"/>
      <c r="BD35" s="19"/>
      <c r="BE35" s="19"/>
      <c r="BF35" s="19"/>
      <c r="BG35" s="19"/>
      <c r="BI35" s="16">
        <f t="shared" si="2"/>
        <v>3900.4</v>
      </c>
      <c r="BJ35" s="16">
        <f t="shared" si="3"/>
        <v>0</v>
      </c>
      <c r="BK35" s="16">
        <f t="shared" si="4"/>
        <v>3900.4</v>
      </c>
      <c r="BL35" s="16">
        <f t="shared" si="5"/>
        <v>3900.4</v>
      </c>
      <c r="BM35" s="16">
        <f t="shared" si="6"/>
        <v>3900.4</v>
      </c>
      <c r="BN35" s="16">
        <f t="shared" si="7"/>
        <v>3900.4</v>
      </c>
      <c r="BO35" s="16">
        <f t="shared" si="8"/>
        <v>0</v>
      </c>
      <c r="BP35" s="16">
        <f t="shared" si="9"/>
        <v>3900.4</v>
      </c>
    </row>
    <row r="36" spans="1:68" ht="12" customHeight="1" x14ac:dyDescent="0.25">
      <c r="A36" s="5">
        <f t="shared" si="13"/>
        <v>32</v>
      </c>
      <c r="B36" s="6" t="s">
        <v>110</v>
      </c>
      <c r="C36" s="7">
        <f t="shared" si="0"/>
        <v>330.3</v>
      </c>
      <c r="D36" s="8">
        <v>330.3</v>
      </c>
      <c r="E36" s="8">
        <v>0</v>
      </c>
      <c r="F36" s="8">
        <v>148.6</v>
      </c>
      <c r="G36" s="9">
        <v>0</v>
      </c>
      <c r="H36" s="9">
        <v>0</v>
      </c>
      <c r="I36" s="9">
        <v>0</v>
      </c>
      <c r="J36" s="9">
        <v>0</v>
      </c>
      <c r="K36" s="9" t="s">
        <v>71</v>
      </c>
      <c r="L36" s="10" t="s">
        <v>71</v>
      </c>
      <c r="M36" s="10">
        <v>0</v>
      </c>
      <c r="N36" s="10" t="s">
        <v>72</v>
      </c>
      <c r="O36" s="10" t="s">
        <v>72</v>
      </c>
      <c r="P36" s="5" t="s">
        <v>102</v>
      </c>
      <c r="Q36" s="11">
        <v>8</v>
      </c>
      <c r="R36" s="21">
        <v>16.02</v>
      </c>
      <c r="S36" s="10">
        <v>0</v>
      </c>
      <c r="T36" s="10">
        <v>3.25</v>
      </c>
      <c r="U36" s="10">
        <v>6.72</v>
      </c>
      <c r="V36" s="10">
        <v>4</v>
      </c>
      <c r="W36" s="10">
        <v>2.0499999999999998</v>
      </c>
      <c r="X36" s="10">
        <v>0</v>
      </c>
      <c r="Y36" s="10">
        <v>0</v>
      </c>
      <c r="Z36" s="10">
        <v>0</v>
      </c>
      <c r="AA36" s="13">
        <v>0.01</v>
      </c>
      <c r="AB36" s="13">
        <v>0</v>
      </c>
      <c r="AC36" s="14">
        <f t="shared" si="10"/>
        <v>0</v>
      </c>
      <c r="AD36" s="13">
        <f t="shared" si="11"/>
        <v>0.01</v>
      </c>
      <c r="AE36" s="13">
        <v>0.68300000000000005</v>
      </c>
      <c r="AF36" s="10">
        <v>3.15</v>
      </c>
      <c r="AG36" s="13">
        <v>0</v>
      </c>
      <c r="AH36" s="13">
        <v>0</v>
      </c>
      <c r="AI36" s="10">
        <f t="shared" si="1"/>
        <v>3.15</v>
      </c>
      <c r="AJ36" s="10">
        <v>0.02</v>
      </c>
      <c r="AK36" s="13">
        <v>0</v>
      </c>
      <c r="AL36" s="10">
        <v>0</v>
      </c>
      <c r="AM36" s="16">
        <v>40</v>
      </c>
      <c r="AN36" s="16">
        <v>0</v>
      </c>
      <c r="AO36" s="16">
        <v>0</v>
      </c>
      <c r="AP36" s="10">
        <v>0</v>
      </c>
      <c r="AQ36" s="16">
        <v>42.3</v>
      </c>
      <c r="AR36" s="16">
        <v>2604.04</v>
      </c>
      <c r="AS36" s="10">
        <v>0</v>
      </c>
      <c r="AT36" s="13">
        <v>0</v>
      </c>
      <c r="AU36" s="10">
        <v>5.05</v>
      </c>
      <c r="AV36" s="17">
        <f t="shared" si="12"/>
        <v>2698.8661329990687</v>
      </c>
      <c r="AW36" s="17">
        <v>1415.9847207900698</v>
      </c>
      <c r="AX36" s="17">
        <v>1282.8814122089989</v>
      </c>
      <c r="AY36" s="17">
        <v>0</v>
      </c>
      <c r="BA36" s="22" t="s">
        <v>111</v>
      </c>
      <c r="BC36" s="19"/>
      <c r="BD36" s="19"/>
      <c r="BE36" s="19"/>
      <c r="BF36" s="19"/>
      <c r="BG36" s="19" t="s">
        <v>112</v>
      </c>
      <c r="BI36" s="16">
        <f t="shared" si="2"/>
        <v>0</v>
      </c>
      <c r="BJ36" s="16">
        <f t="shared" si="3"/>
        <v>0</v>
      </c>
      <c r="BK36" s="16">
        <f t="shared" si="4"/>
        <v>330.3</v>
      </c>
      <c r="BL36" s="16">
        <f t="shared" si="5"/>
        <v>0</v>
      </c>
      <c r="BM36" s="16">
        <f t="shared" si="6"/>
        <v>330.3</v>
      </c>
      <c r="BN36" s="16">
        <f t="shared" si="7"/>
        <v>330.3</v>
      </c>
      <c r="BO36" s="16">
        <f t="shared" si="8"/>
        <v>0</v>
      </c>
      <c r="BP36" s="16">
        <f t="shared" si="9"/>
        <v>330.3</v>
      </c>
    </row>
    <row r="37" spans="1:68" ht="12" customHeight="1" x14ac:dyDescent="0.25">
      <c r="A37" s="5">
        <f t="shared" si="13"/>
        <v>33</v>
      </c>
      <c r="B37" s="6" t="s">
        <v>113</v>
      </c>
      <c r="C37" s="7">
        <f t="shared" si="0"/>
        <v>331.2</v>
      </c>
      <c r="D37" s="8">
        <v>331.2</v>
      </c>
      <c r="E37" s="8">
        <v>0</v>
      </c>
      <c r="F37" s="8">
        <v>41.4</v>
      </c>
      <c r="G37" s="9">
        <v>0</v>
      </c>
      <c r="H37" s="9">
        <v>0</v>
      </c>
      <c r="I37" s="9">
        <v>0</v>
      </c>
      <c r="J37" s="9">
        <v>0</v>
      </c>
      <c r="K37" s="9" t="s">
        <v>71</v>
      </c>
      <c r="L37" s="10" t="s">
        <v>71</v>
      </c>
      <c r="M37" s="10">
        <v>0</v>
      </c>
      <c r="N37" s="10" t="s">
        <v>72</v>
      </c>
      <c r="O37" s="10" t="s">
        <v>72</v>
      </c>
      <c r="P37" s="5" t="s">
        <v>102</v>
      </c>
      <c r="Q37" s="11">
        <v>8</v>
      </c>
      <c r="R37" s="21">
        <v>16.02</v>
      </c>
      <c r="S37" s="10">
        <v>0</v>
      </c>
      <c r="T37" s="10">
        <v>3.25</v>
      </c>
      <c r="U37" s="10">
        <v>6.72</v>
      </c>
      <c r="V37" s="10">
        <v>4</v>
      </c>
      <c r="W37" s="10">
        <v>2.0499999999999998</v>
      </c>
      <c r="X37" s="10">
        <v>0</v>
      </c>
      <c r="Y37" s="10">
        <v>0</v>
      </c>
      <c r="Z37" s="10">
        <v>0</v>
      </c>
      <c r="AA37" s="13">
        <v>0.01</v>
      </c>
      <c r="AB37" s="13">
        <v>0</v>
      </c>
      <c r="AC37" s="14">
        <f t="shared" si="10"/>
        <v>0</v>
      </c>
      <c r="AD37" s="13">
        <f t="shared" si="11"/>
        <v>0.01</v>
      </c>
      <c r="AE37" s="13">
        <v>0.68300000000000005</v>
      </c>
      <c r="AF37" s="10">
        <v>3.15</v>
      </c>
      <c r="AG37" s="13">
        <v>0</v>
      </c>
      <c r="AH37" s="13">
        <v>0</v>
      </c>
      <c r="AI37" s="10">
        <f t="shared" si="1"/>
        <v>3.15</v>
      </c>
      <c r="AJ37" s="10">
        <v>0.02</v>
      </c>
      <c r="AK37" s="13">
        <v>0</v>
      </c>
      <c r="AL37" s="10">
        <v>0</v>
      </c>
      <c r="AM37" s="16">
        <v>40</v>
      </c>
      <c r="AN37" s="16">
        <v>0</v>
      </c>
      <c r="AO37" s="16">
        <v>0</v>
      </c>
      <c r="AP37" s="10">
        <v>0</v>
      </c>
      <c r="AQ37" s="16">
        <v>42.3</v>
      </c>
      <c r="AR37" s="16">
        <v>2604.04</v>
      </c>
      <c r="AS37" s="10">
        <v>0</v>
      </c>
      <c r="AT37" s="13">
        <v>0</v>
      </c>
      <c r="AU37" s="10">
        <v>5.05</v>
      </c>
      <c r="AV37" s="17">
        <f t="shared" si="12"/>
        <v>2463.5560351345016</v>
      </c>
      <c r="AW37" s="17">
        <v>1292.5227814005189</v>
      </c>
      <c r="AX37" s="17">
        <v>1171.0332537339827</v>
      </c>
      <c r="AY37" s="17">
        <v>0</v>
      </c>
      <c r="BA37" s="22" t="s">
        <v>111</v>
      </c>
      <c r="BC37" s="19"/>
      <c r="BD37" s="19"/>
      <c r="BE37" s="19"/>
      <c r="BF37" s="19"/>
      <c r="BG37" s="19" t="s">
        <v>112</v>
      </c>
      <c r="BI37" s="16">
        <f t="shared" si="2"/>
        <v>0</v>
      </c>
      <c r="BJ37" s="16">
        <f t="shared" si="3"/>
        <v>0</v>
      </c>
      <c r="BK37" s="16">
        <f t="shared" si="4"/>
        <v>331.2</v>
      </c>
      <c r="BL37" s="16">
        <f t="shared" si="5"/>
        <v>0</v>
      </c>
      <c r="BM37" s="16">
        <f t="shared" si="6"/>
        <v>331.2</v>
      </c>
      <c r="BN37" s="16">
        <f t="shared" si="7"/>
        <v>331.2</v>
      </c>
      <c r="BO37" s="16">
        <f t="shared" si="8"/>
        <v>0</v>
      </c>
      <c r="BP37" s="16">
        <f t="shared" si="9"/>
        <v>331.2</v>
      </c>
    </row>
    <row r="38" spans="1:68" ht="12" customHeight="1" x14ac:dyDescent="0.25">
      <c r="A38" s="5">
        <f t="shared" si="13"/>
        <v>34</v>
      </c>
      <c r="B38" s="6" t="s">
        <v>114</v>
      </c>
      <c r="C38" s="7">
        <f t="shared" ref="C38" si="14">SUM(D38:E38)</f>
        <v>169.6</v>
      </c>
      <c r="D38" s="8">
        <v>169.6</v>
      </c>
      <c r="E38" s="8">
        <v>0</v>
      </c>
      <c r="F38" s="8">
        <v>11.9</v>
      </c>
      <c r="G38" s="9">
        <v>0</v>
      </c>
      <c r="H38" s="9">
        <v>0</v>
      </c>
      <c r="I38" s="9">
        <v>0</v>
      </c>
      <c r="J38" s="9">
        <v>0</v>
      </c>
      <c r="K38" s="9" t="s">
        <v>71</v>
      </c>
      <c r="L38" s="10" t="s">
        <v>71</v>
      </c>
      <c r="M38" s="10">
        <v>0</v>
      </c>
      <c r="N38" s="10" t="s">
        <v>72</v>
      </c>
      <c r="O38" s="10" t="s">
        <v>72</v>
      </c>
      <c r="P38" s="5" t="s">
        <v>102</v>
      </c>
      <c r="Q38" s="11">
        <v>8</v>
      </c>
      <c r="R38" s="21">
        <v>16.02</v>
      </c>
      <c r="S38" s="10">
        <v>0</v>
      </c>
      <c r="T38" s="10">
        <v>3.25</v>
      </c>
      <c r="U38" s="10">
        <v>6.72</v>
      </c>
      <c r="V38" s="10">
        <v>4</v>
      </c>
      <c r="W38" s="10">
        <v>2.0499999999999998</v>
      </c>
      <c r="X38" s="10">
        <v>0</v>
      </c>
      <c r="Y38" s="10">
        <v>0</v>
      </c>
      <c r="Z38" s="10">
        <v>0</v>
      </c>
      <c r="AA38" s="13">
        <v>0.01</v>
      </c>
      <c r="AB38" s="13">
        <v>0</v>
      </c>
      <c r="AC38" s="14">
        <f t="shared" si="10"/>
        <v>0</v>
      </c>
      <c r="AD38" s="13">
        <f t="shared" si="11"/>
        <v>0.01</v>
      </c>
      <c r="AE38" s="13">
        <v>0.68300000000000005</v>
      </c>
      <c r="AF38" s="10">
        <v>3.15</v>
      </c>
      <c r="AG38" s="13">
        <v>0</v>
      </c>
      <c r="AH38" s="13">
        <v>0</v>
      </c>
      <c r="AI38" s="10">
        <f t="shared" si="1"/>
        <v>3.15</v>
      </c>
      <c r="AJ38" s="10">
        <v>0.02</v>
      </c>
      <c r="AK38" s="13">
        <v>0</v>
      </c>
      <c r="AL38" s="10">
        <v>0</v>
      </c>
      <c r="AM38" s="16">
        <v>40</v>
      </c>
      <c r="AN38" s="16">
        <v>0</v>
      </c>
      <c r="AO38" s="16">
        <v>0</v>
      </c>
      <c r="AP38" s="10">
        <v>0</v>
      </c>
      <c r="AQ38" s="16">
        <v>42.3</v>
      </c>
      <c r="AR38" s="16">
        <v>2604.04</v>
      </c>
      <c r="AS38" s="10">
        <v>0</v>
      </c>
      <c r="AT38" s="13">
        <v>0</v>
      </c>
      <c r="AU38" s="10">
        <v>5.05</v>
      </c>
      <c r="AV38" s="17">
        <f t="shared" si="12"/>
        <v>1385.8054421190457</v>
      </c>
      <c r="AW38" s="17">
        <v>727.07509898797912</v>
      </c>
      <c r="AX38" s="23">
        <v>658.73034313106655</v>
      </c>
      <c r="AY38" s="17">
        <v>0</v>
      </c>
      <c r="BA38" s="22" t="s">
        <v>115</v>
      </c>
      <c r="BC38" s="19"/>
      <c r="BD38" s="19"/>
      <c r="BE38" s="19"/>
      <c r="BF38" s="19"/>
      <c r="BG38" s="19" t="s">
        <v>112</v>
      </c>
      <c r="BI38" s="16">
        <f t="shared" si="2"/>
        <v>0</v>
      </c>
      <c r="BJ38" s="16">
        <f t="shared" si="3"/>
        <v>0</v>
      </c>
      <c r="BK38" s="16">
        <f t="shared" si="4"/>
        <v>169.6</v>
      </c>
      <c r="BL38" s="16">
        <f t="shared" si="5"/>
        <v>0</v>
      </c>
      <c r="BM38" s="16">
        <f t="shared" si="6"/>
        <v>169.6</v>
      </c>
      <c r="BN38" s="16">
        <f t="shared" si="7"/>
        <v>169.6</v>
      </c>
      <c r="BO38" s="16">
        <f t="shared" si="8"/>
        <v>0</v>
      </c>
      <c r="BP38" s="16">
        <f t="shared" si="9"/>
        <v>169.6</v>
      </c>
    </row>
    <row r="39" spans="1:68" ht="12" customHeight="1" x14ac:dyDescent="0.25">
      <c r="A39" s="5">
        <f t="shared" si="13"/>
        <v>35</v>
      </c>
      <c r="B39" s="6" t="s">
        <v>116</v>
      </c>
      <c r="C39" s="7">
        <f t="shared" si="0"/>
        <v>10785.62</v>
      </c>
      <c r="D39" s="8">
        <v>10785.62</v>
      </c>
      <c r="E39" s="8">
        <v>0</v>
      </c>
      <c r="F39" s="8">
        <v>980.8</v>
      </c>
      <c r="G39" s="9">
        <v>6</v>
      </c>
      <c r="H39" s="9">
        <v>0</v>
      </c>
      <c r="I39" s="9">
        <v>400</v>
      </c>
      <c r="J39" s="9">
        <v>0</v>
      </c>
      <c r="K39" s="9" t="s">
        <v>71</v>
      </c>
      <c r="L39" s="10" t="s">
        <v>71</v>
      </c>
      <c r="M39" s="10">
        <v>0</v>
      </c>
      <c r="N39" s="10" t="s">
        <v>72</v>
      </c>
      <c r="O39" s="10" t="s">
        <v>72</v>
      </c>
      <c r="P39" s="5" t="s">
        <v>73</v>
      </c>
      <c r="Q39" s="11">
        <v>3</v>
      </c>
      <c r="R39" s="12">
        <v>41.34</v>
      </c>
      <c r="S39" s="10">
        <v>4.68</v>
      </c>
      <c r="T39" s="10">
        <v>7.92</v>
      </c>
      <c r="U39" s="10">
        <v>12.32</v>
      </c>
      <c r="V39" s="10">
        <v>6.34</v>
      </c>
      <c r="W39" s="10">
        <v>2.89</v>
      </c>
      <c r="X39" s="10">
        <v>1.66</v>
      </c>
      <c r="Y39" s="10">
        <v>5.29</v>
      </c>
      <c r="Z39" s="10">
        <v>0.24</v>
      </c>
      <c r="AA39" s="13">
        <v>1.2E-2</v>
      </c>
      <c r="AB39" s="13">
        <v>1.2E-2</v>
      </c>
      <c r="AC39" s="14">
        <f t="shared" si="10"/>
        <v>7.1880000000000002E-4</v>
      </c>
      <c r="AD39" s="13">
        <f t="shared" si="11"/>
        <v>2.4E-2</v>
      </c>
      <c r="AE39" s="13">
        <v>3.23</v>
      </c>
      <c r="AF39" s="10">
        <v>4.29</v>
      </c>
      <c r="AG39" s="10">
        <v>3.17</v>
      </c>
      <c r="AH39" s="15">
        <v>5.9900000000000002E-2</v>
      </c>
      <c r="AI39" s="10">
        <f t="shared" si="1"/>
        <v>7.46</v>
      </c>
      <c r="AJ39" s="10">
        <v>0.02</v>
      </c>
      <c r="AK39" s="10">
        <v>10</v>
      </c>
      <c r="AL39" s="10">
        <v>0</v>
      </c>
      <c r="AM39" s="16">
        <v>40</v>
      </c>
      <c r="AN39" s="16">
        <v>40</v>
      </c>
      <c r="AO39" s="16">
        <v>2604.04</v>
      </c>
      <c r="AP39" s="10">
        <v>195.98199600000001</v>
      </c>
      <c r="AQ39" s="16">
        <v>42.3</v>
      </c>
      <c r="AR39" s="16">
        <v>2604.04</v>
      </c>
      <c r="AS39" s="10">
        <v>7.85</v>
      </c>
      <c r="AT39" s="13">
        <v>0</v>
      </c>
      <c r="AU39" s="10">
        <v>6.73</v>
      </c>
      <c r="AV39" s="17">
        <f t="shared" si="12"/>
        <v>99697.757434020401</v>
      </c>
      <c r="AW39" s="17">
        <v>41960.700788926391</v>
      </c>
      <c r="AX39" s="17">
        <v>38016.622169701215</v>
      </c>
      <c r="AY39" s="17">
        <v>19720.434475392794</v>
      </c>
      <c r="BA39" s="18"/>
      <c r="BC39" s="19"/>
      <c r="BD39" s="19"/>
      <c r="BE39" s="19"/>
      <c r="BF39" s="19"/>
      <c r="BG39" s="19"/>
      <c r="BI39" s="16">
        <f t="shared" si="2"/>
        <v>0</v>
      </c>
      <c r="BJ39" s="16">
        <f t="shared" si="3"/>
        <v>10785.62</v>
      </c>
      <c r="BK39" s="16">
        <f t="shared" si="4"/>
        <v>10785.62</v>
      </c>
      <c r="BL39" s="16">
        <f t="shared" si="5"/>
        <v>10785.62</v>
      </c>
      <c r="BM39" s="16">
        <f t="shared" si="6"/>
        <v>10785.62</v>
      </c>
      <c r="BN39" s="16">
        <f t="shared" si="7"/>
        <v>10785.62</v>
      </c>
      <c r="BO39" s="16">
        <f t="shared" si="8"/>
        <v>10785.62</v>
      </c>
      <c r="BP39" s="16">
        <f t="shared" si="9"/>
        <v>0</v>
      </c>
    </row>
    <row r="40" spans="1:68" ht="12" customHeight="1" x14ac:dyDescent="0.25">
      <c r="A40" s="5">
        <f t="shared" si="13"/>
        <v>36</v>
      </c>
      <c r="B40" s="6" t="s">
        <v>117</v>
      </c>
      <c r="C40" s="7">
        <f t="shared" si="0"/>
        <v>10772.68</v>
      </c>
      <c r="D40" s="8">
        <v>10772.68</v>
      </c>
      <c r="E40" s="8">
        <v>0</v>
      </c>
      <c r="F40" s="8">
        <v>1031.5999999999999</v>
      </c>
      <c r="G40" s="9">
        <v>6</v>
      </c>
      <c r="H40" s="9">
        <v>0</v>
      </c>
      <c r="I40" s="9">
        <v>400</v>
      </c>
      <c r="J40" s="9">
        <v>0</v>
      </c>
      <c r="K40" s="9" t="s">
        <v>83</v>
      </c>
      <c r="L40" s="10" t="s">
        <v>71</v>
      </c>
      <c r="M40" s="10">
        <v>0</v>
      </c>
      <c r="N40" s="10" t="s">
        <v>72</v>
      </c>
      <c r="O40" s="10" t="s">
        <v>72</v>
      </c>
      <c r="P40" s="5" t="s">
        <v>73</v>
      </c>
      <c r="Q40" s="11">
        <v>3</v>
      </c>
      <c r="R40" s="12">
        <v>41.34</v>
      </c>
      <c r="S40" s="10">
        <v>4.68</v>
      </c>
      <c r="T40" s="10">
        <v>7.92</v>
      </c>
      <c r="U40" s="10">
        <v>12.32</v>
      </c>
      <c r="V40" s="10">
        <v>6.34</v>
      </c>
      <c r="W40" s="10">
        <v>2.89</v>
      </c>
      <c r="X40" s="10">
        <v>1.66</v>
      </c>
      <c r="Y40" s="10">
        <v>5.29</v>
      </c>
      <c r="Z40" s="10">
        <v>0.24</v>
      </c>
      <c r="AA40" s="13">
        <v>1.2E-2</v>
      </c>
      <c r="AB40" s="13">
        <v>1.2E-2</v>
      </c>
      <c r="AC40" s="14">
        <f t="shared" si="10"/>
        <v>7.1880000000000002E-4</v>
      </c>
      <c r="AD40" s="13">
        <f t="shared" si="11"/>
        <v>2.4E-2</v>
      </c>
      <c r="AE40" s="13">
        <v>3.23</v>
      </c>
      <c r="AF40" s="10">
        <v>4.29</v>
      </c>
      <c r="AG40" s="10">
        <v>3.17</v>
      </c>
      <c r="AH40" s="15">
        <v>5.9900000000000002E-2</v>
      </c>
      <c r="AI40" s="10">
        <f t="shared" si="1"/>
        <v>7.46</v>
      </c>
      <c r="AJ40" s="10">
        <v>0.02</v>
      </c>
      <c r="AK40" s="10">
        <v>10</v>
      </c>
      <c r="AL40" s="10">
        <v>0</v>
      </c>
      <c r="AM40" s="16">
        <v>40</v>
      </c>
      <c r="AN40" s="16">
        <v>40</v>
      </c>
      <c r="AO40" s="16">
        <v>2604.04</v>
      </c>
      <c r="AP40" s="10">
        <v>195.98199600000001</v>
      </c>
      <c r="AQ40" s="16">
        <v>42.3</v>
      </c>
      <c r="AR40" s="16">
        <v>2604.04</v>
      </c>
      <c r="AS40" s="10">
        <v>7.85</v>
      </c>
      <c r="AT40" s="13">
        <v>0</v>
      </c>
      <c r="AU40" s="10">
        <v>6.73</v>
      </c>
      <c r="AV40" s="17">
        <f t="shared" si="12"/>
        <v>99657.026442285685</v>
      </c>
      <c r="AW40" s="17">
        <v>41943.555979334036</v>
      </c>
      <c r="AX40" s="17">
        <v>38001.091151518587</v>
      </c>
      <c r="AY40" s="17">
        <v>19712.379311433069</v>
      </c>
      <c r="BA40" s="18"/>
      <c r="BC40" s="19"/>
      <c r="BD40" s="19"/>
      <c r="BE40" s="19"/>
      <c r="BF40" s="19"/>
      <c r="BG40" s="19"/>
      <c r="BI40" s="16">
        <f t="shared" si="2"/>
        <v>0</v>
      </c>
      <c r="BJ40" s="16">
        <f t="shared" si="3"/>
        <v>10772.68</v>
      </c>
      <c r="BK40" s="16">
        <f t="shared" si="4"/>
        <v>10772.68</v>
      </c>
      <c r="BL40" s="16">
        <f t="shared" si="5"/>
        <v>10772.68</v>
      </c>
      <c r="BM40" s="16">
        <f t="shared" si="6"/>
        <v>10772.68</v>
      </c>
      <c r="BN40" s="16">
        <f t="shared" si="7"/>
        <v>10772.68</v>
      </c>
      <c r="BO40" s="16">
        <f t="shared" si="8"/>
        <v>10772.68</v>
      </c>
      <c r="BP40" s="16">
        <f t="shared" si="9"/>
        <v>0</v>
      </c>
    </row>
    <row r="41" spans="1:68" ht="12" customHeight="1" x14ac:dyDescent="0.25">
      <c r="A41" s="5">
        <f t="shared" si="13"/>
        <v>37</v>
      </c>
      <c r="B41" s="6" t="s">
        <v>118</v>
      </c>
      <c r="C41" s="7">
        <f t="shared" si="0"/>
        <v>10745.800000000001</v>
      </c>
      <c r="D41" s="8">
        <v>10719.1</v>
      </c>
      <c r="E41" s="8">
        <v>26.7</v>
      </c>
      <c r="F41" s="8">
        <v>907.7</v>
      </c>
      <c r="G41" s="9">
        <v>6</v>
      </c>
      <c r="H41" s="9">
        <v>0</v>
      </c>
      <c r="I41" s="9">
        <v>400</v>
      </c>
      <c r="J41" s="9">
        <v>0</v>
      </c>
      <c r="K41" s="9" t="s">
        <v>83</v>
      </c>
      <c r="L41" s="10" t="s">
        <v>71</v>
      </c>
      <c r="M41" s="10">
        <v>0</v>
      </c>
      <c r="N41" s="10" t="s">
        <v>72</v>
      </c>
      <c r="O41" s="10" t="s">
        <v>72</v>
      </c>
      <c r="P41" s="5" t="s">
        <v>73</v>
      </c>
      <c r="Q41" s="11">
        <v>3</v>
      </c>
      <c r="R41" s="12">
        <v>41.34</v>
      </c>
      <c r="S41" s="10">
        <v>4.68</v>
      </c>
      <c r="T41" s="10">
        <v>7.92</v>
      </c>
      <c r="U41" s="10">
        <v>12.32</v>
      </c>
      <c r="V41" s="10">
        <v>6.34</v>
      </c>
      <c r="W41" s="10">
        <v>2.89</v>
      </c>
      <c r="X41" s="10">
        <v>1.66</v>
      </c>
      <c r="Y41" s="10">
        <v>5.29</v>
      </c>
      <c r="Z41" s="10">
        <v>0.24</v>
      </c>
      <c r="AA41" s="13">
        <v>1.2E-2</v>
      </c>
      <c r="AB41" s="13">
        <v>1.2E-2</v>
      </c>
      <c r="AC41" s="14">
        <f t="shared" si="10"/>
        <v>7.1880000000000002E-4</v>
      </c>
      <c r="AD41" s="13">
        <f t="shared" si="11"/>
        <v>2.4E-2</v>
      </c>
      <c r="AE41" s="13">
        <v>3.23</v>
      </c>
      <c r="AF41" s="10">
        <v>4.29</v>
      </c>
      <c r="AG41" s="10">
        <v>3.17</v>
      </c>
      <c r="AH41" s="15">
        <v>5.9900000000000002E-2</v>
      </c>
      <c r="AI41" s="10">
        <f t="shared" si="1"/>
        <v>7.46</v>
      </c>
      <c r="AJ41" s="10">
        <v>0.02</v>
      </c>
      <c r="AK41" s="10">
        <v>10</v>
      </c>
      <c r="AL41" s="10">
        <v>0</v>
      </c>
      <c r="AM41" s="16">
        <v>40</v>
      </c>
      <c r="AN41" s="16">
        <v>40</v>
      </c>
      <c r="AO41" s="16">
        <v>2604.04</v>
      </c>
      <c r="AP41" s="10">
        <v>195.98199600000001</v>
      </c>
      <c r="AQ41" s="16">
        <v>42.3</v>
      </c>
      <c r="AR41" s="16">
        <v>2604.04</v>
      </c>
      <c r="AS41" s="10">
        <v>7.85</v>
      </c>
      <c r="AT41" s="13">
        <v>0</v>
      </c>
      <c r="AU41" s="10">
        <v>6.73</v>
      </c>
      <c r="AV41" s="17">
        <f t="shared" si="12"/>
        <v>99121.26148734118</v>
      </c>
      <c r="AW41" s="17">
        <v>41718.066560817613</v>
      </c>
      <c r="AX41" s="17">
        <v>37796.787917663372</v>
      </c>
      <c r="AY41" s="17">
        <v>19606.407008860184</v>
      </c>
      <c r="BA41" s="18"/>
      <c r="BC41" s="19"/>
      <c r="BD41" s="19"/>
      <c r="BE41" s="19"/>
      <c r="BF41" s="19"/>
      <c r="BG41" s="19"/>
      <c r="BI41" s="16">
        <f t="shared" si="2"/>
        <v>0</v>
      </c>
      <c r="BJ41" s="16">
        <f t="shared" si="3"/>
        <v>10745.800000000001</v>
      </c>
      <c r="BK41" s="16">
        <f t="shared" si="4"/>
        <v>10745.800000000001</v>
      </c>
      <c r="BL41" s="16">
        <f t="shared" si="5"/>
        <v>10745.800000000001</v>
      </c>
      <c r="BM41" s="16">
        <f t="shared" si="6"/>
        <v>10745.800000000001</v>
      </c>
      <c r="BN41" s="16">
        <f t="shared" si="7"/>
        <v>10745.800000000001</v>
      </c>
      <c r="BO41" s="16">
        <f t="shared" si="8"/>
        <v>10745.800000000001</v>
      </c>
      <c r="BP41" s="16">
        <f t="shared" si="9"/>
        <v>0</v>
      </c>
    </row>
    <row r="42" spans="1:68" ht="12" customHeight="1" x14ac:dyDescent="0.25">
      <c r="A42" s="5">
        <f t="shared" si="13"/>
        <v>38</v>
      </c>
      <c r="B42" s="6" t="s">
        <v>119</v>
      </c>
      <c r="C42" s="7">
        <f t="shared" si="0"/>
        <v>4054.4</v>
      </c>
      <c r="D42" s="8">
        <v>3427.5</v>
      </c>
      <c r="E42" s="8">
        <v>626.9</v>
      </c>
      <c r="F42" s="8">
        <v>442.5</v>
      </c>
      <c r="G42" s="9">
        <v>2</v>
      </c>
      <c r="H42" s="9">
        <v>0</v>
      </c>
      <c r="I42" s="9">
        <v>400</v>
      </c>
      <c r="J42" s="9">
        <v>0</v>
      </c>
      <c r="K42" s="9" t="s">
        <v>71</v>
      </c>
      <c r="L42" s="10" t="s">
        <v>71</v>
      </c>
      <c r="M42" s="10">
        <v>0</v>
      </c>
      <c r="N42" s="10" t="s">
        <v>72</v>
      </c>
      <c r="O42" s="10" t="s">
        <v>72</v>
      </c>
      <c r="P42" s="5" t="s">
        <v>73</v>
      </c>
      <c r="Q42" s="11">
        <v>3</v>
      </c>
      <c r="R42" s="12">
        <v>41.34</v>
      </c>
      <c r="S42" s="10">
        <v>4.68</v>
      </c>
      <c r="T42" s="10">
        <v>7.92</v>
      </c>
      <c r="U42" s="10">
        <v>12.32</v>
      </c>
      <c r="V42" s="10">
        <v>6.34</v>
      </c>
      <c r="W42" s="10">
        <v>2.89</v>
      </c>
      <c r="X42" s="10">
        <v>1.66</v>
      </c>
      <c r="Y42" s="10">
        <v>5.29</v>
      </c>
      <c r="Z42" s="10">
        <v>0.24</v>
      </c>
      <c r="AA42" s="13">
        <v>7.0000000000000001E-3</v>
      </c>
      <c r="AB42" s="13">
        <v>7.0000000000000001E-3</v>
      </c>
      <c r="AC42" s="14">
        <f t="shared" si="10"/>
        <v>4.193E-4</v>
      </c>
      <c r="AD42" s="13">
        <f t="shared" si="11"/>
        <v>1.4E-2</v>
      </c>
      <c r="AE42" s="13">
        <v>3.23</v>
      </c>
      <c r="AF42" s="10">
        <v>4.29</v>
      </c>
      <c r="AG42" s="10">
        <v>3.17</v>
      </c>
      <c r="AH42" s="15">
        <v>5.9900000000000002E-2</v>
      </c>
      <c r="AI42" s="10">
        <f t="shared" si="1"/>
        <v>7.46</v>
      </c>
      <c r="AJ42" s="10">
        <v>0.02</v>
      </c>
      <c r="AK42" s="10">
        <v>10</v>
      </c>
      <c r="AL42" s="10">
        <v>0</v>
      </c>
      <c r="AM42" s="16">
        <v>40</v>
      </c>
      <c r="AN42" s="16">
        <v>40</v>
      </c>
      <c r="AO42" s="16">
        <v>2604.04</v>
      </c>
      <c r="AP42" s="10">
        <v>195.98199600000001</v>
      </c>
      <c r="AQ42" s="16">
        <v>42.3</v>
      </c>
      <c r="AR42" s="16">
        <v>2604.04</v>
      </c>
      <c r="AS42" s="10">
        <v>7.85</v>
      </c>
      <c r="AT42" s="13">
        <v>0</v>
      </c>
      <c r="AU42" s="10">
        <v>6.73</v>
      </c>
      <c r="AV42" s="17">
        <f t="shared" si="12"/>
        <v>41261.322212594445</v>
      </c>
      <c r="AW42" s="17">
        <v>17366.023153294773</v>
      </c>
      <c r="AX42" s="17">
        <v>15733.721418154757</v>
      </c>
      <c r="AY42" s="17">
        <v>8161.5776411449178</v>
      </c>
      <c r="BA42" s="18"/>
      <c r="BC42" s="19"/>
      <c r="BD42" s="19"/>
      <c r="BE42" s="19"/>
      <c r="BF42" s="19"/>
      <c r="BG42" s="19"/>
      <c r="BI42" s="16">
        <f t="shared" si="2"/>
        <v>0</v>
      </c>
      <c r="BJ42" s="16">
        <f t="shared" si="3"/>
        <v>4054.4</v>
      </c>
      <c r="BK42" s="16">
        <f t="shared" si="4"/>
        <v>4054.4</v>
      </c>
      <c r="BL42" s="16">
        <f t="shared" si="5"/>
        <v>4054.4</v>
      </c>
      <c r="BM42" s="16">
        <f t="shared" si="6"/>
        <v>4054.4</v>
      </c>
      <c r="BN42" s="16">
        <f t="shared" si="7"/>
        <v>4054.4</v>
      </c>
      <c r="BO42" s="16">
        <f t="shared" si="8"/>
        <v>4054.4</v>
      </c>
      <c r="BP42" s="16">
        <f t="shared" si="9"/>
        <v>0</v>
      </c>
    </row>
    <row r="43" spans="1:68" ht="12" customHeight="1" x14ac:dyDescent="0.25">
      <c r="A43" s="5">
        <f t="shared" si="13"/>
        <v>39</v>
      </c>
      <c r="B43" s="6" t="s">
        <v>120</v>
      </c>
      <c r="C43" s="7">
        <f t="shared" si="0"/>
        <v>3567.1</v>
      </c>
      <c r="D43" s="8">
        <v>3567.1</v>
      </c>
      <c r="E43" s="8">
        <v>0</v>
      </c>
      <c r="F43" s="8">
        <v>685.7</v>
      </c>
      <c r="G43" s="9">
        <v>2</v>
      </c>
      <c r="H43" s="9">
        <v>0</v>
      </c>
      <c r="I43" s="9">
        <v>400</v>
      </c>
      <c r="J43" s="9">
        <v>0</v>
      </c>
      <c r="K43" s="9" t="s">
        <v>71</v>
      </c>
      <c r="L43" s="10" t="s">
        <v>71</v>
      </c>
      <c r="M43" s="10">
        <v>0</v>
      </c>
      <c r="N43" s="10" t="s">
        <v>72</v>
      </c>
      <c r="O43" s="10" t="s">
        <v>72</v>
      </c>
      <c r="P43" s="5" t="s">
        <v>73</v>
      </c>
      <c r="Q43" s="11">
        <v>3</v>
      </c>
      <c r="R43" s="12">
        <v>41.34</v>
      </c>
      <c r="S43" s="10">
        <v>4.68</v>
      </c>
      <c r="T43" s="10">
        <v>7.92</v>
      </c>
      <c r="U43" s="10">
        <v>12.32</v>
      </c>
      <c r="V43" s="10">
        <v>6.34</v>
      </c>
      <c r="W43" s="10">
        <v>2.89</v>
      </c>
      <c r="X43" s="10">
        <v>1.66</v>
      </c>
      <c r="Y43" s="10">
        <v>5.29</v>
      </c>
      <c r="Z43" s="10">
        <v>0.24</v>
      </c>
      <c r="AA43" s="13">
        <v>7.0000000000000001E-3</v>
      </c>
      <c r="AB43" s="13">
        <v>7.0000000000000001E-3</v>
      </c>
      <c r="AC43" s="14">
        <f t="shared" si="10"/>
        <v>4.193E-4</v>
      </c>
      <c r="AD43" s="13">
        <f t="shared" si="11"/>
        <v>1.4E-2</v>
      </c>
      <c r="AE43" s="13">
        <v>3.23</v>
      </c>
      <c r="AF43" s="10">
        <v>4.29</v>
      </c>
      <c r="AG43" s="10">
        <v>3.17</v>
      </c>
      <c r="AH43" s="15">
        <v>5.9900000000000002E-2</v>
      </c>
      <c r="AI43" s="10">
        <f t="shared" si="1"/>
        <v>7.46</v>
      </c>
      <c r="AJ43" s="10">
        <v>0.02</v>
      </c>
      <c r="AK43" s="10">
        <v>10</v>
      </c>
      <c r="AL43" s="10">
        <v>0</v>
      </c>
      <c r="AM43" s="16">
        <v>40</v>
      </c>
      <c r="AN43" s="16">
        <v>40</v>
      </c>
      <c r="AO43" s="16">
        <v>2604.04</v>
      </c>
      <c r="AP43" s="10">
        <v>195.98199600000001</v>
      </c>
      <c r="AQ43" s="16">
        <v>42.3</v>
      </c>
      <c r="AR43" s="16">
        <v>2604.04</v>
      </c>
      <c r="AS43" s="10">
        <v>7.85</v>
      </c>
      <c r="AT43" s="13">
        <v>0</v>
      </c>
      <c r="AU43" s="10">
        <v>6.73</v>
      </c>
      <c r="AV43" s="17">
        <f t="shared" si="12"/>
        <v>36289.644671856491</v>
      </c>
      <c r="AW43" s="17">
        <v>15273.5563838665</v>
      </c>
      <c r="AX43" s="17">
        <v>13837.916511291143</v>
      </c>
      <c r="AY43" s="17">
        <v>7178.171776698845</v>
      </c>
      <c r="BA43" s="18"/>
      <c r="BC43" s="19"/>
      <c r="BD43" s="19"/>
      <c r="BE43" s="19"/>
      <c r="BF43" s="19"/>
      <c r="BG43" s="19"/>
      <c r="BI43" s="16">
        <f t="shared" si="2"/>
        <v>0</v>
      </c>
      <c r="BJ43" s="16">
        <f t="shared" si="3"/>
        <v>3567.1</v>
      </c>
      <c r="BK43" s="16">
        <f t="shared" si="4"/>
        <v>3567.1</v>
      </c>
      <c r="BL43" s="16">
        <f t="shared" si="5"/>
        <v>3567.1</v>
      </c>
      <c r="BM43" s="16">
        <f t="shared" si="6"/>
        <v>3567.1</v>
      </c>
      <c r="BN43" s="16">
        <f t="shared" si="7"/>
        <v>3567.1</v>
      </c>
      <c r="BO43" s="16">
        <f t="shared" si="8"/>
        <v>3567.1</v>
      </c>
      <c r="BP43" s="16">
        <f t="shared" si="9"/>
        <v>0</v>
      </c>
    </row>
    <row r="44" spans="1:68" ht="12" customHeight="1" x14ac:dyDescent="0.25">
      <c r="A44" s="5">
        <f t="shared" si="13"/>
        <v>40</v>
      </c>
      <c r="B44" s="6" t="s">
        <v>121</v>
      </c>
      <c r="C44" s="7">
        <f t="shared" si="0"/>
        <v>21973.200000000001</v>
      </c>
      <c r="D44" s="8">
        <v>20211.400000000001</v>
      </c>
      <c r="E44" s="8">
        <v>1761.8</v>
      </c>
      <c r="F44" s="8">
        <v>3728</v>
      </c>
      <c r="G44" s="9">
        <v>8</v>
      </c>
      <c r="H44" s="9">
        <v>8</v>
      </c>
      <c r="I44" s="9">
        <v>400</v>
      </c>
      <c r="J44" s="9">
        <v>630</v>
      </c>
      <c r="K44" s="9" t="s">
        <v>71</v>
      </c>
      <c r="L44" s="10" t="s">
        <v>71</v>
      </c>
      <c r="M44" s="10">
        <v>0</v>
      </c>
      <c r="N44" s="10" t="s">
        <v>72</v>
      </c>
      <c r="O44" s="10" t="s">
        <v>72</v>
      </c>
      <c r="P44" s="5" t="s">
        <v>73</v>
      </c>
      <c r="Q44" s="11">
        <v>1</v>
      </c>
      <c r="R44" s="12">
        <v>41.1</v>
      </c>
      <c r="S44" s="10">
        <v>4.68</v>
      </c>
      <c r="T44" s="10">
        <v>7.92</v>
      </c>
      <c r="U44" s="10">
        <v>12.32</v>
      </c>
      <c r="V44" s="10">
        <v>6.34</v>
      </c>
      <c r="W44" s="10">
        <v>2.89</v>
      </c>
      <c r="X44" s="10">
        <v>1.66</v>
      </c>
      <c r="Y44" s="10">
        <v>5.29</v>
      </c>
      <c r="Z44" s="10">
        <v>0</v>
      </c>
      <c r="AA44" s="13">
        <v>7.0000000000000001E-3</v>
      </c>
      <c r="AB44" s="13">
        <v>7.0000000000000001E-3</v>
      </c>
      <c r="AC44" s="14">
        <f t="shared" si="10"/>
        <v>4.193E-4</v>
      </c>
      <c r="AD44" s="13">
        <f t="shared" si="11"/>
        <v>1.4E-2</v>
      </c>
      <c r="AE44" s="13">
        <v>3.23</v>
      </c>
      <c r="AF44" s="10">
        <v>4.29</v>
      </c>
      <c r="AG44" s="10">
        <v>3.17</v>
      </c>
      <c r="AH44" s="15">
        <v>5.9900000000000002E-2</v>
      </c>
      <c r="AI44" s="10">
        <f t="shared" si="1"/>
        <v>7.46</v>
      </c>
      <c r="AJ44" s="10">
        <v>0.02</v>
      </c>
      <c r="AK44" s="13">
        <v>0</v>
      </c>
      <c r="AL44" s="10">
        <v>0</v>
      </c>
      <c r="AM44" s="16">
        <v>40</v>
      </c>
      <c r="AN44" s="16">
        <v>40</v>
      </c>
      <c r="AO44" s="16">
        <v>2604.04</v>
      </c>
      <c r="AP44" s="10">
        <v>195.98199600000001</v>
      </c>
      <c r="AQ44" s="16">
        <v>42.3</v>
      </c>
      <c r="AR44" s="16">
        <v>2604.04</v>
      </c>
      <c r="AS44" s="10">
        <v>0</v>
      </c>
      <c r="AT44" s="13">
        <v>0</v>
      </c>
      <c r="AU44" s="10">
        <v>5.05</v>
      </c>
      <c r="AV44" s="17">
        <f t="shared" si="12"/>
        <v>224068.68897301282</v>
      </c>
      <c r="AW44" s="17">
        <v>94305.832058479529</v>
      </c>
      <c r="AX44" s="17">
        <v>85441.57929273833</v>
      </c>
      <c r="AY44" s="17">
        <v>44321.277621794958</v>
      </c>
      <c r="BA44" s="18"/>
      <c r="BC44" s="19"/>
      <c r="BD44" s="19"/>
      <c r="BE44" s="19"/>
      <c r="BF44" s="19"/>
      <c r="BG44" s="19"/>
      <c r="BI44" s="16">
        <f t="shared" si="2"/>
        <v>21973.200000000001</v>
      </c>
      <c r="BJ44" s="16">
        <f t="shared" si="3"/>
        <v>0</v>
      </c>
      <c r="BK44" s="16">
        <f t="shared" si="4"/>
        <v>21973.200000000001</v>
      </c>
      <c r="BL44" s="16">
        <f t="shared" si="5"/>
        <v>21973.200000000001</v>
      </c>
      <c r="BM44" s="16">
        <f t="shared" si="6"/>
        <v>21973.200000000001</v>
      </c>
      <c r="BN44" s="16">
        <f t="shared" si="7"/>
        <v>21973.200000000001</v>
      </c>
      <c r="BO44" s="16">
        <f t="shared" si="8"/>
        <v>0</v>
      </c>
      <c r="BP44" s="16">
        <f t="shared" si="9"/>
        <v>21973.200000000001</v>
      </c>
    </row>
    <row r="45" spans="1:68" ht="12" customHeight="1" x14ac:dyDescent="0.25">
      <c r="A45" s="5">
        <f t="shared" si="13"/>
        <v>41</v>
      </c>
      <c r="B45" s="6" t="s">
        <v>122</v>
      </c>
      <c r="C45" s="7">
        <f t="shared" si="0"/>
        <v>644.9</v>
      </c>
      <c r="D45" s="8">
        <v>644.9</v>
      </c>
      <c r="E45" s="8">
        <v>0</v>
      </c>
      <c r="F45" s="8">
        <v>62.2</v>
      </c>
      <c r="G45" s="9">
        <v>0</v>
      </c>
      <c r="H45" s="9">
        <v>0</v>
      </c>
      <c r="I45" s="9">
        <v>0</v>
      </c>
      <c r="J45" s="9">
        <v>0</v>
      </c>
      <c r="K45" s="9" t="s">
        <v>71</v>
      </c>
      <c r="L45" s="10" t="s">
        <v>71</v>
      </c>
      <c r="M45" s="10">
        <v>0</v>
      </c>
      <c r="N45" s="10" t="s">
        <v>72</v>
      </c>
      <c r="O45" s="10" t="s">
        <v>72</v>
      </c>
      <c r="P45" s="5" t="s">
        <v>73</v>
      </c>
      <c r="Q45" s="11">
        <v>7</v>
      </c>
      <c r="R45" s="12">
        <v>28.44</v>
      </c>
      <c r="S45" s="10">
        <v>4.68</v>
      </c>
      <c r="T45" s="10">
        <v>6.05</v>
      </c>
      <c r="U45" s="10">
        <v>8.24</v>
      </c>
      <c r="V45" s="10">
        <v>6.34</v>
      </c>
      <c r="W45" s="10">
        <v>2.89</v>
      </c>
      <c r="X45" s="10">
        <v>0</v>
      </c>
      <c r="Y45" s="10">
        <v>0</v>
      </c>
      <c r="Z45" s="10">
        <v>0.24</v>
      </c>
      <c r="AA45" s="13">
        <v>1.2999999999999999E-2</v>
      </c>
      <c r="AB45" s="13">
        <v>1.2999999999999999E-2</v>
      </c>
      <c r="AC45" s="14">
        <f t="shared" si="10"/>
        <v>7.7870000000000001E-4</v>
      </c>
      <c r="AD45" s="13">
        <f t="shared" si="11"/>
        <v>2.5999999999999999E-2</v>
      </c>
      <c r="AE45" s="13">
        <v>0.68300000000000005</v>
      </c>
      <c r="AF45" s="10">
        <v>4.29</v>
      </c>
      <c r="AG45" s="10">
        <v>3.17</v>
      </c>
      <c r="AH45" s="15">
        <v>5.9900000000000002E-2</v>
      </c>
      <c r="AI45" s="10">
        <f t="shared" si="1"/>
        <v>7.46</v>
      </c>
      <c r="AJ45" s="10">
        <v>0.02</v>
      </c>
      <c r="AK45" s="10">
        <v>10</v>
      </c>
      <c r="AL45" s="10">
        <v>0</v>
      </c>
      <c r="AM45" s="16">
        <v>40</v>
      </c>
      <c r="AN45" s="16">
        <v>40</v>
      </c>
      <c r="AO45" s="16">
        <v>2604.04</v>
      </c>
      <c r="AP45" s="10">
        <v>195.98199600000001</v>
      </c>
      <c r="AQ45" s="16">
        <v>42.3</v>
      </c>
      <c r="AR45" s="16">
        <v>2604.04</v>
      </c>
      <c r="AS45" s="10">
        <v>7.85</v>
      </c>
      <c r="AT45" s="13">
        <v>0</v>
      </c>
      <c r="AU45" s="10">
        <v>6.73</v>
      </c>
      <c r="AV45" s="17">
        <f t="shared" si="12"/>
        <v>5269.4565385573123</v>
      </c>
      <c r="AW45" s="17">
        <v>2764.659167396137</v>
      </c>
      <c r="AX45" s="17">
        <v>2504.7973711611753</v>
      </c>
      <c r="AY45" s="17">
        <v>0</v>
      </c>
      <c r="BA45" s="18"/>
      <c r="BC45" s="19"/>
      <c r="BD45" s="19"/>
      <c r="BE45" s="19"/>
      <c r="BF45" s="19"/>
      <c r="BG45" s="19"/>
      <c r="BI45" s="16">
        <f t="shared" si="2"/>
        <v>0</v>
      </c>
      <c r="BJ45" s="16">
        <f t="shared" si="3"/>
        <v>0</v>
      </c>
      <c r="BK45" s="16">
        <f t="shared" si="4"/>
        <v>644.9</v>
      </c>
      <c r="BL45" s="16">
        <f t="shared" si="5"/>
        <v>644.9</v>
      </c>
      <c r="BM45" s="16">
        <f t="shared" si="6"/>
        <v>644.9</v>
      </c>
      <c r="BN45" s="16">
        <f t="shared" si="7"/>
        <v>644.9</v>
      </c>
      <c r="BO45" s="16">
        <f t="shared" si="8"/>
        <v>644.9</v>
      </c>
      <c r="BP45" s="16">
        <f t="shared" si="9"/>
        <v>0</v>
      </c>
    </row>
    <row r="46" spans="1:68" ht="12" customHeight="1" x14ac:dyDescent="0.25">
      <c r="A46" s="5">
        <f t="shared" si="13"/>
        <v>42</v>
      </c>
      <c r="B46" s="6" t="s">
        <v>123</v>
      </c>
      <c r="C46" s="7">
        <f t="shared" si="0"/>
        <v>1486.2</v>
      </c>
      <c r="D46" s="8">
        <v>1376.2</v>
      </c>
      <c r="E46" s="8">
        <v>110</v>
      </c>
      <c r="F46" s="8">
        <v>88.8</v>
      </c>
      <c r="G46" s="9">
        <v>0</v>
      </c>
      <c r="H46" s="9">
        <v>0</v>
      </c>
      <c r="I46" s="9">
        <v>0</v>
      </c>
      <c r="J46" s="9">
        <v>0</v>
      </c>
      <c r="K46" s="9" t="s">
        <v>71</v>
      </c>
      <c r="L46" s="10" t="s">
        <v>71</v>
      </c>
      <c r="M46" s="10" t="s">
        <v>106</v>
      </c>
      <c r="N46" s="10" t="s">
        <v>72</v>
      </c>
      <c r="O46" s="10" t="s">
        <v>72</v>
      </c>
      <c r="P46" s="5" t="s">
        <v>102</v>
      </c>
      <c r="Q46" s="11">
        <v>9</v>
      </c>
      <c r="R46" s="21">
        <v>20.440000000000001</v>
      </c>
      <c r="S46" s="10">
        <v>3.11</v>
      </c>
      <c r="T46" s="10">
        <v>4.0599999999999996</v>
      </c>
      <c r="U46" s="10">
        <v>7</v>
      </c>
      <c r="V46" s="10">
        <v>4</v>
      </c>
      <c r="W46" s="10">
        <v>2.0499999999999998</v>
      </c>
      <c r="X46" s="10">
        <v>0</v>
      </c>
      <c r="Y46" s="10">
        <v>0</v>
      </c>
      <c r="Z46" s="10">
        <v>0.22</v>
      </c>
      <c r="AA46" s="13">
        <v>0.01</v>
      </c>
      <c r="AB46" s="13">
        <v>0</v>
      </c>
      <c r="AC46" s="14">
        <f t="shared" si="10"/>
        <v>0</v>
      </c>
      <c r="AD46" s="13">
        <f t="shared" si="11"/>
        <v>0.01</v>
      </c>
      <c r="AE46" s="13">
        <v>0.68300000000000005</v>
      </c>
      <c r="AF46" s="10">
        <v>7.46</v>
      </c>
      <c r="AG46" s="13">
        <v>0</v>
      </c>
      <c r="AH46" s="13">
        <v>0</v>
      </c>
      <c r="AI46" s="10">
        <f t="shared" si="1"/>
        <v>7.46</v>
      </c>
      <c r="AJ46" s="10">
        <v>0.02</v>
      </c>
      <c r="AK46" s="10">
        <v>23.1</v>
      </c>
      <c r="AL46" s="10">
        <v>0</v>
      </c>
      <c r="AM46" s="16">
        <v>40</v>
      </c>
      <c r="AN46" s="16">
        <v>0</v>
      </c>
      <c r="AO46" s="16">
        <v>0</v>
      </c>
      <c r="AP46" s="10">
        <v>0</v>
      </c>
      <c r="AQ46" s="16">
        <v>42.3</v>
      </c>
      <c r="AR46" s="16">
        <v>2604.04</v>
      </c>
      <c r="AS46" s="10">
        <v>6.92</v>
      </c>
      <c r="AT46" s="13">
        <v>0</v>
      </c>
      <c r="AU46" s="10">
        <v>6.73</v>
      </c>
      <c r="AV46" s="17">
        <f t="shared" si="12"/>
        <v>12094.814892437998</v>
      </c>
      <c r="AW46" s="17">
        <v>6345.6347194299451</v>
      </c>
      <c r="AX46" s="17">
        <v>5749.1801730080533</v>
      </c>
      <c r="AY46" s="17">
        <v>0</v>
      </c>
      <c r="BA46" s="18"/>
      <c r="BC46" s="19"/>
      <c r="BD46" s="19"/>
      <c r="BE46" s="19"/>
      <c r="BF46" s="19"/>
      <c r="BG46" s="19"/>
      <c r="BI46" s="16">
        <f t="shared" si="2"/>
        <v>0</v>
      </c>
      <c r="BJ46" s="16">
        <f t="shared" si="3"/>
        <v>0</v>
      </c>
      <c r="BK46" s="16">
        <f t="shared" si="4"/>
        <v>1486.2</v>
      </c>
      <c r="BL46" s="16">
        <f t="shared" si="5"/>
        <v>0</v>
      </c>
      <c r="BM46" s="16">
        <f t="shared" si="6"/>
        <v>1486.2</v>
      </c>
      <c r="BN46" s="16">
        <f t="shared" si="7"/>
        <v>1486.2</v>
      </c>
      <c r="BO46" s="16">
        <f t="shared" si="8"/>
        <v>1486.2</v>
      </c>
      <c r="BP46" s="16">
        <f t="shared" si="9"/>
        <v>0</v>
      </c>
    </row>
    <row r="47" spans="1:68" ht="12" customHeight="1" x14ac:dyDescent="0.25">
      <c r="A47" s="5">
        <f t="shared" si="13"/>
        <v>43</v>
      </c>
      <c r="B47" s="6" t="s">
        <v>124</v>
      </c>
      <c r="C47" s="7">
        <f t="shared" si="0"/>
        <v>879.9</v>
      </c>
      <c r="D47" s="8">
        <v>879.9</v>
      </c>
      <c r="E47" s="8">
        <v>0</v>
      </c>
      <c r="F47" s="8">
        <v>88.8</v>
      </c>
      <c r="G47" s="9">
        <v>0</v>
      </c>
      <c r="H47" s="9">
        <v>0</v>
      </c>
      <c r="I47" s="9">
        <v>0</v>
      </c>
      <c r="J47" s="9">
        <v>0</v>
      </c>
      <c r="K47" s="9" t="s">
        <v>71</v>
      </c>
      <c r="L47" s="10" t="s">
        <v>71</v>
      </c>
      <c r="M47" s="10" t="s">
        <v>106</v>
      </c>
      <c r="N47" s="10" t="s">
        <v>72</v>
      </c>
      <c r="O47" s="10" t="s">
        <v>72</v>
      </c>
      <c r="P47" s="11" t="s">
        <v>102</v>
      </c>
      <c r="Q47" s="11">
        <v>9</v>
      </c>
      <c r="R47" s="21">
        <v>20.440000000000001</v>
      </c>
      <c r="S47" s="10">
        <v>3.11</v>
      </c>
      <c r="T47" s="10">
        <v>4.0599999999999996</v>
      </c>
      <c r="U47" s="10">
        <v>7</v>
      </c>
      <c r="V47" s="10">
        <v>4</v>
      </c>
      <c r="W47" s="10">
        <v>2.0499999999999998</v>
      </c>
      <c r="X47" s="10">
        <v>0</v>
      </c>
      <c r="Y47" s="10">
        <v>0</v>
      </c>
      <c r="Z47" s="10">
        <v>0.22</v>
      </c>
      <c r="AA47" s="13">
        <v>0.01</v>
      </c>
      <c r="AB47" s="13">
        <v>0</v>
      </c>
      <c r="AC47" s="14">
        <f t="shared" si="10"/>
        <v>0</v>
      </c>
      <c r="AD47" s="13">
        <f t="shared" si="11"/>
        <v>0.01</v>
      </c>
      <c r="AE47" s="13">
        <v>0.68300000000000005</v>
      </c>
      <c r="AF47" s="10">
        <v>7.46</v>
      </c>
      <c r="AG47" s="13">
        <v>0</v>
      </c>
      <c r="AH47" s="13">
        <v>0</v>
      </c>
      <c r="AI47" s="10">
        <f t="shared" si="1"/>
        <v>7.46</v>
      </c>
      <c r="AJ47" s="10">
        <v>0.02</v>
      </c>
      <c r="AK47" s="10">
        <v>23.1</v>
      </c>
      <c r="AL47" s="10">
        <v>0</v>
      </c>
      <c r="AM47" s="16">
        <v>40</v>
      </c>
      <c r="AN47" s="16">
        <v>0</v>
      </c>
      <c r="AO47" s="16">
        <v>0</v>
      </c>
      <c r="AP47" s="10">
        <v>0</v>
      </c>
      <c r="AQ47" s="16">
        <v>42.3</v>
      </c>
      <c r="AR47" s="16">
        <v>2604.04</v>
      </c>
      <c r="AS47" s="10">
        <v>6.92</v>
      </c>
      <c r="AT47" s="13">
        <v>0</v>
      </c>
      <c r="AU47" s="10">
        <v>6.73</v>
      </c>
      <c r="AV47" s="9">
        <f t="shared" si="12"/>
        <v>10468.484842790625</v>
      </c>
      <c r="AW47" s="17">
        <v>7095.6284943260953</v>
      </c>
      <c r="AX47" s="17">
        <v>3372.8563484645301</v>
      </c>
      <c r="AY47" s="17">
        <v>0</v>
      </c>
      <c r="BA47" s="18"/>
      <c r="BC47" s="19"/>
      <c r="BD47" s="19"/>
      <c r="BE47" s="19"/>
      <c r="BF47" s="19"/>
      <c r="BG47" s="19"/>
      <c r="BI47" s="16">
        <f t="shared" si="2"/>
        <v>0</v>
      </c>
      <c r="BJ47" s="16">
        <f t="shared" si="3"/>
        <v>0</v>
      </c>
      <c r="BK47" s="16">
        <f t="shared" si="4"/>
        <v>879.9</v>
      </c>
      <c r="BL47" s="16">
        <f t="shared" si="5"/>
        <v>0</v>
      </c>
      <c r="BM47" s="16">
        <f t="shared" si="6"/>
        <v>879.9</v>
      </c>
      <c r="BN47" s="16">
        <f t="shared" si="7"/>
        <v>879.9</v>
      </c>
      <c r="BO47" s="16">
        <f t="shared" si="8"/>
        <v>879.9</v>
      </c>
      <c r="BP47" s="16">
        <f t="shared" si="9"/>
        <v>0</v>
      </c>
    </row>
    <row r="48" spans="1:68" ht="12" customHeight="1" x14ac:dyDescent="0.25">
      <c r="A48" s="5">
        <f t="shared" si="13"/>
        <v>44</v>
      </c>
      <c r="B48" s="6" t="s">
        <v>125</v>
      </c>
      <c r="C48" s="7">
        <f t="shared" si="0"/>
        <v>886.63</v>
      </c>
      <c r="D48" s="8">
        <v>886.63</v>
      </c>
      <c r="E48" s="8">
        <v>0</v>
      </c>
      <c r="F48" s="8">
        <v>89.5</v>
      </c>
      <c r="G48" s="9">
        <v>0</v>
      </c>
      <c r="H48" s="9">
        <v>0</v>
      </c>
      <c r="I48" s="9">
        <v>0</v>
      </c>
      <c r="J48" s="9">
        <v>0</v>
      </c>
      <c r="K48" s="9" t="s">
        <v>71</v>
      </c>
      <c r="L48" s="10" t="s">
        <v>71</v>
      </c>
      <c r="M48" s="10" t="s">
        <v>106</v>
      </c>
      <c r="N48" s="10" t="s">
        <v>72</v>
      </c>
      <c r="O48" s="10" t="s">
        <v>72</v>
      </c>
      <c r="P48" s="11" t="s">
        <v>102</v>
      </c>
      <c r="Q48" s="11">
        <v>9</v>
      </c>
      <c r="R48" s="21">
        <v>20.440000000000001</v>
      </c>
      <c r="S48" s="10">
        <v>3.11</v>
      </c>
      <c r="T48" s="10">
        <v>4.0599999999999996</v>
      </c>
      <c r="U48" s="10">
        <v>7</v>
      </c>
      <c r="V48" s="10">
        <v>4</v>
      </c>
      <c r="W48" s="10">
        <v>2.0499999999999998</v>
      </c>
      <c r="X48" s="10">
        <v>0</v>
      </c>
      <c r="Y48" s="10">
        <v>0</v>
      </c>
      <c r="Z48" s="10">
        <v>0.22</v>
      </c>
      <c r="AA48" s="13">
        <v>0.01</v>
      </c>
      <c r="AB48" s="13">
        <v>0</v>
      </c>
      <c r="AC48" s="14">
        <f t="shared" si="10"/>
        <v>0</v>
      </c>
      <c r="AD48" s="13">
        <f t="shared" si="11"/>
        <v>0.01</v>
      </c>
      <c r="AE48" s="13">
        <v>0.68300000000000005</v>
      </c>
      <c r="AF48" s="10">
        <v>7.46</v>
      </c>
      <c r="AG48" s="13">
        <v>0</v>
      </c>
      <c r="AH48" s="13">
        <v>0</v>
      </c>
      <c r="AI48" s="10">
        <f t="shared" si="1"/>
        <v>7.46</v>
      </c>
      <c r="AJ48" s="10">
        <v>0.02</v>
      </c>
      <c r="AK48" s="10">
        <v>23.1</v>
      </c>
      <c r="AL48" s="10">
        <v>0</v>
      </c>
      <c r="AM48" s="16">
        <v>40</v>
      </c>
      <c r="AN48" s="16">
        <v>0</v>
      </c>
      <c r="AO48" s="16">
        <v>0</v>
      </c>
      <c r="AP48" s="10">
        <v>0</v>
      </c>
      <c r="AQ48" s="16">
        <v>42.3</v>
      </c>
      <c r="AR48" s="16">
        <v>2604.04</v>
      </c>
      <c r="AS48" s="10">
        <v>6.92</v>
      </c>
      <c r="AT48" s="13">
        <v>0</v>
      </c>
      <c r="AU48" s="10">
        <v>6.73</v>
      </c>
      <c r="AV48" s="9">
        <f t="shared" si="12"/>
        <v>10548.554058601492</v>
      </c>
      <c r="AW48" s="17">
        <v>7149.9000931064284</v>
      </c>
      <c r="AX48" s="17">
        <v>3398.6539654950639</v>
      </c>
      <c r="AY48" s="17">
        <v>0</v>
      </c>
      <c r="BA48" s="18"/>
      <c r="BC48" s="19"/>
      <c r="BD48" s="19"/>
      <c r="BE48" s="19"/>
      <c r="BF48" s="19"/>
      <c r="BG48" s="19"/>
      <c r="BI48" s="16">
        <f t="shared" si="2"/>
        <v>0</v>
      </c>
      <c r="BJ48" s="16">
        <f t="shared" si="3"/>
        <v>0</v>
      </c>
      <c r="BK48" s="16">
        <f t="shared" si="4"/>
        <v>886.63</v>
      </c>
      <c r="BL48" s="16">
        <f t="shared" si="5"/>
        <v>0</v>
      </c>
      <c r="BM48" s="16">
        <f t="shared" si="6"/>
        <v>886.63</v>
      </c>
      <c r="BN48" s="16">
        <f t="shared" si="7"/>
        <v>886.63</v>
      </c>
      <c r="BO48" s="16">
        <f t="shared" si="8"/>
        <v>886.63</v>
      </c>
      <c r="BP48" s="16">
        <f t="shared" si="9"/>
        <v>0</v>
      </c>
    </row>
    <row r="49" spans="1:68" ht="12" customHeight="1" x14ac:dyDescent="0.25">
      <c r="A49" s="5">
        <f t="shared" si="13"/>
        <v>45</v>
      </c>
      <c r="B49" s="6" t="s">
        <v>126</v>
      </c>
      <c r="C49" s="7">
        <f t="shared" si="0"/>
        <v>885.3</v>
      </c>
      <c r="D49" s="8">
        <v>885.3</v>
      </c>
      <c r="E49" s="8">
        <v>0</v>
      </c>
      <c r="F49" s="8">
        <v>88.8</v>
      </c>
      <c r="G49" s="9">
        <v>0</v>
      </c>
      <c r="H49" s="9">
        <v>0</v>
      </c>
      <c r="I49" s="9">
        <v>0</v>
      </c>
      <c r="J49" s="9">
        <v>0</v>
      </c>
      <c r="K49" s="9" t="s">
        <v>71</v>
      </c>
      <c r="L49" s="10" t="s">
        <v>71</v>
      </c>
      <c r="M49" s="10" t="s">
        <v>106</v>
      </c>
      <c r="N49" s="10" t="s">
        <v>72</v>
      </c>
      <c r="O49" s="10" t="s">
        <v>72</v>
      </c>
      <c r="P49" s="11" t="s">
        <v>102</v>
      </c>
      <c r="Q49" s="11">
        <v>9</v>
      </c>
      <c r="R49" s="21">
        <v>20.440000000000001</v>
      </c>
      <c r="S49" s="10">
        <v>3.11</v>
      </c>
      <c r="T49" s="10">
        <v>4.0599999999999996</v>
      </c>
      <c r="U49" s="10">
        <v>7</v>
      </c>
      <c r="V49" s="10">
        <v>4</v>
      </c>
      <c r="W49" s="10">
        <v>2.0499999999999998</v>
      </c>
      <c r="X49" s="10">
        <v>0</v>
      </c>
      <c r="Y49" s="10">
        <v>0</v>
      </c>
      <c r="Z49" s="10">
        <v>0.22</v>
      </c>
      <c r="AA49" s="13">
        <v>0.01</v>
      </c>
      <c r="AB49" s="13">
        <v>0</v>
      </c>
      <c r="AC49" s="14">
        <f t="shared" si="10"/>
        <v>0</v>
      </c>
      <c r="AD49" s="13">
        <f t="shared" si="11"/>
        <v>0.01</v>
      </c>
      <c r="AE49" s="13">
        <v>0.68300000000000005</v>
      </c>
      <c r="AF49" s="10">
        <v>7.46</v>
      </c>
      <c r="AG49" s="13">
        <v>0</v>
      </c>
      <c r="AH49" s="13">
        <v>0</v>
      </c>
      <c r="AI49" s="10">
        <f t="shared" si="1"/>
        <v>7.46</v>
      </c>
      <c r="AJ49" s="10">
        <v>0.02</v>
      </c>
      <c r="AK49" s="10">
        <v>23.1</v>
      </c>
      <c r="AL49" s="10">
        <v>0</v>
      </c>
      <c r="AM49" s="16">
        <v>40</v>
      </c>
      <c r="AN49" s="16">
        <v>0</v>
      </c>
      <c r="AO49" s="16">
        <v>0</v>
      </c>
      <c r="AP49" s="10">
        <v>0</v>
      </c>
      <c r="AQ49" s="16">
        <v>42.3</v>
      </c>
      <c r="AR49" s="16">
        <v>2604.04</v>
      </c>
      <c r="AS49" s="10">
        <v>6.92</v>
      </c>
      <c r="AT49" s="13">
        <v>0</v>
      </c>
      <c r="AU49" s="10">
        <v>6.73</v>
      </c>
      <c r="AV49" s="9">
        <f t="shared" si="12"/>
        <v>7208.4338139037009</v>
      </c>
      <c r="AW49" s="17">
        <v>3781.9546514467397</v>
      </c>
      <c r="AX49" s="17">
        <v>3426.4791624569616</v>
      </c>
      <c r="AY49" s="17">
        <v>0</v>
      </c>
      <c r="BA49" s="18"/>
      <c r="BC49" s="19"/>
      <c r="BD49" s="19"/>
      <c r="BE49" s="19"/>
      <c r="BF49" s="19"/>
      <c r="BG49" s="19"/>
      <c r="BI49" s="16">
        <f t="shared" si="2"/>
        <v>0</v>
      </c>
      <c r="BJ49" s="16">
        <f t="shared" si="3"/>
        <v>0</v>
      </c>
      <c r="BK49" s="16">
        <f t="shared" si="4"/>
        <v>885.3</v>
      </c>
      <c r="BL49" s="16">
        <f t="shared" si="5"/>
        <v>0</v>
      </c>
      <c r="BM49" s="16">
        <f t="shared" si="6"/>
        <v>885.3</v>
      </c>
      <c r="BN49" s="16">
        <f t="shared" si="7"/>
        <v>885.3</v>
      </c>
      <c r="BO49" s="16">
        <f t="shared" si="8"/>
        <v>885.3</v>
      </c>
      <c r="BP49" s="16">
        <f t="shared" si="9"/>
        <v>0</v>
      </c>
    </row>
    <row r="50" spans="1:68" ht="12" customHeight="1" x14ac:dyDescent="0.25">
      <c r="A50" s="5">
        <f t="shared" si="13"/>
        <v>46</v>
      </c>
      <c r="B50" s="6" t="s">
        <v>127</v>
      </c>
      <c r="C50" s="7">
        <f t="shared" si="0"/>
        <v>1380.65</v>
      </c>
      <c r="D50" s="8">
        <v>1380.65</v>
      </c>
      <c r="E50" s="8">
        <v>0</v>
      </c>
      <c r="F50" s="8">
        <v>142.19999999999999</v>
      </c>
      <c r="G50" s="9">
        <v>0</v>
      </c>
      <c r="H50" s="9">
        <v>0</v>
      </c>
      <c r="I50" s="9">
        <v>0</v>
      </c>
      <c r="J50" s="9">
        <v>0</v>
      </c>
      <c r="K50" s="9" t="s">
        <v>71</v>
      </c>
      <c r="L50" s="10" t="s">
        <v>71</v>
      </c>
      <c r="M50" s="10" t="s">
        <v>106</v>
      </c>
      <c r="N50" s="10" t="s">
        <v>72</v>
      </c>
      <c r="O50" s="10" t="s">
        <v>72</v>
      </c>
      <c r="P50" s="11" t="s">
        <v>102</v>
      </c>
      <c r="Q50" s="11">
        <v>9</v>
      </c>
      <c r="R50" s="21">
        <v>20.440000000000001</v>
      </c>
      <c r="S50" s="10">
        <v>3.11</v>
      </c>
      <c r="T50" s="10">
        <v>4.0599999999999996</v>
      </c>
      <c r="U50" s="10">
        <v>7</v>
      </c>
      <c r="V50" s="10">
        <v>4</v>
      </c>
      <c r="W50" s="10">
        <v>2.0499999999999998</v>
      </c>
      <c r="X50" s="10">
        <v>0</v>
      </c>
      <c r="Y50" s="10">
        <v>0</v>
      </c>
      <c r="Z50" s="10">
        <v>0.22</v>
      </c>
      <c r="AA50" s="13">
        <v>0.01</v>
      </c>
      <c r="AB50" s="13">
        <v>0</v>
      </c>
      <c r="AC50" s="14">
        <f t="shared" si="10"/>
        <v>0</v>
      </c>
      <c r="AD50" s="13">
        <f t="shared" si="11"/>
        <v>0.01</v>
      </c>
      <c r="AE50" s="13">
        <v>0.68300000000000005</v>
      </c>
      <c r="AF50" s="10">
        <v>7.46</v>
      </c>
      <c r="AG50" s="13">
        <v>0</v>
      </c>
      <c r="AH50" s="13">
        <v>0</v>
      </c>
      <c r="AI50" s="10">
        <f t="shared" si="1"/>
        <v>7.46</v>
      </c>
      <c r="AJ50" s="10">
        <v>0.02</v>
      </c>
      <c r="AK50" s="10">
        <v>23.1</v>
      </c>
      <c r="AL50" s="10">
        <v>0</v>
      </c>
      <c r="AM50" s="16">
        <v>40</v>
      </c>
      <c r="AN50" s="16">
        <v>0</v>
      </c>
      <c r="AO50" s="16">
        <v>0</v>
      </c>
      <c r="AP50" s="10">
        <v>0</v>
      </c>
      <c r="AQ50" s="16">
        <v>42.3</v>
      </c>
      <c r="AR50" s="16">
        <v>2604.04</v>
      </c>
      <c r="AS50" s="10">
        <v>6.92</v>
      </c>
      <c r="AT50" s="13">
        <v>0</v>
      </c>
      <c r="AU50" s="10">
        <v>6.73</v>
      </c>
      <c r="AV50" s="9">
        <f t="shared" si="12"/>
        <v>8938.7216531017366</v>
      </c>
      <c r="AW50" s="17">
        <v>5064.3946848086307</v>
      </c>
      <c r="AX50" s="17">
        <v>3874.326968293105</v>
      </c>
      <c r="AY50" s="17">
        <v>0</v>
      </c>
      <c r="BA50" s="18"/>
      <c r="BC50" s="19"/>
      <c r="BD50" s="19"/>
      <c r="BE50" s="19"/>
      <c r="BF50" s="19"/>
      <c r="BG50" s="19"/>
      <c r="BI50" s="16">
        <f t="shared" si="2"/>
        <v>0</v>
      </c>
      <c r="BJ50" s="16">
        <f t="shared" si="3"/>
        <v>0</v>
      </c>
      <c r="BK50" s="16">
        <f t="shared" si="4"/>
        <v>1380.65</v>
      </c>
      <c r="BL50" s="16">
        <f t="shared" si="5"/>
        <v>0</v>
      </c>
      <c r="BM50" s="16">
        <f t="shared" si="6"/>
        <v>1380.65</v>
      </c>
      <c r="BN50" s="16">
        <f t="shared" si="7"/>
        <v>1380.65</v>
      </c>
      <c r="BO50" s="16">
        <f t="shared" si="8"/>
        <v>1380.65</v>
      </c>
      <c r="BP50" s="16">
        <f t="shared" si="9"/>
        <v>0</v>
      </c>
    </row>
    <row r="51" spans="1:68" ht="12" customHeight="1" x14ac:dyDescent="0.25">
      <c r="A51" s="5">
        <f t="shared" si="13"/>
        <v>47</v>
      </c>
      <c r="B51" s="6" t="s">
        <v>128</v>
      </c>
      <c r="C51" s="7">
        <f t="shared" si="0"/>
        <v>379.15</v>
      </c>
      <c r="D51" s="8">
        <v>379.15</v>
      </c>
      <c r="E51" s="8">
        <v>0</v>
      </c>
      <c r="F51" s="8">
        <v>160.9</v>
      </c>
      <c r="G51" s="9">
        <v>0</v>
      </c>
      <c r="H51" s="9">
        <v>0</v>
      </c>
      <c r="I51" s="9">
        <v>0</v>
      </c>
      <c r="J51" s="9">
        <v>0</v>
      </c>
      <c r="K51" s="9" t="s">
        <v>71</v>
      </c>
      <c r="L51" s="10" t="s">
        <v>71</v>
      </c>
      <c r="M51" s="10">
        <v>0</v>
      </c>
      <c r="N51" s="10" t="s">
        <v>72</v>
      </c>
      <c r="O51" s="10" t="s">
        <v>72</v>
      </c>
      <c r="P51" s="11" t="s">
        <v>102</v>
      </c>
      <c r="Q51" s="11">
        <v>7</v>
      </c>
      <c r="R51" s="21">
        <v>25.29</v>
      </c>
      <c r="S51" s="10">
        <v>4.32</v>
      </c>
      <c r="T51" s="10">
        <v>5.61</v>
      </c>
      <c r="U51" s="10">
        <v>7.16</v>
      </c>
      <c r="V51" s="10">
        <v>5.31</v>
      </c>
      <c r="W51" s="10">
        <v>2.67</v>
      </c>
      <c r="X51" s="10">
        <v>0</v>
      </c>
      <c r="Y51" s="10">
        <v>0</v>
      </c>
      <c r="Z51" s="10">
        <v>0.22</v>
      </c>
      <c r="AA51" s="13">
        <v>1.2999999999999999E-2</v>
      </c>
      <c r="AB51" s="13">
        <v>1.2999999999999999E-2</v>
      </c>
      <c r="AC51" s="14">
        <f t="shared" si="10"/>
        <v>7.7870000000000001E-4</v>
      </c>
      <c r="AD51" s="13">
        <f t="shared" si="11"/>
        <v>2.5999999999999999E-2</v>
      </c>
      <c r="AE51" s="13">
        <v>0.68300000000000005</v>
      </c>
      <c r="AF51" s="10">
        <v>4.29</v>
      </c>
      <c r="AG51" s="10">
        <v>3.17</v>
      </c>
      <c r="AH51" s="15">
        <v>5.9900000000000002E-2</v>
      </c>
      <c r="AI51" s="10">
        <f t="shared" si="1"/>
        <v>7.46</v>
      </c>
      <c r="AJ51" s="10">
        <v>0.02</v>
      </c>
      <c r="AK51" s="10">
        <v>10</v>
      </c>
      <c r="AL51" s="10">
        <v>0</v>
      </c>
      <c r="AM51" s="16">
        <v>40</v>
      </c>
      <c r="AN51" s="16">
        <v>40</v>
      </c>
      <c r="AO51" s="16">
        <v>2604.04</v>
      </c>
      <c r="AP51" s="10">
        <v>195.98199600000001</v>
      </c>
      <c r="AQ51" s="16">
        <v>42.3</v>
      </c>
      <c r="AR51" s="16">
        <v>2604.04</v>
      </c>
      <c r="AS51" s="10">
        <v>7.85</v>
      </c>
      <c r="AT51" s="13">
        <v>0</v>
      </c>
      <c r="AU51" s="10">
        <v>6.73</v>
      </c>
      <c r="AV51" s="9">
        <f t="shared" si="12"/>
        <v>3098.0105416746164</v>
      </c>
      <c r="AW51" s="17">
        <v>1625.3913975649739</v>
      </c>
      <c r="AX51" s="17">
        <v>1472.6191441096428</v>
      </c>
      <c r="AY51" s="17">
        <v>0</v>
      </c>
      <c r="BA51" s="18"/>
      <c r="BC51" s="19"/>
      <c r="BD51" s="19"/>
      <c r="BE51" s="19"/>
      <c r="BF51" s="19"/>
      <c r="BG51" s="19"/>
      <c r="BI51" s="16">
        <f t="shared" si="2"/>
        <v>0</v>
      </c>
      <c r="BJ51" s="16">
        <f t="shared" si="3"/>
        <v>0</v>
      </c>
      <c r="BK51" s="16">
        <f t="shared" si="4"/>
        <v>379.15</v>
      </c>
      <c r="BL51" s="16">
        <f t="shared" si="5"/>
        <v>379.15</v>
      </c>
      <c r="BM51" s="16">
        <f t="shared" si="6"/>
        <v>379.15</v>
      </c>
      <c r="BN51" s="16">
        <f t="shared" si="7"/>
        <v>379.15</v>
      </c>
      <c r="BO51" s="16">
        <f t="shared" si="8"/>
        <v>379.15</v>
      </c>
      <c r="BP51" s="16">
        <f t="shared" si="9"/>
        <v>0</v>
      </c>
    </row>
    <row r="52" spans="1:68" ht="12" customHeight="1" x14ac:dyDescent="0.25">
      <c r="A52" s="5">
        <f t="shared" si="13"/>
        <v>48</v>
      </c>
      <c r="B52" s="6" t="s">
        <v>129</v>
      </c>
      <c r="C52" s="7">
        <f t="shared" si="0"/>
        <v>502.68</v>
      </c>
      <c r="D52" s="8">
        <v>502.68</v>
      </c>
      <c r="E52" s="8">
        <v>0</v>
      </c>
      <c r="F52" s="8">
        <v>65.2</v>
      </c>
      <c r="G52" s="9">
        <v>0</v>
      </c>
      <c r="H52" s="9">
        <v>0</v>
      </c>
      <c r="I52" s="9">
        <v>0</v>
      </c>
      <c r="J52" s="9">
        <v>0</v>
      </c>
      <c r="K52" s="9" t="s">
        <v>71</v>
      </c>
      <c r="L52" s="10" t="s">
        <v>71</v>
      </c>
      <c r="M52" s="10" t="s">
        <v>106</v>
      </c>
      <c r="N52" s="10" t="s">
        <v>72</v>
      </c>
      <c r="O52" s="10" t="s">
        <v>72</v>
      </c>
      <c r="P52" s="11" t="s">
        <v>102</v>
      </c>
      <c r="Q52" s="11">
        <v>9</v>
      </c>
      <c r="R52" s="21">
        <v>20.440000000000001</v>
      </c>
      <c r="S52" s="10">
        <v>3.11</v>
      </c>
      <c r="T52" s="10">
        <v>4.0599999999999996</v>
      </c>
      <c r="U52" s="10">
        <v>7</v>
      </c>
      <c r="V52" s="10">
        <v>4</v>
      </c>
      <c r="W52" s="10">
        <v>2.0499999999999998</v>
      </c>
      <c r="X52" s="10">
        <v>0</v>
      </c>
      <c r="Y52" s="10">
        <v>0</v>
      </c>
      <c r="Z52" s="10">
        <v>0.22</v>
      </c>
      <c r="AA52" s="13">
        <v>0.01</v>
      </c>
      <c r="AB52" s="13">
        <v>0</v>
      </c>
      <c r="AC52" s="14">
        <f t="shared" si="10"/>
        <v>0</v>
      </c>
      <c r="AD52" s="13">
        <f t="shared" si="11"/>
        <v>0.01</v>
      </c>
      <c r="AE52" s="13">
        <v>0.68300000000000005</v>
      </c>
      <c r="AF52" s="10">
        <v>7.46</v>
      </c>
      <c r="AG52" s="13">
        <v>0</v>
      </c>
      <c r="AH52" s="13">
        <v>0</v>
      </c>
      <c r="AI52" s="10">
        <f t="shared" si="1"/>
        <v>7.46</v>
      </c>
      <c r="AJ52" s="10">
        <v>0.02</v>
      </c>
      <c r="AK52" s="10">
        <v>23.1</v>
      </c>
      <c r="AL52" s="10">
        <v>0</v>
      </c>
      <c r="AM52" s="16">
        <v>40</v>
      </c>
      <c r="AN52" s="16">
        <v>0</v>
      </c>
      <c r="AO52" s="16">
        <v>0</v>
      </c>
      <c r="AP52" s="10">
        <v>0</v>
      </c>
      <c r="AQ52" s="16">
        <v>42.3</v>
      </c>
      <c r="AR52" s="16">
        <v>2604.04</v>
      </c>
      <c r="AS52" s="10">
        <v>6.92</v>
      </c>
      <c r="AT52" s="13">
        <v>0</v>
      </c>
      <c r="AU52" s="10">
        <v>6.73</v>
      </c>
      <c r="AV52" s="9">
        <f t="shared" si="12"/>
        <v>5980.5636558404267</v>
      </c>
      <c r="AW52" s="17">
        <v>4053.6771582314373</v>
      </c>
      <c r="AX52" s="17">
        <v>1926.8864976089894</v>
      </c>
      <c r="AY52" s="17">
        <v>0</v>
      </c>
      <c r="BA52" s="18"/>
      <c r="BC52" s="19"/>
      <c r="BD52" s="19"/>
      <c r="BE52" s="19"/>
      <c r="BF52" s="19"/>
      <c r="BG52" s="19"/>
      <c r="BI52" s="16">
        <f t="shared" si="2"/>
        <v>0</v>
      </c>
      <c r="BJ52" s="16">
        <f t="shared" si="3"/>
        <v>0</v>
      </c>
      <c r="BK52" s="16">
        <f t="shared" si="4"/>
        <v>502.68</v>
      </c>
      <c r="BL52" s="16">
        <f t="shared" si="5"/>
        <v>0</v>
      </c>
      <c r="BM52" s="16">
        <f t="shared" si="6"/>
        <v>502.68</v>
      </c>
      <c r="BN52" s="16">
        <f t="shared" si="7"/>
        <v>502.68</v>
      </c>
      <c r="BO52" s="16">
        <f t="shared" si="8"/>
        <v>502.68</v>
      </c>
      <c r="BP52" s="16">
        <f t="shared" si="9"/>
        <v>0</v>
      </c>
    </row>
    <row r="53" spans="1:68" ht="12" customHeight="1" x14ac:dyDescent="0.25">
      <c r="A53" s="5">
        <f t="shared" si="13"/>
        <v>49</v>
      </c>
      <c r="B53" s="6" t="s">
        <v>130</v>
      </c>
      <c r="C53" s="7">
        <f t="shared" si="0"/>
        <v>758.99</v>
      </c>
      <c r="D53" s="8">
        <v>758.99</v>
      </c>
      <c r="E53" s="8">
        <v>0</v>
      </c>
      <c r="F53" s="8">
        <v>99.8</v>
      </c>
      <c r="G53" s="9">
        <v>0</v>
      </c>
      <c r="H53" s="9">
        <v>0</v>
      </c>
      <c r="I53" s="9">
        <v>0</v>
      </c>
      <c r="J53" s="9">
        <v>0</v>
      </c>
      <c r="K53" s="9" t="s">
        <v>71</v>
      </c>
      <c r="L53" s="10" t="s">
        <v>71</v>
      </c>
      <c r="M53" s="10" t="s">
        <v>106</v>
      </c>
      <c r="N53" s="10" t="s">
        <v>72</v>
      </c>
      <c r="O53" s="10" t="s">
        <v>72</v>
      </c>
      <c r="P53" s="5" t="s">
        <v>102</v>
      </c>
      <c r="Q53" s="11">
        <v>9</v>
      </c>
      <c r="R53" s="21">
        <v>20.440000000000001</v>
      </c>
      <c r="S53" s="10">
        <v>3.11</v>
      </c>
      <c r="T53" s="10">
        <v>4.0599999999999996</v>
      </c>
      <c r="U53" s="10">
        <v>7</v>
      </c>
      <c r="V53" s="10">
        <v>4</v>
      </c>
      <c r="W53" s="10">
        <v>2.0499999999999998</v>
      </c>
      <c r="X53" s="10">
        <v>0</v>
      </c>
      <c r="Y53" s="10">
        <v>0</v>
      </c>
      <c r="Z53" s="10">
        <v>0.22</v>
      </c>
      <c r="AA53" s="13">
        <v>0.01</v>
      </c>
      <c r="AB53" s="13">
        <v>0</v>
      </c>
      <c r="AC53" s="14">
        <f t="shared" si="10"/>
        <v>0</v>
      </c>
      <c r="AD53" s="13">
        <f t="shared" si="11"/>
        <v>0.01</v>
      </c>
      <c r="AE53" s="13">
        <v>0.68300000000000005</v>
      </c>
      <c r="AF53" s="10">
        <v>7.46</v>
      </c>
      <c r="AG53" s="13">
        <v>0</v>
      </c>
      <c r="AH53" s="13">
        <v>0</v>
      </c>
      <c r="AI53" s="10">
        <f t="shared" si="1"/>
        <v>7.46</v>
      </c>
      <c r="AJ53" s="10">
        <v>0.02</v>
      </c>
      <c r="AK53" s="10">
        <v>23.1</v>
      </c>
      <c r="AL53" s="10">
        <v>0</v>
      </c>
      <c r="AM53" s="16">
        <v>40</v>
      </c>
      <c r="AN53" s="16">
        <v>0</v>
      </c>
      <c r="AO53" s="16">
        <v>0</v>
      </c>
      <c r="AP53" s="10">
        <v>0</v>
      </c>
      <c r="AQ53" s="16">
        <v>42.3</v>
      </c>
      <c r="AR53" s="16">
        <v>2604.04</v>
      </c>
      <c r="AS53" s="10">
        <v>6.92</v>
      </c>
      <c r="AT53" s="13">
        <v>0</v>
      </c>
      <c r="AU53" s="10">
        <v>6.73</v>
      </c>
      <c r="AV53" s="17">
        <f t="shared" si="12"/>
        <v>6168.1728367144988</v>
      </c>
      <c r="AW53" s="17">
        <v>3236.1759139084597</v>
      </c>
      <c r="AX53" s="17">
        <v>2931.9969228060395</v>
      </c>
      <c r="AY53" s="17">
        <v>0</v>
      </c>
      <c r="BA53" s="18"/>
      <c r="BC53" s="19"/>
      <c r="BD53" s="19"/>
      <c r="BE53" s="19"/>
      <c r="BF53" s="19"/>
      <c r="BG53" s="19"/>
      <c r="BI53" s="16">
        <f t="shared" si="2"/>
        <v>0</v>
      </c>
      <c r="BJ53" s="16">
        <f t="shared" si="3"/>
        <v>0</v>
      </c>
      <c r="BK53" s="16">
        <f t="shared" si="4"/>
        <v>758.99</v>
      </c>
      <c r="BL53" s="16">
        <f t="shared" si="5"/>
        <v>0</v>
      </c>
      <c r="BM53" s="16">
        <f t="shared" si="6"/>
        <v>758.99</v>
      </c>
      <c r="BN53" s="16">
        <f t="shared" si="7"/>
        <v>758.99</v>
      </c>
      <c r="BO53" s="16">
        <f t="shared" si="8"/>
        <v>758.99</v>
      </c>
      <c r="BP53" s="16">
        <f t="shared" si="9"/>
        <v>0</v>
      </c>
    </row>
    <row r="54" spans="1:68" ht="12" customHeight="1" x14ac:dyDescent="0.25">
      <c r="A54" s="5">
        <f t="shared" si="13"/>
        <v>50</v>
      </c>
      <c r="B54" s="6" t="s">
        <v>131</v>
      </c>
      <c r="C54" s="7">
        <f t="shared" si="0"/>
        <v>5789.9398064828247</v>
      </c>
      <c r="D54" s="8">
        <v>5758.6998064828249</v>
      </c>
      <c r="E54" s="8">
        <v>31.24</v>
      </c>
      <c r="F54" s="8">
        <v>1030.1199999999999</v>
      </c>
      <c r="G54" s="9">
        <v>3</v>
      </c>
      <c r="H54" s="9">
        <v>0</v>
      </c>
      <c r="I54" s="9">
        <v>400</v>
      </c>
      <c r="J54" s="9">
        <v>0</v>
      </c>
      <c r="K54" s="9" t="s">
        <v>83</v>
      </c>
      <c r="L54" s="10" t="s">
        <v>71</v>
      </c>
      <c r="M54" s="10">
        <v>0</v>
      </c>
      <c r="N54" s="10" t="s">
        <v>72</v>
      </c>
      <c r="O54" s="10" t="s">
        <v>72</v>
      </c>
      <c r="P54" s="5" t="s">
        <v>98</v>
      </c>
      <c r="Q54" s="11">
        <v>3</v>
      </c>
      <c r="R54" s="12">
        <v>41.34</v>
      </c>
      <c r="S54" s="10">
        <v>4.68</v>
      </c>
      <c r="T54" s="10">
        <v>7.92</v>
      </c>
      <c r="U54" s="10">
        <v>12.32</v>
      </c>
      <c r="V54" s="10">
        <v>6.34</v>
      </c>
      <c r="W54" s="10">
        <v>2.89</v>
      </c>
      <c r="X54" s="10">
        <v>1.66</v>
      </c>
      <c r="Y54" s="10">
        <v>5.29</v>
      </c>
      <c r="Z54" s="10">
        <v>0.24</v>
      </c>
      <c r="AA54" s="13">
        <v>1.2E-2</v>
      </c>
      <c r="AB54" s="13">
        <v>1.2E-2</v>
      </c>
      <c r="AC54" s="14">
        <f t="shared" si="10"/>
        <v>7.1880000000000002E-4</v>
      </c>
      <c r="AD54" s="13">
        <f t="shared" si="11"/>
        <v>2.4E-2</v>
      </c>
      <c r="AE54" s="13">
        <v>3.23</v>
      </c>
      <c r="AF54" s="10">
        <v>4.29</v>
      </c>
      <c r="AG54" s="10">
        <v>3.17</v>
      </c>
      <c r="AH54" s="15">
        <v>5.9900000000000002E-2</v>
      </c>
      <c r="AI54" s="10">
        <f t="shared" si="1"/>
        <v>7.46</v>
      </c>
      <c r="AJ54" s="10">
        <v>0.02</v>
      </c>
      <c r="AK54" s="10">
        <v>10</v>
      </c>
      <c r="AL54" s="10">
        <v>0</v>
      </c>
      <c r="AM54" s="16">
        <v>40</v>
      </c>
      <c r="AN54" s="16">
        <v>40</v>
      </c>
      <c r="AO54" s="16">
        <v>2604.04</v>
      </c>
      <c r="AP54" s="10">
        <v>195.98199600000001</v>
      </c>
      <c r="AQ54" s="16">
        <v>42.3</v>
      </c>
      <c r="AR54" s="16">
        <v>2604.04</v>
      </c>
      <c r="AS54" s="10">
        <v>7.85</v>
      </c>
      <c r="AT54" s="13">
        <v>0</v>
      </c>
      <c r="AU54" s="10">
        <v>6.73</v>
      </c>
      <c r="AV54" s="17">
        <f t="shared" si="12"/>
        <v>118121.07602938496</v>
      </c>
      <c r="AW54" s="17">
        <v>49714.692650944817</v>
      </c>
      <c r="AX54" s="17">
        <v>45041.773417343225</v>
      </c>
      <c r="AY54" s="17">
        <v>23364.60996109691</v>
      </c>
      <c r="BA54" s="18"/>
      <c r="BC54" s="19"/>
      <c r="BD54" s="19"/>
      <c r="BE54" s="19"/>
      <c r="BF54" s="19"/>
      <c r="BG54" s="19"/>
      <c r="BI54" s="16">
        <f t="shared" si="2"/>
        <v>0</v>
      </c>
      <c r="BJ54" s="16">
        <f t="shared" si="3"/>
        <v>5789.9398064828247</v>
      </c>
      <c r="BK54" s="16">
        <f t="shared" si="4"/>
        <v>5789.9398064828247</v>
      </c>
      <c r="BL54" s="16">
        <f t="shared" si="5"/>
        <v>5789.9398064828247</v>
      </c>
      <c r="BM54" s="16">
        <f t="shared" si="6"/>
        <v>5789.9398064828247</v>
      </c>
      <c r="BN54" s="16">
        <f t="shared" si="7"/>
        <v>5789.9398064828247</v>
      </c>
      <c r="BO54" s="16">
        <f t="shared" si="8"/>
        <v>5789.9398064828247</v>
      </c>
      <c r="BP54" s="16">
        <f t="shared" si="9"/>
        <v>0</v>
      </c>
    </row>
    <row r="55" spans="1:68" ht="12" customHeight="1" x14ac:dyDescent="0.25">
      <c r="A55" s="5">
        <f t="shared" si="13"/>
        <v>51</v>
      </c>
      <c r="B55" s="6" t="s">
        <v>132</v>
      </c>
      <c r="C55" s="7">
        <f t="shared" si="0"/>
        <v>5804.9</v>
      </c>
      <c r="D55" s="8">
        <v>5804.9</v>
      </c>
      <c r="E55" s="8">
        <v>0</v>
      </c>
      <c r="F55" s="8">
        <v>1032.78</v>
      </c>
      <c r="G55" s="9">
        <v>3</v>
      </c>
      <c r="H55" s="9">
        <v>0</v>
      </c>
      <c r="I55" s="9">
        <v>400</v>
      </c>
      <c r="J55" s="9">
        <v>0</v>
      </c>
      <c r="K55" s="9" t="s">
        <v>83</v>
      </c>
      <c r="L55" s="10" t="s">
        <v>71</v>
      </c>
      <c r="M55" s="10">
        <v>0</v>
      </c>
      <c r="N55" s="10" t="s">
        <v>72</v>
      </c>
      <c r="O55" s="10" t="s">
        <v>72</v>
      </c>
      <c r="P55" s="5" t="s">
        <v>98</v>
      </c>
      <c r="Q55" s="11">
        <v>3</v>
      </c>
      <c r="R55" s="12">
        <v>41.34</v>
      </c>
      <c r="S55" s="10">
        <v>4.68</v>
      </c>
      <c r="T55" s="10">
        <v>7.92</v>
      </c>
      <c r="U55" s="10">
        <v>12.32</v>
      </c>
      <c r="V55" s="10">
        <v>6.34</v>
      </c>
      <c r="W55" s="10">
        <v>2.89</v>
      </c>
      <c r="X55" s="10">
        <v>1.66</v>
      </c>
      <c r="Y55" s="10">
        <v>5.29</v>
      </c>
      <c r="Z55" s="10">
        <v>0.24</v>
      </c>
      <c r="AA55" s="13">
        <v>1.2E-2</v>
      </c>
      <c r="AB55" s="13">
        <v>1.2E-2</v>
      </c>
      <c r="AC55" s="14">
        <f t="shared" si="10"/>
        <v>7.1880000000000002E-4</v>
      </c>
      <c r="AD55" s="13">
        <f t="shared" si="11"/>
        <v>2.4E-2</v>
      </c>
      <c r="AE55" s="13">
        <v>3.23</v>
      </c>
      <c r="AF55" s="10">
        <v>4.29</v>
      </c>
      <c r="AG55" s="10">
        <v>3.17</v>
      </c>
      <c r="AH55" s="15">
        <v>5.9900000000000002E-2</v>
      </c>
      <c r="AI55" s="10">
        <f t="shared" si="1"/>
        <v>7.46</v>
      </c>
      <c r="AJ55" s="10">
        <v>0.02</v>
      </c>
      <c r="AK55" s="10">
        <v>10</v>
      </c>
      <c r="AL55" s="10">
        <v>0</v>
      </c>
      <c r="AM55" s="16">
        <v>40</v>
      </c>
      <c r="AN55" s="16">
        <v>40</v>
      </c>
      <c r="AO55" s="16">
        <v>2604.04</v>
      </c>
      <c r="AP55" s="10">
        <v>195.98199600000001</v>
      </c>
      <c r="AQ55" s="16">
        <v>42.3</v>
      </c>
      <c r="AR55" s="16">
        <v>2604.04</v>
      </c>
      <c r="AS55" s="10">
        <v>7.85</v>
      </c>
      <c r="AT55" s="13">
        <v>0</v>
      </c>
      <c r="AU55" s="10">
        <v>6.73</v>
      </c>
      <c r="AV55" s="17">
        <f t="shared" si="12"/>
        <v>118121.07602938496</v>
      </c>
      <c r="AW55" s="17">
        <v>49714.692650944817</v>
      </c>
      <c r="AX55" s="17">
        <v>45041.773417343225</v>
      </c>
      <c r="AY55" s="17">
        <v>23364.60996109691</v>
      </c>
      <c r="BA55" s="18"/>
      <c r="BC55" s="19"/>
      <c r="BD55" s="19"/>
      <c r="BE55" s="19"/>
      <c r="BF55" s="19"/>
      <c r="BG55" s="19"/>
      <c r="BI55" s="16">
        <f t="shared" si="2"/>
        <v>0</v>
      </c>
      <c r="BJ55" s="16">
        <f t="shared" si="3"/>
        <v>5804.9</v>
      </c>
      <c r="BK55" s="16">
        <f t="shared" si="4"/>
        <v>5804.9</v>
      </c>
      <c r="BL55" s="16">
        <f t="shared" si="5"/>
        <v>5804.9</v>
      </c>
      <c r="BM55" s="16">
        <f t="shared" si="6"/>
        <v>5804.9</v>
      </c>
      <c r="BN55" s="16">
        <f t="shared" si="7"/>
        <v>5804.9</v>
      </c>
      <c r="BO55" s="16">
        <f t="shared" si="8"/>
        <v>5804.9</v>
      </c>
      <c r="BP55" s="16">
        <f t="shared" si="9"/>
        <v>0</v>
      </c>
    </row>
    <row r="56" spans="1:68" ht="12" customHeight="1" x14ac:dyDescent="0.25">
      <c r="A56" s="5">
        <f t="shared" si="13"/>
        <v>52</v>
      </c>
      <c r="B56" s="6" t="s">
        <v>133</v>
      </c>
      <c r="C56" s="7">
        <f t="shared" si="0"/>
        <v>10302.899999999998</v>
      </c>
      <c r="D56" s="8">
        <v>9629.5999999999985</v>
      </c>
      <c r="E56" s="8">
        <v>673.3</v>
      </c>
      <c r="F56" s="8">
        <v>1358.8</v>
      </c>
      <c r="G56" s="9">
        <v>6</v>
      </c>
      <c r="H56" s="9">
        <v>0</v>
      </c>
      <c r="I56" s="9">
        <v>400</v>
      </c>
      <c r="J56" s="9">
        <v>0</v>
      </c>
      <c r="K56" s="9" t="s">
        <v>71</v>
      </c>
      <c r="L56" s="10" t="s">
        <v>71</v>
      </c>
      <c r="M56" s="10">
        <v>0</v>
      </c>
      <c r="N56" s="10" t="s">
        <v>72</v>
      </c>
      <c r="O56" s="10" t="s">
        <v>72</v>
      </c>
      <c r="P56" s="5" t="s">
        <v>98</v>
      </c>
      <c r="Q56" s="11">
        <v>1</v>
      </c>
      <c r="R56" s="12">
        <v>41.1</v>
      </c>
      <c r="S56" s="10">
        <v>4.68</v>
      </c>
      <c r="T56" s="10">
        <v>7.92</v>
      </c>
      <c r="U56" s="10">
        <v>12.32</v>
      </c>
      <c r="V56" s="10">
        <v>6.34</v>
      </c>
      <c r="W56" s="10">
        <v>2.89</v>
      </c>
      <c r="X56" s="10">
        <v>1.66</v>
      </c>
      <c r="Y56" s="10">
        <v>5.29</v>
      </c>
      <c r="Z56" s="10">
        <v>0</v>
      </c>
      <c r="AA56" s="13">
        <v>7.0000000000000001E-3</v>
      </c>
      <c r="AB56" s="13">
        <v>7.0000000000000001E-3</v>
      </c>
      <c r="AC56" s="14">
        <f t="shared" si="10"/>
        <v>4.193E-4</v>
      </c>
      <c r="AD56" s="13">
        <f t="shared" si="11"/>
        <v>1.4E-2</v>
      </c>
      <c r="AE56" s="13">
        <v>3.23</v>
      </c>
      <c r="AF56" s="10">
        <v>4.29</v>
      </c>
      <c r="AG56" s="10">
        <v>3.17</v>
      </c>
      <c r="AH56" s="15">
        <v>5.9900000000000002E-2</v>
      </c>
      <c r="AI56" s="10">
        <f t="shared" si="1"/>
        <v>7.46</v>
      </c>
      <c r="AJ56" s="10">
        <v>0.02</v>
      </c>
      <c r="AK56" s="13">
        <v>0</v>
      </c>
      <c r="AL56" s="10">
        <v>0</v>
      </c>
      <c r="AM56" s="16">
        <v>40</v>
      </c>
      <c r="AN56" s="16">
        <v>40</v>
      </c>
      <c r="AO56" s="16">
        <v>2604.04</v>
      </c>
      <c r="AP56" s="10">
        <v>195.98199600000001</v>
      </c>
      <c r="AQ56" s="16">
        <v>42.3</v>
      </c>
      <c r="AR56" s="16">
        <v>2604.04</v>
      </c>
      <c r="AS56" s="10">
        <v>0</v>
      </c>
      <c r="AT56" s="13">
        <v>0</v>
      </c>
      <c r="AU56" s="10">
        <v>5.05</v>
      </c>
      <c r="AV56" s="17">
        <f t="shared" si="12"/>
        <v>104952.59329826725</v>
      </c>
      <c r="AW56" s="17">
        <v>44172.353640162844</v>
      </c>
      <c r="AX56" s="17">
        <v>40020.385583949705</v>
      </c>
      <c r="AY56" s="17">
        <v>20759.854074154697</v>
      </c>
      <c r="BA56" s="18"/>
      <c r="BC56" s="19"/>
      <c r="BD56" s="19"/>
      <c r="BE56" s="19"/>
      <c r="BF56" s="19"/>
      <c r="BG56" s="19"/>
      <c r="BI56" s="16">
        <f t="shared" si="2"/>
        <v>10302.899999999998</v>
      </c>
      <c r="BJ56" s="16">
        <f t="shared" si="3"/>
        <v>0</v>
      </c>
      <c r="BK56" s="16">
        <f t="shared" si="4"/>
        <v>10302.899999999998</v>
      </c>
      <c r="BL56" s="16">
        <f t="shared" si="5"/>
        <v>10302.899999999998</v>
      </c>
      <c r="BM56" s="16">
        <f t="shared" si="6"/>
        <v>10302.899999999998</v>
      </c>
      <c r="BN56" s="16">
        <f t="shared" si="7"/>
        <v>10302.899999999998</v>
      </c>
      <c r="BO56" s="16">
        <f t="shared" si="8"/>
        <v>0</v>
      </c>
      <c r="BP56" s="16">
        <f t="shared" si="9"/>
        <v>10302.899999999998</v>
      </c>
    </row>
    <row r="57" spans="1:68" ht="12" customHeight="1" x14ac:dyDescent="0.25">
      <c r="A57" s="5">
        <f t="shared" si="13"/>
        <v>53</v>
      </c>
      <c r="B57" s="6" t="s">
        <v>134</v>
      </c>
      <c r="C57" s="7">
        <f t="shared" si="0"/>
        <v>4904.3</v>
      </c>
      <c r="D57" s="8">
        <v>4904.3</v>
      </c>
      <c r="E57" s="8">
        <v>0</v>
      </c>
      <c r="F57" s="8">
        <v>536.79999999999995</v>
      </c>
      <c r="G57" s="9">
        <v>2</v>
      </c>
      <c r="H57" s="9">
        <v>0</v>
      </c>
      <c r="I57" s="9">
        <v>400</v>
      </c>
      <c r="J57" s="9">
        <v>0</v>
      </c>
      <c r="K57" s="9" t="s">
        <v>71</v>
      </c>
      <c r="L57" s="10" t="s">
        <v>71</v>
      </c>
      <c r="M57" s="10">
        <v>0</v>
      </c>
      <c r="N57" s="10" t="s">
        <v>72</v>
      </c>
      <c r="O57" s="10" t="s">
        <v>72</v>
      </c>
      <c r="P57" s="5" t="s">
        <v>98</v>
      </c>
      <c r="Q57" s="11">
        <v>1</v>
      </c>
      <c r="R57" s="12">
        <v>41.1</v>
      </c>
      <c r="S57" s="10">
        <v>4.68</v>
      </c>
      <c r="T57" s="10">
        <v>7.92</v>
      </c>
      <c r="U57" s="10">
        <v>12.32</v>
      </c>
      <c r="V57" s="10">
        <v>6.34</v>
      </c>
      <c r="W57" s="10">
        <v>2.89</v>
      </c>
      <c r="X57" s="10">
        <v>1.66</v>
      </c>
      <c r="Y57" s="10">
        <v>5.29</v>
      </c>
      <c r="Z57" s="10">
        <v>0</v>
      </c>
      <c r="AA57" s="13">
        <v>7.0000000000000001E-3</v>
      </c>
      <c r="AB57" s="13">
        <v>7.0000000000000001E-3</v>
      </c>
      <c r="AC57" s="14">
        <f t="shared" si="10"/>
        <v>4.193E-4</v>
      </c>
      <c r="AD57" s="13">
        <f t="shared" si="11"/>
        <v>1.4E-2</v>
      </c>
      <c r="AE57" s="13">
        <v>3.23</v>
      </c>
      <c r="AF57" s="10">
        <v>4.29</v>
      </c>
      <c r="AG57" s="10">
        <v>3.17</v>
      </c>
      <c r="AH57" s="15">
        <v>5.9900000000000002E-2</v>
      </c>
      <c r="AI57" s="10">
        <f t="shared" si="1"/>
        <v>7.46</v>
      </c>
      <c r="AJ57" s="10">
        <v>0.02</v>
      </c>
      <c r="AK57" s="13">
        <v>0</v>
      </c>
      <c r="AL57" s="10">
        <v>0</v>
      </c>
      <c r="AM57" s="16">
        <v>40</v>
      </c>
      <c r="AN57" s="16">
        <v>40</v>
      </c>
      <c r="AO57" s="16">
        <v>2604.04</v>
      </c>
      <c r="AP57" s="10">
        <v>195.98199600000001</v>
      </c>
      <c r="AQ57" s="16">
        <v>42.3</v>
      </c>
      <c r="AR57" s="16">
        <v>2604.04</v>
      </c>
      <c r="AS57" s="10">
        <v>0</v>
      </c>
      <c r="AT57" s="13">
        <v>0</v>
      </c>
      <c r="AU57" s="10">
        <v>5.05</v>
      </c>
      <c r="AV57" s="17">
        <f t="shared" si="12"/>
        <v>50065.837109997345</v>
      </c>
      <c r="AW57" s="17">
        <v>21071.660643458708</v>
      </c>
      <c r="AX57" s="17">
        <v>19091.042032505455</v>
      </c>
      <c r="AY57" s="17">
        <v>9903.1344340331852</v>
      </c>
      <c r="BA57" s="18"/>
      <c r="BC57" s="19"/>
      <c r="BD57" s="19"/>
      <c r="BE57" s="19"/>
      <c r="BF57" s="19"/>
      <c r="BG57" s="19"/>
      <c r="BI57" s="16">
        <f t="shared" si="2"/>
        <v>4904.3</v>
      </c>
      <c r="BJ57" s="16">
        <f t="shared" si="3"/>
        <v>0</v>
      </c>
      <c r="BK57" s="16">
        <f t="shared" si="4"/>
        <v>4904.3</v>
      </c>
      <c r="BL57" s="16">
        <f t="shared" si="5"/>
        <v>4904.3</v>
      </c>
      <c r="BM57" s="16">
        <f t="shared" si="6"/>
        <v>4904.3</v>
      </c>
      <c r="BN57" s="16">
        <f t="shared" si="7"/>
        <v>4904.3</v>
      </c>
      <c r="BO57" s="16">
        <f t="shared" si="8"/>
        <v>0</v>
      </c>
      <c r="BP57" s="16">
        <f t="shared" si="9"/>
        <v>4904.3</v>
      </c>
    </row>
    <row r="58" spans="1:68" ht="12" customHeight="1" x14ac:dyDescent="0.25">
      <c r="A58" s="5">
        <f t="shared" si="13"/>
        <v>54</v>
      </c>
      <c r="B58" s="6" t="s">
        <v>135</v>
      </c>
      <c r="C58" s="7">
        <f t="shared" si="0"/>
        <v>3072.3</v>
      </c>
      <c r="D58" s="8">
        <v>3018.9</v>
      </c>
      <c r="E58" s="8">
        <v>53.4</v>
      </c>
      <c r="F58" s="8">
        <v>530.6</v>
      </c>
      <c r="G58" s="9">
        <v>1</v>
      </c>
      <c r="H58" s="9">
        <v>0</v>
      </c>
      <c r="I58" s="9">
        <v>400</v>
      </c>
      <c r="J58" s="9">
        <v>0</v>
      </c>
      <c r="K58" s="9" t="s">
        <v>83</v>
      </c>
      <c r="L58" s="10" t="s">
        <v>71</v>
      </c>
      <c r="M58" s="10">
        <v>0</v>
      </c>
      <c r="N58" s="10" t="s">
        <v>72</v>
      </c>
      <c r="O58" s="10" t="s">
        <v>72</v>
      </c>
      <c r="P58" s="5" t="s">
        <v>102</v>
      </c>
      <c r="Q58" s="11">
        <v>3</v>
      </c>
      <c r="R58" s="21">
        <v>36.75</v>
      </c>
      <c r="S58" s="10">
        <v>4.0199999999999996</v>
      </c>
      <c r="T58" s="10">
        <v>7</v>
      </c>
      <c r="U58" s="10">
        <v>11</v>
      </c>
      <c r="V58" s="10">
        <v>5.4</v>
      </c>
      <c r="W58" s="10">
        <v>2.67</v>
      </c>
      <c r="X58" s="10">
        <v>1.54</v>
      </c>
      <c r="Y58" s="10">
        <v>4.9000000000000004</v>
      </c>
      <c r="Z58" s="10">
        <v>0.22</v>
      </c>
      <c r="AA58" s="13">
        <v>1.2E-2</v>
      </c>
      <c r="AB58" s="13">
        <v>1.2E-2</v>
      </c>
      <c r="AC58" s="14">
        <f t="shared" si="10"/>
        <v>7.1880000000000002E-4</v>
      </c>
      <c r="AD58" s="13">
        <f t="shared" si="11"/>
        <v>2.4E-2</v>
      </c>
      <c r="AE58" s="13">
        <v>3.23</v>
      </c>
      <c r="AF58" s="10">
        <v>4.29</v>
      </c>
      <c r="AG58" s="10">
        <v>3.17</v>
      </c>
      <c r="AH58" s="15">
        <v>5.9900000000000002E-2</v>
      </c>
      <c r="AI58" s="10">
        <f t="shared" si="1"/>
        <v>7.46</v>
      </c>
      <c r="AJ58" s="10">
        <v>0.02</v>
      </c>
      <c r="AK58" s="10">
        <v>10</v>
      </c>
      <c r="AL58" s="10">
        <v>0</v>
      </c>
      <c r="AM58" s="16">
        <v>40</v>
      </c>
      <c r="AN58" s="16">
        <v>40</v>
      </c>
      <c r="AO58" s="16">
        <v>2604.04</v>
      </c>
      <c r="AP58" s="10">
        <v>195.98199600000001</v>
      </c>
      <c r="AQ58" s="16">
        <v>42.3</v>
      </c>
      <c r="AR58" s="16">
        <v>2604.04</v>
      </c>
      <c r="AS58" s="10">
        <v>7.85</v>
      </c>
      <c r="AT58" s="13">
        <v>0</v>
      </c>
      <c r="AU58" s="10">
        <v>6.73</v>
      </c>
      <c r="AV58" s="17">
        <f t="shared" si="12"/>
        <v>31315.470582014575</v>
      </c>
      <c r="AW58" s="17">
        <v>13180.02754658738</v>
      </c>
      <c r="AX58" s="17">
        <v>11941.173674377424</v>
      </c>
      <c r="AY58" s="17">
        <v>6194.2693610497727</v>
      </c>
      <c r="BA58" s="18"/>
      <c r="BC58" s="19"/>
      <c r="BD58" s="19"/>
      <c r="BE58" s="19"/>
      <c r="BF58" s="19"/>
      <c r="BG58" s="19"/>
      <c r="BI58" s="16">
        <f t="shared" si="2"/>
        <v>0</v>
      </c>
      <c r="BJ58" s="16">
        <f t="shared" si="3"/>
        <v>3072.3</v>
      </c>
      <c r="BK58" s="16">
        <f t="shared" si="4"/>
        <v>3072.3</v>
      </c>
      <c r="BL58" s="16">
        <f t="shared" si="5"/>
        <v>3072.3</v>
      </c>
      <c r="BM58" s="16">
        <f t="shared" si="6"/>
        <v>3072.3</v>
      </c>
      <c r="BN58" s="16">
        <f t="shared" si="7"/>
        <v>3072.3</v>
      </c>
      <c r="BO58" s="16">
        <f t="shared" si="8"/>
        <v>3072.3</v>
      </c>
      <c r="BP58" s="16">
        <f t="shared" si="9"/>
        <v>0</v>
      </c>
    </row>
    <row r="59" spans="1:68" ht="12" customHeight="1" x14ac:dyDescent="0.25">
      <c r="A59" s="5">
        <f t="shared" si="13"/>
        <v>55</v>
      </c>
      <c r="B59" s="6" t="s">
        <v>136</v>
      </c>
      <c r="C59" s="7">
        <f t="shared" si="0"/>
        <v>4398.8</v>
      </c>
      <c r="D59" s="8">
        <v>3854.6</v>
      </c>
      <c r="E59" s="8">
        <v>544.20000000000005</v>
      </c>
      <c r="F59" s="8">
        <v>1214.2</v>
      </c>
      <c r="G59" s="9">
        <v>1</v>
      </c>
      <c r="H59" s="9">
        <v>1</v>
      </c>
      <c r="I59" s="9">
        <v>400</v>
      </c>
      <c r="J59" s="9">
        <v>630</v>
      </c>
      <c r="K59" s="9" t="s">
        <v>71</v>
      </c>
      <c r="L59" s="10" t="s">
        <v>71</v>
      </c>
      <c r="M59" s="10">
        <v>0</v>
      </c>
      <c r="N59" s="10" t="s">
        <v>72</v>
      </c>
      <c r="O59" s="10" t="s">
        <v>72</v>
      </c>
      <c r="P59" s="5" t="s">
        <v>102</v>
      </c>
      <c r="Q59" s="11">
        <v>1</v>
      </c>
      <c r="R59" s="21">
        <v>36.54</v>
      </c>
      <c r="S59" s="10">
        <v>4.03</v>
      </c>
      <c r="T59" s="10">
        <v>7</v>
      </c>
      <c r="U59" s="10">
        <v>11</v>
      </c>
      <c r="V59" s="10">
        <v>5.4</v>
      </c>
      <c r="W59" s="10">
        <v>2.67</v>
      </c>
      <c r="X59" s="10">
        <v>1.54</v>
      </c>
      <c r="Y59" s="10">
        <v>4.9000000000000004</v>
      </c>
      <c r="Z59" s="10">
        <v>0</v>
      </c>
      <c r="AA59" s="13">
        <v>7.0000000000000001E-3</v>
      </c>
      <c r="AB59" s="13">
        <v>7.0000000000000001E-3</v>
      </c>
      <c r="AC59" s="14">
        <f t="shared" si="10"/>
        <v>4.193E-4</v>
      </c>
      <c r="AD59" s="13">
        <f t="shared" si="11"/>
        <v>1.4E-2</v>
      </c>
      <c r="AE59" s="13">
        <v>3.23</v>
      </c>
      <c r="AF59" s="10">
        <v>4.29</v>
      </c>
      <c r="AG59" s="10">
        <v>3.17</v>
      </c>
      <c r="AH59" s="15">
        <v>5.9900000000000002E-2</v>
      </c>
      <c r="AI59" s="10">
        <f t="shared" si="1"/>
        <v>7.46</v>
      </c>
      <c r="AJ59" s="10">
        <v>0.02</v>
      </c>
      <c r="AK59" s="13">
        <v>0</v>
      </c>
      <c r="AL59" s="10">
        <v>0</v>
      </c>
      <c r="AM59" s="16">
        <v>40</v>
      </c>
      <c r="AN59" s="16">
        <v>40</v>
      </c>
      <c r="AO59" s="16">
        <v>2604.04</v>
      </c>
      <c r="AP59" s="10">
        <v>195.98199600000001</v>
      </c>
      <c r="AQ59" s="16">
        <v>42.3</v>
      </c>
      <c r="AR59" s="16">
        <v>2604.04</v>
      </c>
      <c r="AS59" s="10">
        <v>0</v>
      </c>
      <c r="AT59" s="13">
        <v>0</v>
      </c>
      <c r="AU59" s="10">
        <v>5.05</v>
      </c>
      <c r="AV59" s="17">
        <f t="shared" si="12"/>
        <v>44423.263721654897</v>
      </c>
      <c r="AW59" s="17">
        <v>18696.821756592955</v>
      </c>
      <c r="AX59" s="17">
        <v>16939.430497564685</v>
      </c>
      <c r="AY59" s="17">
        <v>8787.0114674972574</v>
      </c>
      <c r="BA59" s="18"/>
      <c r="BC59" s="19"/>
      <c r="BD59" s="19"/>
      <c r="BE59" s="19"/>
      <c r="BF59" s="19"/>
      <c r="BG59" s="19"/>
      <c r="BI59" s="16">
        <f t="shared" si="2"/>
        <v>4398.8</v>
      </c>
      <c r="BJ59" s="16">
        <f t="shared" si="3"/>
        <v>0</v>
      </c>
      <c r="BK59" s="16">
        <f t="shared" si="4"/>
        <v>4398.8</v>
      </c>
      <c r="BL59" s="16">
        <f t="shared" si="5"/>
        <v>4398.8</v>
      </c>
      <c r="BM59" s="16">
        <f t="shared" si="6"/>
        <v>4398.8</v>
      </c>
      <c r="BN59" s="16">
        <f t="shared" si="7"/>
        <v>4398.8</v>
      </c>
      <c r="BO59" s="16">
        <f t="shared" si="8"/>
        <v>0</v>
      </c>
      <c r="BP59" s="16">
        <f t="shared" si="9"/>
        <v>4398.8</v>
      </c>
    </row>
    <row r="60" spans="1:68" ht="12" customHeight="1" x14ac:dyDescent="0.25">
      <c r="A60" s="5">
        <f t="shared" si="13"/>
        <v>56</v>
      </c>
      <c r="B60" s="6" t="s">
        <v>137</v>
      </c>
      <c r="C60" s="7">
        <f t="shared" si="0"/>
        <v>7902.2</v>
      </c>
      <c r="D60" s="8">
        <v>7770.8</v>
      </c>
      <c r="E60" s="8">
        <v>131.4</v>
      </c>
      <c r="F60" s="8">
        <v>1429.18</v>
      </c>
      <c r="G60" s="9">
        <v>4</v>
      </c>
      <c r="H60" s="9">
        <v>0</v>
      </c>
      <c r="I60" s="9">
        <v>400</v>
      </c>
      <c r="J60" s="9">
        <v>0</v>
      </c>
      <c r="K60" s="9" t="s">
        <v>83</v>
      </c>
      <c r="L60" s="10" t="s">
        <v>71</v>
      </c>
      <c r="M60" s="10">
        <v>0</v>
      </c>
      <c r="N60" s="10" t="s">
        <v>72</v>
      </c>
      <c r="O60" s="10" t="s">
        <v>72</v>
      </c>
      <c r="P60" s="5" t="s">
        <v>102</v>
      </c>
      <c r="Q60" s="11">
        <v>3</v>
      </c>
      <c r="R60" s="21">
        <v>36.75</v>
      </c>
      <c r="S60" s="10">
        <v>4.0199999999999996</v>
      </c>
      <c r="T60" s="10">
        <v>7</v>
      </c>
      <c r="U60" s="10">
        <v>11</v>
      </c>
      <c r="V60" s="10">
        <v>5.4</v>
      </c>
      <c r="W60" s="10">
        <v>2.67</v>
      </c>
      <c r="X60" s="10">
        <v>1.54</v>
      </c>
      <c r="Y60" s="10">
        <v>4.9000000000000004</v>
      </c>
      <c r="Z60" s="10">
        <v>0.22</v>
      </c>
      <c r="AA60" s="13">
        <v>1.2E-2</v>
      </c>
      <c r="AB60" s="13">
        <v>1.2E-2</v>
      </c>
      <c r="AC60" s="14">
        <f t="shared" si="10"/>
        <v>7.1880000000000002E-4</v>
      </c>
      <c r="AD60" s="13">
        <f t="shared" si="11"/>
        <v>2.4E-2</v>
      </c>
      <c r="AE60" s="13">
        <v>3.23</v>
      </c>
      <c r="AF60" s="10">
        <v>4.29</v>
      </c>
      <c r="AG60" s="10">
        <v>3.17</v>
      </c>
      <c r="AH60" s="15">
        <v>5.9900000000000002E-2</v>
      </c>
      <c r="AI60" s="10">
        <f t="shared" si="1"/>
        <v>7.46</v>
      </c>
      <c r="AJ60" s="10">
        <v>0.02</v>
      </c>
      <c r="AK60" s="10">
        <v>10</v>
      </c>
      <c r="AL60" s="10">
        <v>0</v>
      </c>
      <c r="AM60" s="16">
        <v>40</v>
      </c>
      <c r="AN60" s="16">
        <v>40</v>
      </c>
      <c r="AO60" s="16">
        <v>2604.04</v>
      </c>
      <c r="AP60" s="10">
        <v>195.98199600000001</v>
      </c>
      <c r="AQ60" s="16">
        <v>42.3</v>
      </c>
      <c r="AR60" s="16">
        <v>2604.04</v>
      </c>
      <c r="AS60" s="10">
        <v>7.85</v>
      </c>
      <c r="AT60" s="13">
        <v>0</v>
      </c>
      <c r="AU60" s="10">
        <v>6.73</v>
      </c>
      <c r="AV60" s="17">
        <f t="shared" si="12"/>
        <v>80508.894814524596</v>
      </c>
      <c r="AW60" s="17">
        <v>33884.516161607942</v>
      </c>
      <c r="AX60" s="17">
        <v>30699.540193964036</v>
      </c>
      <c r="AY60" s="17">
        <v>15924.838458952618</v>
      </c>
      <c r="BA60" s="18"/>
      <c r="BC60" s="19"/>
      <c r="BD60" s="19"/>
      <c r="BE60" s="19"/>
      <c r="BF60" s="19"/>
      <c r="BG60" s="19"/>
      <c r="BI60" s="16">
        <f t="shared" si="2"/>
        <v>0</v>
      </c>
      <c r="BJ60" s="16">
        <f t="shared" si="3"/>
        <v>7902.2</v>
      </c>
      <c r="BK60" s="16">
        <f t="shared" si="4"/>
        <v>7902.2</v>
      </c>
      <c r="BL60" s="16">
        <f t="shared" si="5"/>
        <v>7902.2</v>
      </c>
      <c r="BM60" s="16">
        <f t="shared" si="6"/>
        <v>7902.2</v>
      </c>
      <c r="BN60" s="16">
        <f t="shared" si="7"/>
        <v>7902.2</v>
      </c>
      <c r="BO60" s="16">
        <f t="shared" si="8"/>
        <v>7902.2</v>
      </c>
      <c r="BP60" s="16">
        <f t="shared" si="9"/>
        <v>0</v>
      </c>
    </row>
    <row r="61" spans="1:68" ht="12" customHeight="1" x14ac:dyDescent="0.25">
      <c r="A61" s="5">
        <f t="shared" si="13"/>
        <v>57</v>
      </c>
      <c r="B61" s="6" t="s">
        <v>138</v>
      </c>
      <c r="C61" s="7">
        <f t="shared" si="0"/>
        <v>6108.4400000000005</v>
      </c>
      <c r="D61" s="8">
        <v>5292.14</v>
      </c>
      <c r="E61" s="8">
        <v>816.3</v>
      </c>
      <c r="F61" s="8">
        <v>984.8</v>
      </c>
      <c r="G61" s="9">
        <v>1</v>
      </c>
      <c r="H61" s="9">
        <v>1</v>
      </c>
      <c r="I61" s="9">
        <v>400</v>
      </c>
      <c r="J61" s="9">
        <v>630</v>
      </c>
      <c r="K61" s="9" t="s">
        <v>71</v>
      </c>
      <c r="L61" s="10" t="s">
        <v>71</v>
      </c>
      <c r="M61" s="10">
        <v>0</v>
      </c>
      <c r="N61" s="10" t="s">
        <v>72</v>
      </c>
      <c r="O61" s="10" t="s">
        <v>72</v>
      </c>
      <c r="P61" s="5" t="s">
        <v>102</v>
      </c>
      <c r="Q61" s="11">
        <v>1</v>
      </c>
      <c r="R61" s="21">
        <v>36.54</v>
      </c>
      <c r="S61" s="10">
        <v>4.03</v>
      </c>
      <c r="T61" s="10">
        <v>7</v>
      </c>
      <c r="U61" s="10">
        <v>11</v>
      </c>
      <c r="V61" s="10">
        <v>5.4</v>
      </c>
      <c r="W61" s="10">
        <v>2.67</v>
      </c>
      <c r="X61" s="10">
        <v>1.54</v>
      </c>
      <c r="Y61" s="10">
        <v>4.9000000000000004</v>
      </c>
      <c r="Z61" s="10">
        <v>0</v>
      </c>
      <c r="AA61" s="13">
        <v>7.0000000000000001E-3</v>
      </c>
      <c r="AB61" s="13">
        <v>7.0000000000000001E-3</v>
      </c>
      <c r="AC61" s="14">
        <f t="shared" si="10"/>
        <v>4.193E-4</v>
      </c>
      <c r="AD61" s="13">
        <f t="shared" si="11"/>
        <v>1.4E-2</v>
      </c>
      <c r="AE61" s="13">
        <v>3.23</v>
      </c>
      <c r="AF61" s="10">
        <v>4.29</v>
      </c>
      <c r="AG61" s="10">
        <v>3.17</v>
      </c>
      <c r="AH61" s="15">
        <v>5.9900000000000002E-2</v>
      </c>
      <c r="AI61" s="10">
        <f t="shared" si="1"/>
        <v>7.46</v>
      </c>
      <c r="AJ61" s="10">
        <v>0.02</v>
      </c>
      <c r="AK61" s="13">
        <v>0</v>
      </c>
      <c r="AL61" s="10">
        <v>0</v>
      </c>
      <c r="AM61" s="16">
        <v>40</v>
      </c>
      <c r="AN61" s="16">
        <v>40</v>
      </c>
      <c r="AO61" s="16">
        <v>2604.04</v>
      </c>
      <c r="AP61" s="10">
        <v>195.98199600000001</v>
      </c>
      <c r="AQ61" s="16">
        <v>42.3</v>
      </c>
      <c r="AR61" s="16">
        <v>2604.04</v>
      </c>
      <c r="AS61" s="10">
        <v>0</v>
      </c>
      <c r="AT61" s="13">
        <v>0</v>
      </c>
      <c r="AU61" s="10">
        <v>5.05</v>
      </c>
      <c r="AV61" s="17">
        <f t="shared" si="12"/>
        <v>58341.80083798815</v>
      </c>
      <c r="AW61" s="17">
        <v>26103.862258606383</v>
      </c>
      <c r="AX61" s="17">
        <v>19969.799730919964</v>
      </c>
      <c r="AY61" s="17">
        <v>12268.138848461807</v>
      </c>
      <c r="BA61" s="18"/>
      <c r="BC61" s="19"/>
      <c r="BD61" s="19"/>
      <c r="BE61" s="19"/>
      <c r="BF61" s="19"/>
      <c r="BG61" s="19"/>
      <c r="BI61" s="16">
        <f t="shared" si="2"/>
        <v>6108.4400000000005</v>
      </c>
      <c r="BJ61" s="16">
        <f t="shared" si="3"/>
        <v>0</v>
      </c>
      <c r="BK61" s="16">
        <f t="shared" si="4"/>
        <v>6108.4400000000005</v>
      </c>
      <c r="BL61" s="16">
        <f t="shared" si="5"/>
        <v>6108.4400000000005</v>
      </c>
      <c r="BM61" s="16">
        <f t="shared" si="6"/>
        <v>6108.4400000000005</v>
      </c>
      <c r="BN61" s="16">
        <f t="shared" si="7"/>
        <v>6108.4400000000005</v>
      </c>
      <c r="BO61" s="16">
        <f t="shared" si="8"/>
        <v>0</v>
      </c>
      <c r="BP61" s="16">
        <f t="shared" si="9"/>
        <v>6108.4400000000005</v>
      </c>
    </row>
    <row r="62" spans="1:68" ht="12" customHeight="1" x14ac:dyDescent="0.25">
      <c r="A62" s="5">
        <f t="shared" si="13"/>
        <v>58</v>
      </c>
      <c r="B62" s="6" t="s">
        <v>139</v>
      </c>
      <c r="C62" s="7">
        <f t="shared" si="0"/>
        <v>5301.46</v>
      </c>
      <c r="D62" s="8">
        <v>5301.46</v>
      </c>
      <c r="E62" s="8">
        <v>0</v>
      </c>
      <c r="F62" s="8">
        <v>996.3</v>
      </c>
      <c r="G62" s="9">
        <v>1</v>
      </c>
      <c r="H62" s="9">
        <v>1</v>
      </c>
      <c r="I62" s="9">
        <v>400</v>
      </c>
      <c r="J62" s="9">
        <v>630</v>
      </c>
      <c r="K62" s="9" t="s">
        <v>71</v>
      </c>
      <c r="L62" s="10" t="s">
        <v>71</v>
      </c>
      <c r="M62" s="10">
        <v>0</v>
      </c>
      <c r="N62" s="10" t="s">
        <v>72</v>
      </c>
      <c r="O62" s="10" t="s">
        <v>72</v>
      </c>
      <c r="P62" s="5" t="s">
        <v>102</v>
      </c>
      <c r="Q62" s="11">
        <v>1</v>
      </c>
      <c r="R62" s="21">
        <v>36.54</v>
      </c>
      <c r="S62" s="10">
        <v>4.03</v>
      </c>
      <c r="T62" s="10">
        <v>7</v>
      </c>
      <c r="U62" s="10">
        <v>11</v>
      </c>
      <c r="V62" s="10">
        <v>5.4</v>
      </c>
      <c r="W62" s="10">
        <v>2.67</v>
      </c>
      <c r="X62" s="10">
        <v>1.54</v>
      </c>
      <c r="Y62" s="10">
        <v>4.9000000000000004</v>
      </c>
      <c r="Z62" s="10">
        <v>0</v>
      </c>
      <c r="AA62" s="13">
        <v>7.0000000000000001E-3</v>
      </c>
      <c r="AB62" s="13">
        <v>7.0000000000000001E-3</v>
      </c>
      <c r="AC62" s="14">
        <f t="shared" si="10"/>
        <v>4.193E-4</v>
      </c>
      <c r="AD62" s="13">
        <f t="shared" si="11"/>
        <v>1.4E-2</v>
      </c>
      <c r="AE62" s="13">
        <v>3.23</v>
      </c>
      <c r="AF62" s="10">
        <v>4.29</v>
      </c>
      <c r="AG62" s="10">
        <v>3.17</v>
      </c>
      <c r="AH62" s="15">
        <v>5.9900000000000002E-2</v>
      </c>
      <c r="AI62" s="10">
        <f t="shared" si="1"/>
        <v>7.46</v>
      </c>
      <c r="AJ62" s="10">
        <v>0.02</v>
      </c>
      <c r="AK62" s="13">
        <v>0</v>
      </c>
      <c r="AL62" s="10">
        <v>0</v>
      </c>
      <c r="AM62" s="16">
        <v>40</v>
      </c>
      <c r="AN62" s="16">
        <v>40</v>
      </c>
      <c r="AO62" s="16">
        <v>2604.04</v>
      </c>
      <c r="AP62" s="10">
        <v>195.98199600000001</v>
      </c>
      <c r="AQ62" s="16">
        <v>42.3</v>
      </c>
      <c r="AR62" s="16">
        <v>2604.04</v>
      </c>
      <c r="AS62" s="10">
        <v>0</v>
      </c>
      <c r="AT62" s="13">
        <v>0</v>
      </c>
      <c r="AU62" s="10">
        <v>5.05</v>
      </c>
      <c r="AV62" s="17">
        <f t="shared" si="12"/>
        <v>53998.136431240324</v>
      </c>
      <c r="AW62" s="17">
        <v>22726.693389224787</v>
      </c>
      <c r="AX62" s="17">
        <v>20590.488734665894</v>
      </c>
      <c r="AY62" s="17">
        <v>10680.954307349637</v>
      </c>
      <c r="BA62" s="18"/>
      <c r="BC62" s="19"/>
      <c r="BD62" s="19"/>
      <c r="BE62" s="19"/>
      <c r="BF62" s="19"/>
      <c r="BG62" s="19"/>
      <c r="BI62" s="16">
        <f t="shared" si="2"/>
        <v>5301.46</v>
      </c>
      <c r="BJ62" s="16">
        <f t="shared" si="3"/>
        <v>0</v>
      </c>
      <c r="BK62" s="16">
        <f t="shared" si="4"/>
        <v>5301.46</v>
      </c>
      <c r="BL62" s="16">
        <f t="shared" si="5"/>
        <v>5301.46</v>
      </c>
      <c r="BM62" s="16">
        <f t="shared" si="6"/>
        <v>5301.46</v>
      </c>
      <c r="BN62" s="16">
        <f t="shared" si="7"/>
        <v>5301.46</v>
      </c>
      <c r="BO62" s="16">
        <f t="shared" si="8"/>
        <v>0</v>
      </c>
      <c r="BP62" s="16">
        <f t="shared" si="9"/>
        <v>5301.46</v>
      </c>
    </row>
    <row r="63" spans="1:68" ht="12" customHeight="1" x14ac:dyDescent="0.25">
      <c r="A63" s="5">
        <f t="shared" si="13"/>
        <v>59</v>
      </c>
      <c r="B63" s="6" t="s">
        <v>140</v>
      </c>
      <c r="C63" s="7">
        <f t="shared" si="0"/>
        <v>5275.3899999999967</v>
      </c>
      <c r="D63" s="8">
        <v>5275.3899999999967</v>
      </c>
      <c r="E63" s="8">
        <v>0</v>
      </c>
      <c r="F63" s="8">
        <v>932.6</v>
      </c>
      <c r="G63" s="9">
        <v>1</v>
      </c>
      <c r="H63" s="9">
        <v>1</v>
      </c>
      <c r="I63" s="9">
        <v>400</v>
      </c>
      <c r="J63" s="9">
        <v>630</v>
      </c>
      <c r="K63" s="9" t="s">
        <v>83</v>
      </c>
      <c r="L63" s="10" t="s">
        <v>71</v>
      </c>
      <c r="M63" s="10">
        <v>0</v>
      </c>
      <c r="N63" s="10" t="s">
        <v>72</v>
      </c>
      <c r="O63" s="10" t="s">
        <v>72</v>
      </c>
      <c r="P63" s="5" t="s">
        <v>102</v>
      </c>
      <c r="Q63" s="11">
        <v>1</v>
      </c>
      <c r="R63" s="21">
        <v>36.54</v>
      </c>
      <c r="S63" s="10">
        <v>4.03</v>
      </c>
      <c r="T63" s="10">
        <v>7</v>
      </c>
      <c r="U63" s="10">
        <v>11</v>
      </c>
      <c r="V63" s="10">
        <v>5.4</v>
      </c>
      <c r="W63" s="10">
        <v>2.67</v>
      </c>
      <c r="X63" s="10">
        <v>1.54</v>
      </c>
      <c r="Y63" s="10">
        <v>4.9000000000000004</v>
      </c>
      <c r="Z63" s="10">
        <v>0</v>
      </c>
      <c r="AA63" s="13">
        <v>7.0000000000000001E-3</v>
      </c>
      <c r="AB63" s="13">
        <v>7.0000000000000001E-3</v>
      </c>
      <c r="AC63" s="14">
        <f t="shared" si="10"/>
        <v>4.193E-4</v>
      </c>
      <c r="AD63" s="13">
        <f t="shared" si="11"/>
        <v>1.4E-2</v>
      </c>
      <c r="AE63" s="13">
        <v>3.23</v>
      </c>
      <c r="AF63" s="10">
        <v>4.29</v>
      </c>
      <c r="AG63" s="10">
        <v>3.17</v>
      </c>
      <c r="AH63" s="15">
        <v>5.9900000000000002E-2</v>
      </c>
      <c r="AI63" s="10">
        <f t="shared" si="1"/>
        <v>7.46</v>
      </c>
      <c r="AJ63" s="10">
        <v>0.02</v>
      </c>
      <c r="AK63" s="13">
        <v>0</v>
      </c>
      <c r="AL63" s="10">
        <v>0</v>
      </c>
      <c r="AM63" s="16">
        <v>40</v>
      </c>
      <c r="AN63" s="16">
        <v>40</v>
      </c>
      <c r="AO63" s="16">
        <v>2604.04</v>
      </c>
      <c r="AP63" s="10">
        <v>195.98199600000001</v>
      </c>
      <c r="AQ63" s="16">
        <v>42.3</v>
      </c>
      <c r="AR63" s="16">
        <v>2604.04</v>
      </c>
      <c r="AS63" s="10">
        <v>0</v>
      </c>
      <c r="AT63" s="13">
        <v>0</v>
      </c>
      <c r="AU63" s="10">
        <v>5.05</v>
      </c>
      <c r="AV63" s="17">
        <f t="shared" si="12"/>
        <v>53697.033298978684</v>
      </c>
      <c r="AW63" s="17">
        <v>22599.962487748846</v>
      </c>
      <c r="AX63" s="17">
        <v>20475.675062061866</v>
      </c>
      <c r="AY63" s="17">
        <v>10621.395749167972</v>
      </c>
      <c r="BA63" s="18"/>
      <c r="BC63" s="19"/>
      <c r="BD63" s="19"/>
      <c r="BE63" s="19"/>
      <c r="BF63" s="19"/>
      <c r="BG63" s="19"/>
      <c r="BI63" s="16">
        <f t="shared" si="2"/>
        <v>5275.3899999999967</v>
      </c>
      <c r="BJ63" s="16">
        <f t="shared" si="3"/>
        <v>0</v>
      </c>
      <c r="BK63" s="16">
        <f t="shared" si="4"/>
        <v>5275.3899999999967</v>
      </c>
      <c r="BL63" s="16">
        <f t="shared" si="5"/>
        <v>5275.3899999999967</v>
      </c>
      <c r="BM63" s="16">
        <f t="shared" si="6"/>
        <v>5275.3899999999967</v>
      </c>
      <c r="BN63" s="16">
        <f t="shared" si="7"/>
        <v>5275.3899999999967</v>
      </c>
      <c r="BO63" s="16">
        <f t="shared" si="8"/>
        <v>0</v>
      </c>
      <c r="BP63" s="16">
        <f t="shared" si="9"/>
        <v>5275.3899999999967</v>
      </c>
    </row>
    <row r="64" spans="1:68" ht="12" customHeight="1" x14ac:dyDescent="0.25">
      <c r="A64" s="5">
        <f t="shared" si="13"/>
        <v>60</v>
      </c>
      <c r="B64" s="6" t="s">
        <v>141</v>
      </c>
      <c r="C64" s="7">
        <f t="shared" si="0"/>
        <v>4404.8</v>
      </c>
      <c r="D64" s="8">
        <v>4242.8</v>
      </c>
      <c r="E64" s="8">
        <v>162</v>
      </c>
      <c r="F64" s="8">
        <v>1118.2</v>
      </c>
      <c r="G64" s="9">
        <v>1</v>
      </c>
      <c r="H64" s="9">
        <v>1</v>
      </c>
      <c r="I64" s="9">
        <v>400</v>
      </c>
      <c r="J64" s="9">
        <v>630</v>
      </c>
      <c r="K64" s="9" t="s">
        <v>83</v>
      </c>
      <c r="L64" s="10" t="s">
        <v>71</v>
      </c>
      <c r="M64" s="10">
        <v>0</v>
      </c>
      <c r="N64" s="10" t="s">
        <v>72</v>
      </c>
      <c r="O64" s="10" t="s">
        <v>72</v>
      </c>
      <c r="P64" s="5" t="s">
        <v>98</v>
      </c>
      <c r="Q64" s="11">
        <v>1</v>
      </c>
      <c r="R64" s="12">
        <v>41.1</v>
      </c>
      <c r="S64" s="10">
        <v>4.68</v>
      </c>
      <c r="T64" s="10">
        <v>7.92</v>
      </c>
      <c r="U64" s="10">
        <v>12.32</v>
      </c>
      <c r="V64" s="10">
        <v>6.34</v>
      </c>
      <c r="W64" s="10">
        <v>2.89</v>
      </c>
      <c r="X64" s="10">
        <v>1.66</v>
      </c>
      <c r="Y64" s="10">
        <v>5.29</v>
      </c>
      <c r="Z64" s="10">
        <v>0</v>
      </c>
      <c r="AA64" s="13">
        <v>7.0000000000000001E-3</v>
      </c>
      <c r="AB64" s="13">
        <v>7.0000000000000001E-3</v>
      </c>
      <c r="AC64" s="14">
        <f t="shared" si="10"/>
        <v>4.193E-4</v>
      </c>
      <c r="AD64" s="13">
        <f t="shared" si="11"/>
        <v>1.4E-2</v>
      </c>
      <c r="AE64" s="13">
        <v>3.23</v>
      </c>
      <c r="AF64" s="10">
        <v>4.29</v>
      </c>
      <c r="AG64" s="10">
        <v>3.17</v>
      </c>
      <c r="AH64" s="15">
        <v>5.9900000000000002E-2</v>
      </c>
      <c r="AI64" s="10">
        <f t="shared" si="1"/>
        <v>7.46</v>
      </c>
      <c r="AJ64" s="10">
        <v>0.02</v>
      </c>
      <c r="AK64" s="13">
        <v>0</v>
      </c>
      <c r="AL64" s="10">
        <v>0</v>
      </c>
      <c r="AM64" s="16">
        <v>40</v>
      </c>
      <c r="AN64" s="16">
        <v>40</v>
      </c>
      <c r="AO64" s="16">
        <v>2604.04</v>
      </c>
      <c r="AP64" s="10">
        <v>195.98199600000001</v>
      </c>
      <c r="AQ64" s="16">
        <v>42.3</v>
      </c>
      <c r="AR64" s="16">
        <v>2604.04</v>
      </c>
      <c r="AS64" s="10">
        <v>0</v>
      </c>
      <c r="AT64" s="13">
        <v>0</v>
      </c>
      <c r="AU64" s="10">
        <v>5.05</v>
      </c>
      <c r="AV64" s="17">
        <f t="shared" si="12"/>
        <v>44885.3873745772</v>
      </c>
      <c r="AW64" s="17">
        <v>18891.318104188984</v>
      </c>
      <c r="AX64" s="17">
        <v>17115.637209183667</v>
      </c>
      <c r="AY64" s="17">
        <v>8878.4320612045485</v>
      </c>
      <c r="BA64" s="18"/>
      <c r="BC64" s="19"/>
      <c r="BD64" s="19"/>
      <c r="BE64" s="19"/>
      <c r="BF64" s="19"/>
      <c r="BG64" s="19"/>
      <c r="BI64" s="16">
        <f t="shared" si="2"/>
        <v>4404.8</v>
      </c>
      <c r="BJ64" s="16">
        <f t="shared" si="3"/>
        <v>0</v>
      </c>
      <c r="BK64" s="16">
        <f t="shared" si="4"/>
        <v>4404.8</v>
      </c>
      <c r="BL64" s="16">
        <f t="shared" si="5"/>
        <v>4404.8</v>
      </c>
      <c r="BM64" s="16">
        <f t="shared" si="6"/>
        <v>4404.8</v>
      </c>
      <c r="BN64" s="16">
        <f t="shared" si="7"/>
        <v>4404.8</v>
      </c>
      <c r="BO64" s="16">
        <f t="shared" si="8"/>
        <v>0</v>
      </c>
      <c r="BP64" s="16">
        <f t="shared" si="9"/>
        <v>4404.8</v>
      </c>
    </row>
    <row r="65" spans="1:68" ht="12" customHeight="1" x14ac:dyDescent="0.25">
      <c r="A65" s="5">
        <f t="shared" si="13"/>
        <v>61</v>
      </c>
      <c r="B65" s="6" t="s">
        <v>142</v>
      </c>
      <c r="C65" s="7">
        <f t="shared" si="0"/>
        <v>6112.2000000000007</v>
      </c>
      <c r="D65" s="8">
        <v>5951.6</v>
      </c>
      <c r="E65" s="8">
        <v>160.6</v>
      </c>
      <c r="F65" s="8">
        <v>792.3</v>
      </c>
      <c r="G65" s="9">
        <v>2</v>
      </c>
      <c r="H65" s="9">
        <v>0</v>
      </c>
      <c r="I65" s="9">
        <v>400</v>
      </c>
      <c r="J65" s="9">
        <v>0</v>
      </c>
      <c r="K65" s="9" t="s">
        <v>83</v>
      </c>
      <c r="L65" s="10" t="s">
        <v>71</v>
      </c>
      <c r="M65" s="10">
        <v>0</v>
      </c>
      <c r="N65" s="10" t="s">
        <v>72</v>
      </c>
      <c r="O65" s="10" t="s">
        <v>72</v>
      </c>
      <c r="P65" s="5" t="s">
        <v>143</v>
      </c>
      <c r="Q65" s="11">
        <v>3</v>
      </c>
      <c r="R65" s="12">
        <v>41.34</v>
      </c>
      <c r="S65" s="10">
        <v>4.68</v>
      </c>
      <c r="T65" s="10">
        <v>7.92</v>
      </c>
      <c r="U65" s="10">
        <v>12.32</v>
      </c>
      <c r="V65" s="10">
        <v>6.34</v>
      </c>
      <c r="W65" s="10">
        <v>2.89</v>
      </c>
      <c r="X65" s="10">
        <v>1.66</v>
      </c>
      <c r="Y65" s="10">
        <v>5.29</v>
      </c>
      <c r="Z65" s="10">
        <v>0.24</v>
      </c>
      <c r="AA65" s="13">
        <v>1.2E-2</v>
      </c>
      <c r="AB65" s="13">
        <v>1.2E-2</v>
      </c>
      <c r="AC65" s="14">
        <f t="shared" si="10"/>
        <v>7.1880000000000002E-4</v>
      </c>
      <c r="AD65" s="13">
        <f t="shared" si="11"/>
        <v>2.4E-2</v>
      </c>
      <c r="AE65" s="13">
        <v>3.23</v>
      </c>
      <c r="AF65" s="10">
        <v>4.29</v>
      </c>
      <c r="AG65" s="10">
        <v>3.17</v>
      </c>
      <c r="AH65" s="15">
        <v>5.9900000000000002E-2</v>
      </c>
      <c r="AI65" s="10">
        <f t="shared" si="1"/>
        <v>7.46</v>
      </c>
      <c r="AJ65" s="10">
        <v>0.02</v>
      </c>
      <c r="AK65" s="10">
        <v>10</v>
      </c>
      <c r="AL65" s="10">
        <v>0</v>
      </c>
      <c r="AM65" s="16">
        <v>40</v>
      </c>
      <c r="AN65" s="16">
        <v>40</v>
      </c>
      <c r="AO65" s="16">
        <v>2604.04</v>
      </c>
      <c r="AP65" s="10">
        <v>195.98199600000001</v>
      </c>
      <c r="AQ65" s="16">
        <v>42.3</v>
      </c>
      <c r="AR65" s="16">
        <v>2604.04</v>
      </c>
      <c r="AS65" s="10">
        <v>7.85</v>
      </c>
      <c r="AT65" s="13">
        <v>0</v>
      </c>
      <c r="AU65" s="10">
        <v>6.73</v>
      </c>
      <c r="AV65" s="17">
        <f t="shared" si="12"/>
        <v>62297.865651530119</v>
      </c>
      <c r="AW65" s="17">
        <v>26219.875929950984</v>
      </c>
      <c r="AX65" s="17">
        <v>23755.34058549946</v>
      </c>
      <c r="AY65" s="17">
        <v>12322.649136079672</v>
      </c>
      <c r="BA65" s="18"/>
      <c r="BC65" s="19"/>
      <c r="BD65" s="19"/>
      <c r="BE65" s="19"/>
      <c r="BF65" s="19"/>
      <c r="BG65" s="19"/>
      <c r="BI65" s="16">
        <f t="shared" si="2"/>
        <v>0</v>
      </c>
      <c r="BJ65" s="16">
        <f t="shared" si="3"/>
        <v>6112.2000000000007</v>
      </c>
      <c r="BK65" s="16">
        <f t="shared" si="4"/>
        <v>6112.2000000000007</v>
      </c>
      <c r="BL65" s="16">
        <f t="shared" si="5"/>
        <v>6112.2000000000007</v>
      </c>
      <c r="BM65" s="16">
        <f t="shared" si="6"/>
        <v>6112.2000000000007</v>
      </c>
      <c r="BN65" s="16">
        <f t="shared" si="7"/>
        <v>6112.2000000000007</v>
      </c>
      <c r="BO65" s="16">
        <f t="shared" si="8"/>
        <v>6112.2000000000007</v>
      </c>
      <c r="BP65" s="16">
        <f t="shared" si="9"/>
        <v>0</v>
      </c>
    </row>
    <row r="66" spans="1:68" ht="12" customHeight="1" x14ac:dyDescent="0.25">
      <c r="A66" s="5">
        <f t="shared" si="13"/>
        <v>62</v>
      </c>
      <c r="B66" s="6" t="s">
        <v>144</v>
      </c>
      <c r="C66" s="7">
        <f t="shared" si="0"/>
        <v>2826.5</v>
      </c>
      <c r="D66" s="8">
        <v>2826.5</v>
      </c>
      <c r="E66" s="8">
        <v>0</v>
      </c>
      <c r="F66" s="8">
        <v>514.29999999999995</v>
      </c>
      <c r="G66" s="9">
        <v>1</v>
      </c>
      <c r="H66" s="9">
        <v>0</v>
      </c>
      <c r="I66" s="9">
        <v>400</v>
      </c>
      <c r="J66" s="9">
        <v>0</v>
      </c>
      <c r="K66" s="9" t="s">
        <v>83</v>
      </c>
      <c r="L66" s="10" t="s">
        <v>71</v>
      </c>
      <c r="M66" s="10">
        <v>0</v>
      </c>
      <c r="N66" s="10" t="s">
        <v>72</v>
      </c>
      <c r="O66" s="10" t="s">
        <v>72</v>
      </c>
      <c r="P66" s="5" t="s">
        <v>143</v>
      </c>
      <c r="Q66" s="11">
        <v>3</v>
      </c>
      <c r="R66" s="12">
        <v>41.34</v>
      </c>
      <c r="S66" s="10">
        <v>4.68</v>
      </c>
      <c r="T66" s="10">
        <v>7.92</v>
      </c>
      <c r="U66" s="10">
        <v>12.32</v>
      </c>
      <c r="V66" s="10">
        <v>6.34</v>
      </c>
      <c r="W66" s="10">
        <v>2.89</v>
      </c>
      <c r="X66" s="10">
        <v>1.66</v>
      </c>
      <c r="Y66" s="10">
        <v>5.29</v>
      </c>
      <c r="Z66" s="10">
        <v>0.24</v>
      </c>
      <c r="AA66" s="13">
        <v>1.2E-2</v>
      </c>
      <c r="AB66" s="13">
        <v>1.2E-2</v>
      </c>
      <c r="AC66" s="14">
        <f t="shared" si="10"/>
        <v>7.1880000000000002E-4</v>
      </c>
      <c r="AD66" s="13">
        <f t="shared" si="11"/>
        <v>2.4E-2</v>
      </c>
      <c r="AE66" s="13">
        <v>3.23</v>
      </c>
      <c r="AF66" s="10">
        <v>4.29</v>
      </c>
      <c r="AG66" s="10">
        <v>3.17</v>
      </c>
      <c r="AH66" s="15">
        <v>5.9900000000000002E-2</v>
      </c>
      <c r="AI66" s="10">
        <f t="shared" si="1"/>
        <v>7.46</v>
      </c>
      <c r="AJ66" s="10">
        <v>0.02</v>
      </c>
      <c r="AK66" s="10">
        <v>10</v>
      </c>
      <c r="AL66" s="10">
        <v>0</v>
      </c>
      <c r="AM66" s="16">
        <v>40</v>
      </c>
      <c r="AN66" s="16">
        <v>40</v>
      </c>
      <c r="AO66" s="16">
        <v>2604.04</v>
      </c>
      <c r="AP66" s="10">
        <v>195.98199600000001</v>
      </c>
      <c r="AQ66" s="16">
        <v>42.3</v>
      </c>
      <c r="AR66" s="16">
        <v>2604.04</v>
      </c>
      <c r="AS66" s="10">
        <v>7.85</v>
      </c>
      <c r="AT66" s="13">
        <v>0</v>
      </c>
      <c r="AU66" s="10">
        <v>6.73</v>
      </c>
      <c r="AV66" s="17">
        <f t="shared" si="12"/>
        <v>28838.811112356547</v>
      </c>
      <c r="AW66" s="17">
        <v>12137.656226785439</v>
      </c>
      <c r="AX66" s="17">
        <v>10996.774665544537</v>
      </c>
      <c r="AY66" s="17">
        <v>5704.3802200265709</v>
      </c>
      <c r="BA66" s="18"/>
      <c r="BC66" s="19"/>
      <c r="BD66" s="19"/>
      <c r="BE66" s="19"/>
      <c r="BF66" s="19"/>
      <c r="BG66" s="19"/>
      <c r="BI66" s="16">
        <f t="shared" si="2"/>
        <v>0</v>
      </c>
      <c r="BJ66" s="16">
        <f t="shared" si="3"/>
        <v>2826.5</v>
      </c>
      <c r="BK66" s="16">
        <f t="shared" si="4"/>
        <v>2826.5</v>
      </c>
      <c r="BL66" s="16">
        <f t="shared" si="5"/>
        <v>2826.5</v>
      </c>
      <c r="BM66" s="16">
        <f t="shared" si="6"/>
        <v>2826.5</v>
      </c>
      <c r="BN66" s="16">
        <f t="shared" si="7"/>
        <v>2826.5</v>
      </c>
      <c r="BO66" s="16">
        <f t="shared" si="8"/>
        <v>2826.5</v>
      </c>
      <c r="BP66" s="16">
        <f t="shared" si="9"/>
        <v>0</v>
      </c>
    </row>
    <row r="67" spans="1:68" ht="12" customHeight="1" x14ac:dyDescent="0.25">
      <c r="A67" s="5">
        <f t="shared" si="13"/>
        <v>63</v>
      </c>
      <c r="B67" s="6" t="s">
        <v>145</v>
      </c>
      <c r="C67" s="7">
        <f t="shared" si="0"/>
        <v>2848.6</v>
      </c>
      <c r="D67" s="8">
        <v>2848.6</v>
      </c>
      <c r="E67" s="8">
        <v>0</v>
      </c>
      <c r="F67" s="8">
        <v>471.5</v>
      </c>
      <c r="G67" s="9">
        <v>1</v>
      </c>
      <c r="H67" s="9">
        <v>0</v>
      </c>
      <c r="I67" s="9">
        <v>400</v>
      </c>
      <c r="J67" s="9">
        <v>0</v>
      </c>
      <c r="K67" s="9" t="s">
        <v>83</v>
      </c>
      <c r="L67" s="10" t="s">
        <v>71</v>
      </c>
      <c r="M67" s="10">
        <v>0</v>
      </c>
      <c r="N67" s="10" t="s">
        <v>72</v>
      </c>
      <c r="O67" s="10" t="s">
        <v>72</v>
      </c>
      <c r="P67" s="5" t="s">
        <v>143</v>
      </c>
      <c r="Q67" s="11">
        <v>3</v>
      </c>
      <c r="R67" s="12">
        <v>41.34</v>
      </c>
      <c r="S67" s="10">
        <v>4.68</v>
      </c>
      <c r="T67" s="10">
        <v>7.92</v>
      </c>
      <c r="U67" s="10">
        <v>12.32</v>
      </c>
      <c r="V67" s="10">
        <v>6.34</v>
      </c>
      <c r="W67" s="10">
        <v>2.89</v>
      </c>
      <c r="X67" s="10">
        <v>1.66</v>
      </c>
      <c r="Y67" s="10">
        <v>5.29</v>
      </c>
      <c r="Z67" s="10">
        <v>0.24</v>
      </c>
      <c r="AA67" s="13">
        <v>1.2E-2</v>
      </c>
      <c r="AB67" s="13">
        <v>1.2E-2</v>
      </c>
      <c r="AC67" s="14">
        <f t="shared" si="10"/>
        <v>7.1880000000000002E-4</v>
      </c>
      <c r="AD67" s="13">
        <f t="shared" si="11"/>
        <v>2.4E-2</v>
      </c>
      <c r="AE67" s="13">
        <v>3.23</v>
      </c>
      <c r="AF67" s="10">
        <v>4.29</v>
      </c>
      <c r="AG67" s="10">
        <v>3.17</v>
      </c>
      <c r="AH67" s="15">
        <v>5.9900000000000002E-2</v>
      </c>
      <c r="AI67" s="10">
        <f t="shared" si="1"/>
        <v>7.46</v>
      </c>
      <c r="AJ67" s="10">
        <v>0.02</v>
      </c>
      <c r="AK67" s="10">
        <v>10</v>
      </c>
      <c r="AL67" s="10">
        <v>0</v>
      </c>
      <c r="AM67" s="16">
        <v>40</v>
      </c>
      <c r="AN67" s="16">
        <v>40</v>
      </c>
      <c r="AO67" s="16">
        <v>2604.04</v>
      </c>
      <c r="AP67" s="10">
        <v>195.98199600000001</v>
      </c>
      <c r="AQ67" s="16">
        <v>42.3</v>
      </c>
      <c r="AR67" s="16">
        <v>2604.04</v>
      </c>
      <c r="AS67" s="10">
        <v>7.85</v>
      </c>
      <c r="AT67" s="13">
        <v>0</v>
      </c>
      <c r="AU67" s="10">
        <v>6.73</v>
      </c>
      <c r="AV67" s="17">
        <f t="shared" si="12"/>
        <v>28982.438547823353</v>
      </c>
      <c r="AW67" s="17">
        <v>12198.097542661319</v>
      </c>
      <c r="AX67" s="17">
        <v>11051.547021852872</v>
      </c>
      <c r="AY67" s="17">
        <v>5732.7939833091605</v>
      </c>
      <c r="BA67" s="18"/>
      <c r="BC67" s="19"/>
      <c r="BD67" s="19"/>
      <c r="BE67" s="19"/>
      <c r="BF67" s="19"/>
      <c r="BG67" s="19"/>
      <c r="BI67" s="16">
        <f t="shared" si="2"/>
        <v>0</v>
      </c>
      <c r="BJ67" s="16">
        <f t="shared" si="3"/>
        <v>2848.6</v>
      </c>
      <c r="BK67" s="16">
        <f t="shared" si="4"/>
        <v>2848.6</v>
      </c>
      <c r="BL67" s="16">
        <f t="shared" si="5"/>
        <v>2848.6</v>
      </c>
      <c r="BM67" s="16">
        <f t="shared" si="6"/>
        <v>2848.6</v>
      </c>
      <c r="BN67" s="16">
        <f t="shared" si="7"/>
        <v>2848.6</v>
      </c>
      <c r="BO67" s="16">
        <f t="shared" si="8"/>
        <v>2848.6</v>
      </c>
      <c r="BP67" s="16">
        <f t="shared" si="9"/>
        <v>0</v>
      </c>
    </row>
    <row r="68" spans="1:68" ht="12" customHeight="1" x14ac:dyDescent="0.25">
      <c r="A68" s="5">
        <f t="shared" si="13"/>
        <v>64</v>
      </c>
      <c r="B68" s="6" t="s">
        <v>146</v>
      </c>
      <c r="C68" s="7">
        <f t="shared" si="0"/>
        <v>9513.2000000000044</v>
      </c>
      <c r="D68" s="8">
        <v>9513.2000000000044</v>
      </c>
      <c r="E68" s="8">
        <v>0</v>
      </c>
      <c r="F68" s="8">
        <v>2004.8</v>
      </c>
      <c r="G68" s="9">
        <v>5</v>
      </c>
      <c r="H68" s="9">
        <v>0</v>
      </c>
      <c r="I68" s="9">
        <v>400</v>
      </c>
      <c r="J68" s="9">
        <v>0</v>
      </c>
      <c r="K68" s="9" t="s">
        <v>83</v>
      </c>
      <c r="L68" s="10" t="s">
        <v>71</v>
      </c>
      <c r="M68" s="10">
        <v>0</v>
      </c>
      <c r="N68" s="10" t="s">
        <v>72</v>
      </c>
      <c r="O68" s="10" t="s">
        <v>72</v>
      </c>
      <c r="P68" s="5" t="s">
        <v>143</v>
      </c>
      <c r="Q68" s="11">
        <v>3</v>
      </c>
      <c r="R68" s="12">
        <v>41.34</v>
      </c>
      <c r="S68" s="10">
        <v>4.68</v>
      </c>
      <c r="T68" s="10">
        <v>7.92</v>
      </c>
      <c r="U68" s="10">
        <v>12.32</v>
      </c>
      <c r="V68" s="10">
        <v>6.34</v>
      </c>
      <c r="W68" s="10">
        <v>2.89</v>
      </c>
      <c r="X68" s="10">
        <v>1.66</v>
      </c>
      <c r="Y68" s="10">
        <v>5.29</v>
      </c>
      <c r="Z68" s="10">
        <v>0.24</v>
      </c>
      <c r="AA68" s="13">
        <v>1.2E-2</v>
      </c>
      <c r="AB68" s="13">
        <v>1.2E-2</v>
      </c>
      <c r="AC68" s="14">
        <f t="shared" si="10"/>
        <v>7.1880000000000002E-4</v>
      </c>
      <c r="AD68" s="13">
        <f t="shared" si="11"/>
        <v>2.4E-2</v>
      </c>
      <c r="AE68" s="13">
        <v>3.23</v>
      </c>
      <c r="AF68" s="10">
        <v>4.29</v>
      </c>
      <c r="AG68" s="10">
        <v>3.17</v>
      </c>
      <c r="AH68" s="15">
        <v>5.9900000000000002E-2</v>
      </c>
      <c r="AI68" s="10">
        <f t="shared" si="1"/>
        <v>7.46</v>
      </c>
      <c r="AJ68" s="10">
        <v>0.02</v>
      </c>
      <c r="AK68" s="10">
        <v>10</v>
      </c>
      <c r="AL68" s="10">
        <v>0</v>
      </c>
      <c r="AM68" s="16">
        <v>40</v>
      </c>
      <c r="AN68" s="16">
        <v>40</v>
      </c>
      <c r="AO68" s="16">
        <v>2604.04</v>
      </c>
      <c r="AP68" s="10">
        <v>195.98199600000001</v>
      </c>
      <c r="AQ68" s="16">
        <v>42.3</v>
      </c>
      <c r="AR68" s="16">
        <v>2604.04</v>
      </c>
      <c r="AS68" s="10">
        <v>7.85</v>
      </c>
      <c r="AT68" s="13">
        <v>0</v>
      </c>
      <c r="AU68" s="10">
        <v>6.73</v>
      </c>
      <c r="AV68" s="17">
        <f t="shared" si="12"/>
        <v>96932.353439819781</v>
      </c>
      <c r="AW68" s="17">
        <v>40796.798562190997</v>
      </c>
      <c r="AX68" s="17">
        <v>36962.126724692775</v>
      </c>
      <c r="AY68" s="17">
        <v>19173.428152935998</v>
      </c>
      <c r="BA68" s="18"/>
      <c r="BC68" s="19"/>
      <c r="BD68" s="19"/>
      <c r="BE68" s="19"/>
      <c r="BF68" s="19"/>
      <c r="BG68" s="19"/>
      <c r="BI68" s="16">
        <f t="shared" si="2"/>
        <v>0</v>
      </c>
      <c r="BJ68" s="16">
        <f t="shared" si="3"/>
        <v>9513.2000000000044</v>
      </c>
      <c r="BK68" s="16">
        <f t="shared" si="4"/>
        <v>9513.2000000000044</v>
      </c>
      <c r="BL68" s="16">
        <f t="shared" si="5"/>
        <v>9513.2000000000044</v>
      </c>
      <c r="BM68" s="16">
        <f t="shared" si="6"/>
        <v>9513.2000000000044</v>
      </c>
      <c r="BN68" s="16">
        <f t="shared" si="7"/>
        <v>9513.2000000000044</v>
      </c>
      <c r="BO68" s="16">
        <f t="shared" si="8"/>
        <v>9513.2000000000044</v>
      </c>
      <c r="BP68" s="16">
        <f t="shared" si="9"/>
        <v>0</v>
      </c>
    </row>
    <row r="69" spans="1:68" ht="12" customHeight="1" x14ac:dyDescent="0.25">
      <c r="A69" s="5">
        <f t="shared" si="13"/>
        <v>65</v>
      </c>
      <c r="B69" s="6" t="s">
        <v>147</v>
      </c>
      <c r="C69" s="7">
        <f t="shared" ref="C69:C139" si="15">SUM(D69:E69)</f>
        <v>2869.6</v>
      </c>
      <c r="D69" s="8">
        <v>2869.6</v>
      </c>
      <c r="E69" s="8">
        <v>0</v>
      </c>
      <c r="F69" s="8">
        <v>487.4</v>
      </c>
      <c r="G69" s="9">
        <v>1</v>
      </c>
      <c r="H69" s="9">
        <v>0</v>
      </c>
      <c r="I69" s="9">
        <v>400</v>
      </c>
      <c r="J69" s="9">
        <v>0</v>
      </c>
      <c r="K69" s="9" t="s">
        <v>83</v>
      </c>
      <c r="L69" s="10" t="s">
        <v>71</v>
      </c>
      <c r="M69" s="10">
        <v>0</v>
      </c>
      <c r="N69" s="10" t="s">
        <v>72</v>
      </c>
      <c r="O69" s="10" t="s">
        <v>72</v>
      </c>
      <c r="P69" s="5" t="s">
        <v>143</v>
      </c>
      <c r="Q69" s="11">
        <v>3</v>
      </c>
      <c r="R69" s="12">
        <v>41.34</v>
      </c>
      <c r="S69" s="10">
        <v>4.68</v>
      </c>
      <c r="T69" s="10">
        <v>7.92</v>
      </c>
      <c r="U69" s="10">
        <v>12.32</v>
      </c>
      <c r="V69" s="10">
        <v>6.34</v>
      </c>
      <c r="W69" s="10">
        <v>2.89</v>
      </c>
      <c r="X69" s="10">
        <v>1.66</v>
      </c>
      <c r="Y69" s="10">
        <v>5.29</v>
      </c>
      <c r="Z69" s="10">
        <v>0.24</v>
      </c>
      <c r="AA69" s="13">
        <v>1.2E-2</v>
      </c>
      <c r="AB69" s="13">
        <v>1.2E-2</v>
      </c>
      <c r="AC69" s="14">
        <f t="shared" si="10"/>
        <v>7.1880000000000002E-4</v>
      </c>
      <c r="AD69" s="13">
        <f t="shared" si="11"/>
        <v>2.4E-2</v>
      </c>
      <c r="AE69" s="13">
        <v>3.23</v>
      </c>
      <c r="AF69" s="10">
        <v>4.29</v>
      </c>
      <c r="AG69" s="10">
        <v>3.17</v>
      </c>
      <c r="AH69" s="15">
        <v>5.9900000000000002E-2</v>
      </c>
      <c r="AI69" s="10">
        <f t="shared" si="1"/>
        <v>7.46</v>
      </c>
      <c r="AJ69" s="10">
        <v>0.02</v>
      </c>
      <c r="AK69" s="10">
        <v>10</v>
      </c>
      <c r="AL69" s="10">
        <v>0</v>
      </c>
      <c r="AM69" s="16">
        <v>40</v>
      </c>
      <c r="AN69" s="16">
        <v>40</v>
      </c>
      <c r="AO69" s="16">
        <v>2604.04</v>
      </c>
      <c r="AP69" s="10">
        <v>195.98199600000001</v>
      </c>
      <c r="AQ69" s="16">
        <v>42.3</v>
      </c>
      <c r="AR69" s="16">
        <v>2604.04</v>
      </c>
      <c r="AS69" s="10">
        <v>7.85</v>
      </c>
      <c r="AT69" s="13">
        <v>0</v>
      </c>
      <c r="AU69" s="10">
        <v>6.73</v>
      </c>
      <c r="AV69" s="17">
        <f t="shared" si="12"/>
        <v>29270.686521162963</v>
      </c>
      <c r="AW69" s="17">
        <v>12319.421553260192</v>
      </c>
      <c r="AX69" s="17">
        <v>11161.464147871789</v>
      </c>
      <c r="AY69" s="17">
        <v>5789.8008200309814</v>
      </c>
      <c r="BA69" s="18"/>
      <c r="BC69" s="19"/>
      <c r="BD69" s="19"/>
      <c r="BE69" s="19"/>
      <c r="BF69" s="19"/>
      <c r="BG69" s="19"/>
      <c r="BI69" s="16">
        <f t="shared" ref="BI69:BI132" si="16">IF(Q69=1,C69,0)</f>
        <v>0</v>
      </c>
      <c r="BJ69" s="16">
        <f t="shared" ref="BJ69:BJ132" si="17">IF(Q69=3,C69,0)</f>
        <v>2869.6</v>
      </c>
      <c r="BK69" s="16">
        <f t="shared" ref="BK69:BK132" si="18">IF(AF69&gt;0,C69,0)</f>
        <v>2869.6</v>
      </c>
      <c r="BL69" s="16">
        <f t="shared" ref="BL69:BL132" si="19">IF(AG69&gt;0,C69,0)</f>
        <v>2869.6</v>
      </c>
      <c r="BM69" s="16">
        <f t="shared" ref="BM69:BM132" si="20">IF(AI69&gt;0,C69,0)</f>
        <v>2869.6</v>
      </c>
      <c r="BN69" s="16">
        <f t="shared" ref="BN69:BN132" si="21">IF(AJ69&gt;0,C69,0)</f>
        <v>2869.6</v>
      </c>
      <c r="BO69" s="16">
        <f t="shared" ref="BO69:BO132" si="22">IF(AU69=6.73,C69,0)</f>
        <v>2869.6</v>
      </c>
      <c r="BP69" s="16">
        <f t="shared" ref="BP69:BP132" si="23">IF(AU69=5.05,C69,0)</f>
        <v>0</v>
      </c>
    </row>
    <row r="70" spans="1:68" ht="12" customHeight="1" x14ac:dyDescent="0.25">
      <c r="A70" s="5">
        <f t="shared" si="13"/>
        <v>66</v>
      </c>
      <c r="B70" s="6" t="s">
        <v>148</v>
      </c>
      <c r="C70" s="7">
        <f t="shared" si="15"/>
        <v>2864.7</v>
      </c>
      <c r="D70" s="8">
        <v>2864.7</v>
      </c>
      <c r="E70" s="8">
        <v>0</v>
      </c>
      <c r="F70" s="8">
        <v>487.4</v>
      </c>
      <c r="G70" s="9">
        <v>1</v>
      </c>
      <c r="H70" s="9">
        <v>0</v>
      </c>
      <c r="I70" s="9">
        <v>400</v>
      </c>
      <c r="J70" s="9">
        <v>0</v>
      </c>
      <c r="K70" s="9" t="s">
        <v>83</v>
      </c>
      <c r="L70" s="10" t="s">
        <v>71</v>
      </c>
      <c r="M70" s="10">
        <v>0</v>
      </c>
      <c r="N70" s="10" t="s">
        <v>72</v>
      </c>
      <c r="O70" s="10" t="s">
        <v>72</v>
      </c>
      <c r="P70" s="5" t="s">
        <v>143</v>
      </c>
      <c r="Q70" s="11">
        <v>3</v>
      </c>
      <c r="R70" s="12">
        <v>41.34</v>
      </c>
      <c r="S70" s="10">
        <v>4.68</v>
      </c>
      <c r="T70" s="10">
        <v>7.92</v>
      </c>
      <c r="U70" s="10">
        <v>12.32</v>
      </c>
      <c r="V70" s="10">
        <v>6.34</v>
      </c>
      <c r="W70" s="10">
        <v>2.89</v>
      </c>
      <c r="X70" s="10">
        <v>1.66</v>
      </c>
      <c r="Y70" s="10">
        <v>5.29</v>
      </c>
      <c r="Z70" s="10">
        <v>0.24</v>
      </c>
      <c r="AA70" s="13">
        <v>1.2E-2</v>
      </c>
      <c r="AB70" s="13">
        <v>1.2E-2</v>
      </c>
      <c r="AC70" s="14">
        <f t="shared" si="10"/>
        <v>7.1880000000000002E-4</v>
      </c>
      <c r="AD70" s="13">
        <f t="shared" si="11"/>
        <v>2.4E-2</v>
      </c>
      <c r="AE70" s="13">
        <v>3.23</v>
      </c>
      <c r="AF70" s="10">
        <v>4.29</v>
      </c>
      <c r="AG70" s="10">
        <v>3.17</v>
      </c>
      <c r="AH70" s="15">
        <v>5.9900000000000002E-2</v>
      </c>
      <c r="AI70" s="10">
        <f t="shared" si="1"/>
        <v>7.46</v>
      </c>
      <c r="AJ70" s="10">
        <v>0.02</v>
      </c>
      <c r="AK70" s="10">
        <v>10</v>
      </c>
      <c r="AL70" s="10">
        <v>0</v>
      </c>
      <c r="AM70" s="16">
        <v>40</v>
      </c>
      <c r="AN70" s="16">
        <v>40</v>
      </c>
      <c r="AO70" s="16">
        <v>2604.04</v>
      </c>
      <c r="AP70" s="10">
        <v>195.98199600000001</v>
      </c>
      <c r="AQ70" s="16">
        <v>42.3</v>
      </c>
      <c r="AR70" s="16">
        <v>2604.04</v>
      </c>
      <c r="AS70" s="10">
        <v>7.85</v>
      </c>
      <c r="AT70" s="13">
        <v>0</v>
      </c>
      <c r="AU70" s="10">
        <v>6.73</v>
      </c>
      <c r="AV70" s="17">
        <f t="shared" ref="AV70:AV140" si="24">SUM(AW70:AY70)</f>
        <v>29117.900474618658</v>
      </c>
      <c r="AW70" s="17">
        <v>12255.118172472114</v>
      </c>
      <c r="AX70" s="17">
        <v>11103.202140053505</v>
      </c>
      <c r="AY70" s="17">
        <v>5759.5801620930406</v>
      </c>
      <c r="BA70" s="18"/>
      <c r="BC70" s="19"/>
      <c r="BD70" s="19"/>
      <c r="BE70" s="19"/>
      <c r="BF70" s="19"/>
      <c r="BG70" s="19"/>
      <c r="BI70" s="16">
        <f t="shared" si="16"/>
        <v>0</v>
      </c>
      <c r="BJ70" s="16">
        <f t="shared" si="17"/>
        <v>2864.7</v>
      </c>
      <c r="BK70" s="16">
        <f t="shared" si="18"/>
        <v>2864.7</v>
      </c>
      <c r="BL70" s="16">
        <f t="shared" si="19"/>
        <v>2864.7</v>
      </c>
      <c r="BM70" s="16">
        <f t="shared" si="20"/>
        <v>2864.7</v>
      </c>
      <c r="BN70" s="16">
        <f t="shared" si="21"/>
        <v>2864.7</v>
      </c>
      <c r="BO70" s="16">
        <f t="shared" si="22"/>
        <v>2864.7</v>
      </c>
      <c r="BP70" s="16">
        <f t="shared" si="23"/>
        <v>0</v>
      </c>
    </row>
    <row r="71" spans="1:68" ht="12" customHeight="1" x14ac:dyDescent="0.25">
      <c r="A71" s="5">
        <f t="shared" ref="A71:A134" si="25">A70+1</f>
        <v>67</v>
      </c>
      <c r="B71" s="6" t="s">
        <v>149</v>
      </c>
      <c r="C71" s="7">
        <f t="shared" si="15"/>
        <v>6521.800000000002</v>
      </c>
      <c r="D71" s="8">
        <v>6015.2000000000016</v>
      </c>
      <c r="E71" s="8">
        <v>506.6</v>
      </c>
      <c r="F71" s="8">
        <v>1729.2</v>
      </c>
      <c r="G71" s="9">
        <v>2</v>
      </c>
      <c r="H71" s="9">
        <v>2</v>
      </c>
      <c r="I71" s="9">
        <v>400</v>
      </c>
      <c r="J71" s="9">
        <v>630</v>
      </c>
      <c r="K71" s="9" t="s">
        <v>83</v>
      </c>
      <c r="L71" s="10" t="s">
        <v>71</v>
      </c>
      <c r="M71" s="10">
        <v>0</v>
      </c>
      <c r="N71" s="10" t="s">
        <v>72</v>
      </c>
      <c r="O71" s="10" t="s">
        <v>72</v>
      </c>
      <c r="P71" s="5" t="s">
        <v>143</v>
      </c>
      <c r="Q71" s="11">
        <v>1</v>
      </c>
      <c r="R71" s="12">
        <v>41.1</v>
      </c>
      <c r="S71" s="10">
        <v>4.68</v>
      </c>
      <c r="T71" s="10">
        <v>7.92</v>
      </c>
      <c r="U71" s="10">
        <v>12.32</v>
      </c>
      <c r="V71" s="10">
        <v>6.34</v>
      </c>
      <c r="W71" s="10">
        <v>2.89</v>
      </c>
      <c r="X71" s="10">
        <v>1.66</v>
      </c>
      <c r="Y71" s="10">
        <v>5.29</v>
      </c>
      <c r="Z71" s="10">
        <v>0</v>
      </c>
      <c r="AA71" s="13">
        <v>1.2E-2</v>
      </c>
      <c r="AB71" s="13">
        <v>1.2E-2</v>
      </c>
      <c r="AC71" s="14">
        <f t="shared" si="10"/>
        <v>7.1880000000000002E-4</v>
      </c>
      <c r="AD71" s="13">
        <f t="shared" si="11"/>
        <v>2.4E-2</v>
      </c>
      <c r="AE71" s="13">
        <v>3.23</v>
      </c>
      <c r="AF71" s="10">
        <v>4.29</v>
      </c>
      <c r="AG71" s="10">
        <v>3.17</v>
      </c>
      <c r="AH71" s="15">
        <v>5.9900000000000002E-2</v>
      </c>
      <c r="AI71" s="10">
        <f t="shared" ref="AI71:AI141" si="26">SUM(AF71:AG71)</f>
        <v>7.46</v>
      </c>
      <c r="AJ71" s="10">
        <v>0.02</v>
      </c>
      <c r="AK71" s="13">
        <v>0</v>
      </c>
      <c r="AL71" s="10">
        <v>0</v>
      </c>
      <c r="AM71" s="16">
        <v>40</v>
      </c>
      <c r="AN71" s="16">
        <v>40</v>
      </c>
      <c r="AO71" s="16">
        <v>2604.04</v>
      </c>
      <c r="AP71" s="10">
        <v>195.98199600000001</v>
      </c>
      <c r="AQ71" s="16">
        <v>42.3</v>
      </c>
      <c r="AR71" s="16">
        <v>2604.04</v>
      </c>
      <c r="AS71" s="10">
        <v>0</v>
      </c>
      <c r="AT71" s="13">
        <v>0</v>
      </c>
      <c r="AU71" s="10">
        <v>5.05</v>
      </c>
      <c r="AV71" s="17">
        <f t="shared" si="24"/>
        <v>66434.275103382693</v>
      </c>
      <c r="AW71" s="17">
        <v>27960.798240746532</v>
      </c>
      <c r="AX71" s="17">
        <v>25332.635481818608</v>
      </c>
      <c r="AY71" s="17">
        <v>13140.841380817554</v>
      </c>
      <c r="BA71" s="18"/>
      <c r="BC71" s="19"/>
      <c r="BD71" s="19"/>
      <c r="BE71" s="19"/>
      <c r="BF71" s="19"/>
      <c r="BG71" s="19"/>
      <c r="BI71" s="16">
        <f t="shared" si="16"/>
        <v>6521.800000000002</v>
      </c>
      <c r="BJ71" s="16">
        <f t="shared" si="17"/>
        <v>0</v>
      </c>
      <c r="BK71" s="16">
        <f t="shared" si="18"/>
        <v>6521.800000000002</v>
      </c>
      <c r="BL71" s="16">
        <f t="shared" si="19"/>
        <v>6521.800000000002</v>
      </c>
      <c r="BM71" s="16">
        <f t="shared" si="20"/>
        <v>6521.800000000002</v>
      </c>
      <c r="BN71" s="16">
        <f t="shared" si="21"/>
        <v>6521.800000000002</v>
      </c>
      <c r="BO71" s="16">
        <f t="shared" si="22"/>
        <v>0</v>
      </c>
      <c r="BP71" s="16">
        <f t="shared" si="23"/>
        <v>6521.800000000002</v>
      </c>
    </row>
    <row r="72" spans="1:68" ht="12" customHeight="1" x14ac:dyDescent="0.25">
      <c r="A72" s="5">
        <f t="shared" si="25"/>
        <v>68</v>
      </c>
      <c r="B72" s="6" t="s">
        <v>150</v>
      </c>
      <c r="C72" s="7">
        <f t="shared" si="15"/>
        <v>3038</v>
      </c>
      <c r="D72" s="8">
        <v>3038</v>
      </c>
      <c r="E72" s="8">
        <v>0</v>
      </c>
      <c r="F72" s="8">
        <v>359.49</v>
      </c>
      <c r="G72" s="9">
        <v>1</v>
      </c>
      <c r="H72" s="9">
        <v>0</v>
      </c>
      <c r="I72" s="9">
        <v>400</v>
      </c>
      <c r="J72" s="9">
        <v>0</v>
      </c>
      <c r="K72" s="9" t="s">
        <v>83</v>
      </c>
      <c r="L72" s="10" t="s">
        <v>71</v>
      </c>
      <c r="M72" s="10">
        <v>0</v>
      </c>
      <c r="N72" s="10" t="s">
        <v>72</v>
      </c>
      <c r="O72" s="10" t="s">
        <v>72</v>
      </c>
      <c r="P72" s="5" t="s">
        <v>143</v>
      </c>
      <c r="Q72" s="11">
        <v>3</v>
      </c>
      <c r="R72" s="12">
        <v>41.34</v>
      </c>
      <c r="S72" s="10">
        <v>4.68</v>
      </c>
      <c r="T72" s="10">
        <v>7.92</v>
      </c>
      <c r="U72" s="10">
        <v>12.32</v>
      </c>
      <c r="V72" s="10">
        <v>6.34</v>
      </c>
      <c r="W72" s="10">
        <v>2.89</v>
      </c>
      <c r="X72" s="10">
        <v>1.66</v>
      </c>
      <c r="Y72" s="10">
        <v>5.29</v>
      </c>
      <c r="Z72" s="10">
        <v>0.24</v>
      </c>
      <c r="AA72" s="13">
        <v>1.2E-2</v>
      </c>
      <c r="AB72" s="13">
        <v>1.2E-2</v>
      </c>
      <c r="AC72" s="14">
        <f t="shared" ref="AC72:AC142" si="27">AB72*0.0599</f>
        <v>7.1880000000000002E-4</v>
      </c>
      <c r="AD72" s="13">
        <f t="shared" ref="AD72:AD142" si="28">SUM(AA72:AB72)</f>
        <v>2.4E-2</v>
      </c>
      <c r="AE72" s="13">
        <v>3.23</v>
      </c>
      <c r="AF72" s="10">
        <v>4.29</v>
      </c>
      <c r="AG72" s="10">
        <v>3.17</v>
      </c>
      <c r="AH72" s="15">
        <v>5.9900000000000002E-2</v>
      </c>
      <c r="AI72" s="10">
        <f t="shared" si="26"/>
        <v>7.46</v>
      </c>
      <c r="AJ72" s="10">
        <v>0.02</v>
      </c>
      <c r="AK72" s="10">
        <v>10</v>
      </c>
      <c r="AL72" s="10">
        <v>0</v>
      </c>
      <c r="AM72" s="16">
        <v>40</v>
      </c>
      <c r="AN72" s="16">
        <v>40</v>
      </c>
      <c r="AO72" s="16">
        <v>2604.04</v>
      </c>
      <c r="AP72" s="10">
        <v>195.98199600000001</v>
      </c>
      <c r="AQ72" s="16">
        <v>42.3</v>
      </c>
      <c r="AR72" s="16">
        <v>2604.04</v>
      </c>
      <c r="AS72" s="10">
        <v>7.85</v>
      </c>
      <c r="AT72" s="13">
        <v>0</v>
      </c>
      <c r="AU72" s="10">
        <v>6.73</v>
      </c>
      <c r="AV72" s="17">
        <f t="shared" si="24"/>
        <v>61985.176324531887</v>
      </c>
      <c r="AW72" s="17">
        <v>26088.262274978897</v>
      </c>
      <c r="AX72" s="17">
        <v>23636.113124424355</v>
      </c>
      <c r="AY72" s="17">
        <v>12260.800925128631</v>
      </c>
      <c r="BA72" s="18"/>
      <c r="BC72" s="19"/>
      <c r="BD72" s="19"/>
      <c r="BE72" s="19"/>
      <c r="BF72" s="19"/>
      <c r="BG72" s="19"/>
      <c r="BI72" s="16">
        <f t="shared" si="16"/>
        <v>0</v>
      </c>
      <c r="BJ72" s="16">
        <f t="shared" si="17"/>
        <v>3038</v>
      </c>
      <c r="BK72" s="16">
        <f t="shared" si="18"/>
        <v>3038</v>
      </c>
      <c r="BL72" s="16">
        <f t="shared" si="19"/>
        <v>3038</v>
      </c>
      <c r="BM72" s="16">
        <f t="shared" si="20"/>
        <v>3038</v>
      </c>
      <c r="BN72" s="16">
        <f t="shared" si="21"/>
        <v>3038</v>
      </c>
      <c r="BO72" s="16">
        <f t="shared" si="22"/>
        <v>3038</v>
      </c>
      <c r="BP72" s="16">
        <f t="shared" si="23"/>
        <v>0</v>
      </c>
    </row>
    <row r="73" spans="1:68" ht="12" customHeight="1" x14ac:dyDescent="0.25">
      <c r="A73" s="5">
        <f t="shared" si="25"/>
        <v>69</v>
      </c>
      <c r="B73" s="6" t="s">
        <v>151</v>
      </c>
      <c r="C73" s="7">
        <f t="shared" si="15"/>
        <v>3052.5</v>
      </c>
      <c r="D73" s="8">
        <v>3052.5</v>
      </c>
      <c r="E73" s="8">
        <v>0</v>
      </c>
      <c r="F73" s="8">
        <v>361.21</v>
      </c>
      <c r="G73" s="9">
        <v>1</v>
      </c>
      <c r="H73" s="9">
        <v>0</v>
      </c>
      <c r="I73" s="9">
        <v>400</v>
      </c>
      <c r="J73" s="9">
        <v>0</v>
      </c>
      <c r="K73" s="9" t="s">
        <v>83</v>
      </c>
      <c r="L73" s="10" t="s">
        <v>71</v>
      </c>
      <c r="M73" s="10">
        <v>0</v>
      </c>
      <c r="N73" s="10" t="s">
        <v>72</v>
      </c>
      <c r="O73" s="10" t="s">
        <v>72</v>
      </c>
      <c r="P73" s="5" t="s">
        <v>143</v>
      </c>
      <c r="Q73" s="11">
        <v>3</v>
      </c>
      <c r="R73" s="12">
        <v>41.34</v>
      </c>
      <c r="S73" s="10">
        <v>4.68</v>
      </c>
      <c r="T73" s="10">
        <v>7.92</v>
      </c>
      <c r="U73" s="10">
        <v>12.32</v>
      </c>
      <c r="V73" s="10">
        <v>6.34</v>
      </c>
      <c r="W73" s="10">
        <v>2.89</v>
      </c>
      <c r="X73" s="10">
        <v>1.66</v>
      </c>
      <c r="Y73" s="10">
        <v>5.29</v>
      </c>
      <c r="Z73" s="10">
        <v>0.24</v>
      </c>
      <c r="AA73" s="13">
        <v>1.2E-2</v>
      </c>
      <c r="AB73" s="13">
        <v>1.2E-2</v>
      </c>
      <c r="AC73" s="14">
        <f t="shared" si="27"/>
        <v>7.1880000000000002E-4</v>
      </c>
      <c r="AD73" s="13">
        <f t="shared" si="28"/>
        <v>2.4E-2</v>
      </c>
      <c r="AE73" s="13">
        <v>3.23</v>
      </c>
      <c r="AF73" s="10">
        <v>4.29</v>
      </c>
      <c r="AG73" s="10">
        <v>3.17</v>
      </c>
      <c r="AH73" s="15">
        <v>5.9900000000000002E-2</v>
      </c>
      <c r="AI73" s="10">
        <f t="shared" si="26"/>
        <v>7.46</v>
      </c>
      <c r="AJ73" s="10">
        <v>0.02</v>
      </c>
      <c r="AK73" s="10">
        <v>10</v>
      </c>
      <c r="AL73" s="10">
        <v>0</v>
      </c>
      <c r="AM73" s="16">
        <v>40</v>
      </c>
      <c r="AN73" s="16">
        <v>40</v>
      </c>
      <c r="AO73" s="16">
        <v>2604.04</v>
      </c>
      <c r="AP73" s="10">
        <v>195.98199600000001</v>
      </c>
      <c r="AQ73" s="16">
        <v>42.3</v>
      </c>
      <c r="AR73" s="16">
        <v>2604.04</v>
      </c>
      <c r="AS73" s="10">
        <v>7.85</v>
      </c>
      <c r="AT73" s="13">
        <v>0</v>
      </c>
      <c r="AU73" s="10">
        <v>6.73</v>
      </c>
      <c r="AV73" s="17">
        <f t="shared" si="24"/>
        <v>61985.176324531887</v>
      </c>
      <c r="AW73" s="17">
        <v>26088.262274978897</v>
      </c>
      <c r="AX73" s="17">
        <v>23636.113124424355</v>
      </c>
      <c r="AY73" s="17">
        <v>12260.800925128631</v>
      </c>
      <c r="BA73" s="18"/>
      <c r="BC73" s="19"/>
      <c r="BD73" s="19"/>
      <c r="BE73" s="19"/>
      <c r="BF73" s="19"/>
      <c r="BG73" s="19"/>
      <c r="BI73" s="16">
        <f t="shared" si="16"/>
        <v>0</v>
      </c>
      <c r="BJ73" s="16">
        <f t="shared" si="17"/>
        <v>3052.5</v>
      </c>
      <c r="BK73" s="16">
        <f t="shared" si="18"/>
        <v>3052.5</v>
      </c>
      <c r="BL73" s="16">
        <f t="shared" si="19"/>
        <v>3052.5</v>
      </c>
      <c r="BM73" s="16">
        <f t="shared" si="20"/>
        <v>3052.5</v>
      </c>
      <c r="BN73" s="16">
        <f t="shared" si="21"/>
        <v>3052.5</v>
      </c>
      <c r="BO73" s="16">
        <f t="shared" si="22"/>
        <v>3052.5</v>
      </c>
      <c r="BP73" s="16">
        <f t="shared" si="23"/>
        <v>0</v>
      </c>
    </row>
    <row r="74" spans="1:68" ht="12" customHeight="1" x14ac:dyDescent="0.25">
      <c r="A74" s="5">
        <f t="shared" si="25"/>
        <v>70</v>
      </c>
      <c r="B74" s="6" t="s">
        <v>152</v>
      </c>
      <c r="C74" s="7">
        <f t="shared" si="15"/>
        <v>2889</v>
      </c>
      <c r="D74" s="8">
        <v>2889</v>
      </c>
      <c r="E74" s="8">
        <v>0</v>
      </c>
      <c r="F74" s="8">
        <v>457.14</v>
      </c>
      <c r="G74" s="9">
        <v>1</v>
      </c>
      <c r="H74" s="9">
        <v>0</v>
      </c>
      <c r="I74" s="9">
        <v>400</v>
      </c>
      <c r="J74" s="9">
        <v>0</v>
      </c>
      <c r="K74" s="9" t="s">
        <v>153</v>
      </c>
      <c r="L74" s="10" t="s">
        <v>71</v>
      </c>
      <c r="M74" s="10">
        <v>0</v>
      </c>
      <c r="N74" s="10" t="s">
        <v>72</v>
      </c>
      <c r="O74" s="10" t="s">
        <v>72</v>
      </c>
      <c r="P74" s="5" t="s">
        <v>143</v>
      </c>
      <c r="Q74" s="11">
        <v>3</v>
      </c>
      <c r="R74" s="12">
        <v>41.34</v>
      </c>
      <c r="S74" s="10">
        <v>4.68</v>
      </c>
      <c r="T74" s="10">
        <v>7.92</v>
      </c>
      <c r="U74" s="10">
        <v>12.32</v>
      </c>
      <c r="V74" s="10">
        <v>6.34</v>
      </c>
      <c r="W74" s="10">
        <v>2.89</v>
      </c>
      <c r="X74" s="10">
        <v>1.66</v>
      </c>
      <c r="Y74" s="10">
        <v>5.29</v>
      </c>
      <c r="Z74" s="10">
        <v>0.24</v>
      </c>
      <c r="AA74" s="13">
        <v>1.2E-2</v>
      </c>
      <c r="AB74" s="13">
        <v>1.2E-2</v>
      </c>
      <c r="AC74" s="14">
        <f t="shared" si="27"/>
        <v>7.1880000000000002E-4</v>
      </c>
      <c r="AD74" s="13">
        <f t="shared" si="28"/>
        <v>2.4E-2</v>
      </c>
      <c r="AE74" s="13">
        <v>3.23</v>
      </c>
      <c r="AF74" s="13">
        <v>4.4080000000000004</v>
      </c>
      <c r="AG74" s="13">
        <v>3.1920000000000002</v>
      </c>
      <c r="AH74" s="15">
        <v>5.9900000000000002E-2</v>
      </c>
      <c r="AI74" s="10">
        <f t="shared" si="26"/>
        <v>7.6000000000000005</v>
      </c>
      <c r="AJ74" s="10">
        <v>0.02</v>
      </c>
      <c r="AK74" s="10">
        <v>10</v>
      </c>
      <c r="AL74" s="10">
        <v>0</v>
      </c>
      <c r="AM74" s="16">
        <v>40</v>
      </c>
      <c r="AN74" s="16">
        <v>40</v>
      </c>
      <c r="AO74" s="16">
        <v>2604.04</v>
      </c>
      <c r="AP74" s="10">
        <v>195.98199600000001</v>
      </c>
      <c r="AQ74" s="16">
        <v>42.3</v>
      </c>
      <c r="AR74" s="16">
        <v>2604.04</v>
      </c>
      <c r="AS74" s="10">
        <v>7.85</v>
      </c>
      <c r="AT74" s="13">
        <v>0</v>
      </c>
      <c r="AU74" s="10">
        <v>6.73</v>
      </c>
      <c r="AV74" s="17">
        <f t="shared" si="24"/>
        <v>58451.731757096044</v>
      </c>
      <c r="AW74" s="17">
        <v>24601.119008181606</v>
      </c>
      <c r="AX74" s="17">
        <v>22288.735228181664</v>
      </c>
      <c r="AY74" s="17">
        <v>11561.877520732774</v>
      </c>
      <c r="BA74" s="18"/>
      <c r="BC74" s="19"/>
      <c r="BD74" s="19"/>
      <c r="BE74" s="19"/>
      <c r="BF74" s="19"/>
      <c r="BG74" s="19"/>
      <c r="BI74" s="16">
        <f t="shared" si="16"/>
        <v>0</v>
      </c>
      <c r="BJ74" s="16">
        <f t="shared" si="17"/>
        <v>2889</v>
      </c>
      <c r="BK74" s="16">
        <f t="shared" si="18"/>
        <v>2889</v>
      </c>
      <c r="BL74" s="16">
        <f t="shared" si="19"/>
        <v>2889</v>
      </c>
      <c r="BM74" s="16">
        <f t="shared" si="20"/>
        <v>2889</v>
      </c>
      <c r="BN74" s="16">
        <f t="shared" si="21"/>
        <v>2889</v>
      </c>
      <c r="BO74" s="16">
        <f t="shared" si="22"/>
        <v>2889</v>
      </c>
      <c r="BP74" s="16">
        <f t="shared" si="23"/>
        <v>0</v>
      </c>
    </row>
    <row r="75" spans="1:68" ht="12" customHeight="1" x14ac:dyDescent="0.25">
      <c r="A75" s="5">
        <f t="shared" si="25"/>
        <v>71</v>
      </c>
      <c r="B75" s="6" t="s">
        <v>154</v>
      </c>
      <c r="C75" s="7">
        <f t="shared" si="15"/>
        <v>2857.2</v>
      </c>
      <c r="D75" s="8">
        <v>2857.2</v>
      </c>
      <c r="E75" s="8">
        <v>0</v>
      </c>
      <c r="F75" s="8">
        <v>452.56</v>
      </c>
      <c r="G75" s="9">
        <v>1</v>
      </c>
      <c r="H75" s="9">
        <v>0</v>
      </c>
      <c r="I75" s="9">
        <v>400</v>
      </c>
      <c r="J75" s="9">
        <v>0</v>
      </c>
      <c r="K75" s="9" t="s">
        <v>153</v>
      </c>
      <c r="L75" s="10" t="s">
        <v>71</v>
      </c>
      <c r="M75" s="10">
        <v>0</v>
      </c>
      <c r="N75" s="10" t="s">
        <v>72</v>
      </c>
      <c r="O75" s="10" t="s">
        <v>72</v>
      </c>
      <c r="P75" s="5" t="s">
        <v>143</v>
      </c>
      <c r="Q75" s="11">
        <v>3</v>
      </c>
      <c r="R75" s="12">
        <v>41.34</v>
      </c>
      <c r="S75" s="10">
        <v>4.68</v>
      </c>
      <c r="T75" s="10">
        <v>7.92</v>
      </c>
      <c r="U75" s="10">
        <v>12.32</v>
      </c>
      <c r="V75" s="10">
        <v>6.34</v>
      </c>
      <c r="W75" s="10">
        <v>2.89</v>
      </c>
      <c r="X75" s="10">
        <v>1.66</v>
      </c>
      <c r="Y75" s="10">
        <v>5.29</v>
      </c>
      <c r="Z75" s="10">
        <v>0.24</v>
      </c>
      <c r="AA75" s="13">
        <v>1.2E-2</v>
      </c>
      <c r="AB75" s="13">
        <v>1.2E-2</v>
      </c>
      <c r="AC75" s="14">
        <f t="shared" si="27"/>
        <v>7.1880000000000002E-4</v>
      </c>
      <c r="AD75" s="13">
        <f t="shared" si="28"/>
        <v>2.4E-2</v>
      </c>
      <c r="AE75" s="13">
        <v>3.23</v>
      </c>
      <c r="AF75" s="13">
        <v>4.4080000000000004</v>
      </c>
      <c r="AG75" s="13">
        <v>3.1920000000000002</v>
      </c>
      <c r="AH75" s="15">
        <v>5.9900000000000002E-2</v>
      </c>
      <c r="AI75" s="10">
        <f t="shared" si="26"/>
        <v>7.6000000000000005</v>
      </c>
      <c r="AJ75" s="10">
        <v>0.02</v>
      </c>
      <c r="AK75" s="10">
        <v>10</v>
      </c>
      <c r="AL75" s="10">
        <v>0</v>
      </c>
      <c r="AM75" s="16">
        <v>40</v>
      </c>
      <c r="AN75" s="16">
        <v>40</v>
      </c>
      <c r="AO75" s="16">
        <v>2604.04</v>
      </c>
      <c r="AP75" s="10">
        <v>195.98199600000001</v>
      </c>
      <c r="AQ75" s="16">
        <v>42.3</v>
      </c>
      <c r="AR75" s="16">
        <v>2604.04</v>
      </c>
      <c r="AS75" s="10">
        <v>7.85</v>
      </c>
      <c r="AT75" s="13">
        <v>0</v>
      </c>
      <c r="AU75" s="10">
        <v>6.73</v>
      </c>
      <c r="AV75" s="17">
        <f t="shared" si="24"/>
        <v>58451.731757096044</v>
      </c>
      <c r="AW75" s="17">
        <v>24601.119008181606</v>
      </c>
      <c r="AX75" s="17">
        <v>22288.735228181664</v>
      </c>
      <c r="AY75" s="17">
        <v>11561.877520732774</v>
      </c>
      <c r="BA75" s="18"/>
      <c r="BC75" s="19"/>
      <c r="BD75" s="19"/>
      <c r="BE75" s="19"/>
      <c r="BF75" s="19"/>
      <c r="BG75" s="19"/>
      <c r="BI75" s="16">
        <f t="shared" si="16"/>
        <v>0</v>
      </c>
      <c r="BJ75" s="16">
        <f t="shared" si="17"/>
        <v>2857.2</v>
      </c>
      <c r="BK75" s="16">
        <f t="shared" si="18"/>
        <v>2857.2</v>
      </c>
      <c r="BL75" s="16">
        <f t="shared" si="19"/>
        <v>2857.2</v>
      </c>
      <c r="BM75" s="16">
        <f t="shared" si="20"/>
        <v>2857.2</v>
      </c>
      <c r="BN75" s="16">
        <f t="shared" si="21"/>
        <v>2857.2</v>
      </c>
      <c r="BO75" s="16">
        <f t="shared" si="22"/>
        <v>2857.2</v>
      </c>
      <c r="BP75" s="16">
        <f t="shared" si="23"/>
        <v>0</v>
      </c>
    </row>
    <row r="76" spans="1:68" ht="12" customHeight="1" x14ac:dyDescent="0.25">
      <c r="A76" s="5">
        <f t="shared" si="25"/>
        <v>72</v>
      </c>
      <c r="B76" s="6" t="s">
        <v>155</v>
      </c>
      <c r="C76" s="7">
        <f t="shared" si="15"/>
        <v>3103.7</v>
      </c>
      <c r="D76" s="8">
        <v>3103.7</v>
      </c>
      <c r="E76" s="8">
        <v>0</v>
      </c>
      <c r="F76" s="8">
        <v>798.9</v>
      </c>
      <c r="G76" s="9">
        <v>2</v>
      </c>
      <c r="H76" s="9">
        <v>0</v>
      </c>
      <c r="I76" s="9">
        <v>400</v>
      </c>
      <c r="J76" s="9">
        <v>0</v>
      </c>
      <c r="K76" s="9" t="s">
        <v>71</v>
      </c>
      <c r="L76" s="10" t="s">
        <v>71</v>
      </c>
      <c r="M76" s="10">
        <v>0</v>
      </c>
      <c r="N76" s="10" t="s">
        <v>72</v>
      </c>
      <c r="O76" s="10" t="s">
        <v>72</v>
      </c>
      <c r="P76" s="5" t="s">
        <v>143</v>
      </c>
      <c r="Q76" s="11">
        <v>3</v>
      </c>
      <c r="R76" s="12">
        <v>41.34</v>
      </c>
      <c r="S76" s="10">
        <v>4.68</v>
      </c>
      <c r="T76" s="10">
        <v>7.92</v>
      </c>
      <c r="U76" s="10">
        <v>12.32</v>
      </c>
      <c r="V76" s="10">
        <v>6.34</v>
      </c>
      <c r="W76" s="10">
        <v>2.89</v>
      </c>
      <c r="X76" s="10">
        <v>1.66</v>
      </c>
      <c r="Y76" s="10">
        <v>5.29</v>
      </c>
      <c r="Z76" s="10">
        <v>0.24</v>
      </c>
      <c r="AA76" s="13">
        <v>1.2E-2</v>
      </c>
      <c r="AB76" s="13">
        <v>1.2E-2</v>
      </c>
      <c r="AC76" s="14">
        <f t="shared" si="27"/>
        <v>7.1880000000000002E-4</v>
      </c>
      <c r="AD76" s="13">
        <f t="shared" si="28"/>
        <v>2.4E-2</v>
      </c>
      <c r="AE76" s="13">
        <v>3.23</v>
      </c>
      <c r="AF76" s="10">
        <v>4.29</v>
      </c>
      <c r="AG76" s="10">
        <v>3.17</v>
      </c>
      <c r="AH76" s="15">
        <v>5.9900000000000002E-2</v>
      </c>
      <c r="AI76" s="10">
        <f t="shared" si="26"/>
        <v>7.46</v>
      </c>
      <c r="AJ76" s="10">
        <v>0.02</v>
      </c>
      <c r="AK76" s="10">
        <v>10</v>
      </c>
      <c r="AL76" s="10">
        <v>0</v>
      </c>
      <c r="AM76" s="16">
        <v>40</v>
      </c>
      <c r="AN76" s="16">
        <v>40</v>
      </c>
      <c r="AO76" s="16">
        <v>2604.04</v>
      </c>
      <c r="AP76" s="10">
        <v>195.98199600000001</v>
      </c>
      <c r="AQ76" s="16">
        <v>42.3</v>
      </c>
      <c r="AR76" s="16">
        <v>2604.04</v>
      </c>
      <c r="AS76" s="10">
        <v>7.85</v>
      </c>
      <c r="AT76" s="13">
        <v>0</v>
      </c>
      <c r="AU76" s="10">
        <v>6.73</v>
      </c>
      <c r="AV76" s="17">
        <f t="shared" si="24"/>
        <v>31616.449576475461</v>
      </c>
      <c r="AW76" s="17">
        <v>13306.703275707436</v>
      </c>
      <c r="AX76" s="17">
        <v>12055.945967714531</v>
      </c>
      <c r="AY76" s="17">
        <v>6253.8003330534921</v>
      </c>
      <c r="BA76" s="18"/>
      <c r="BC76" s="19"/>
      <c r="BD76" s="19"/>
      <c r="BE76" s="19"/>
      <c r="BF76" s="19"/>
      <c r="BG76" s="19"/>
      <c r="BI76" s="16">
        <f t="shared" si="16"/>
        <v>0</v>
      </c>
      <c r="BJ76" s="16">
        <f t="shared" si="17"/>
        <v>3103.7</v>
      </c>
      <c r="BK76" s="16">
        <f t="shared" si="18"/>
        <v>3103.7</v>
      </c>
      <c r="BL76" s="16">
        <f t="shared" si="19"/>
        <v>3103.7</v>
      </c>
      <c r="BM76" s="16">
        <f t="shared" si="20"/>
        <v>3103.7</v>
      </c>
      <c r="BN76" s="16">
        <f t="shared" si="21"/>
        <v>3103.7</v>
      </c>
      <c r="BO76" s="16">
        <f t="shared" si="22"/>
        <v>3103.7</v>
      </c>
      <c r="BP76" s="16">
        <f t="shared" si="23"/>
        <v>0</v>
      </c>
    </row>
    <row r="77" spans="1:68" ht="12" customHeight="1" x14ac:dyDescent="0.25">
      <c r="A77" s="5">
        <f t="shared" si="25"/>
        <v>73</v>
      </c>
      <c r="B77" s="6" t="s">
        <v>156</v>
      </c>
      <c r="C77" s="7">
        <f t="shared" si="15"/>
        <v>3039</v>
      </c>
      <c r="D77" s="8">
        <v>3039</v>
      </c>
      <c r="E77" s="8">
        <v>0</v>
      </c>
      <c r="F77" s="8">
        <v>338.66</v>
      </c>
      <c r="G77" s="9">
        <v>1</v>
      </c>
      <c r="H77" s="9">
        <v>0</v>
      </c>
      <c r="I77" s="9">
        <v>400</v>
      </c>
      <c r="J77" s="9">
        <v>0</v>
      </c>
      <c r="K77" s="9" t="s">
        <v>83</v>
      </c>
      <c r="L77" s="10" t="s">
        <v>71</v>
      </c>
      <c r="M77" s="10">
        <v>0</v>
      </c>
      <c r="N77" s="10" t="s">
        <v>72</v>
      </c>
      <c r="O77" s="10" t="s">
        <v>72</v>
      </c>
      <c r="P77" s="5" t="s">
        <v>143</v>
      </c>
      <c r="Q77" s="11">
        <v>3</v>
      </c>
      <c r="R77" s="12">
        <v>41.34</v>
      </c>
      <c r="S77" s="10">
        <v>4.68</v>
      </c>
      <c r="T77" s="10">
        <v>7.92</v>
      </c>
      <c r="U77" s="10">
        <v>12.32</v>
      </c>
      <c r="V77" s="10">
        <v>6.34</v>
      </c>
      <c r="W77" s="10">
        <v>2.89</v>
      </c>
      <c r="X77" s="10">
        <v>1.66</v>
      </c>
      <c r="Y77" s="10">
        <v>5.29</v>
      </c>
      <c r="Z77" s="10">
        <v>0.24</v>
      </c>
      <c r="AA77" s="13">
        <v>1.2E-2</v>
      </c>
      <c r="AB77" s="13">
        <v>1.2E-2</v>
      </c>
      <c r="AC77" s="14">
        <f t="shared" si="27"/>
        <v>7.1880000000000002E-4</v>
      </c>
      <c r="AD77" s="13">
        <f t="shared" si="28"/>
        <v>2.4E-2</v>
      </c>
      <c r="AE77" s="13">
        <v>3.23</v>
      </c>
      <c r="AF77" s="10">
        <v>4.29</v>
      </c>
      <c r="AG77" s="10">
        <v>3.17</v>
      </c>
      <c r="AH77" s="15">
        <v>5.9900000000000002E-2</v>
      </c>
      <c r="AI77" s="10">
        <f t="shared" si="26"/>
        <v>7.46</v>
      </c>
      <c r="AJ77" s="10">
        <v>0.02</v>
      </c>
      <c r="AK77" s="10">
        <v>10</v>
      </c>
      <c r="AL77" s="10">
        <v>0</v>
      </c>
      <c r="AM77" s="16">
        <v>40</v>
      </c>
      <c r="AN77" s="16">
        <v>40</v>
      </c>
      <c r="AO77" s="16">
        <v>2604.04</v>
      </c>
      <c r="AP77" s="10">
        <v>195.98199600000001</v>
      </c>
      <c r="AQ77" s="16">
        <v>42.3</v>
      </c>
      <c r="AR77" s="16">
        <v>2604.04</v>
      </c>
      <c r="AS77" s="10">
        <v>7.85</v>
      </c>
      <c r="AT77" s="13">
        <v>0</v>
      </c>
      <c r="AU77" s="10">
        <v>6.73</v>
      </c>
      <c r="AV77" s="17">
        <f t="shared" si="24"/>
        <v>61666.349072941062</v>
      </c>
      <c r="AW77" s="17">
        <v>25954.083105458001</v>
      </c>
      <c r="AX77" s="17">
        <v>23514.527045135015</v>
      </c>
      <c r="AY77" s="17">
        <v>12197.738922348048</v>
      </c>
      <c r="BA77" s="18"/>
      <c r="BC77" s="19"/>
      <c r="BD77" s="19"/>
      <c r="BE77" s="19"/>
      <c r="BF77" s="19"/>
      <c r="BG77" s="19"/>
      <c r="BI77" s="16">
        <f t="shared" si="16"/>
        <v>0</v>
      </c>
      <c r="BJ77" s="16">
        <f t="shared" si="17"/>
        <v>3039</v>
      </c>
      <c r="BK77" s="16">
        <f t="shared" si="18"/>
        <v>3039</v>
      </c>
      <c r="BL77" s="16">
        <f t="shared" si="19"/>
        <v>3039</v>
      </c>
      <c r="BM77" s="16">
        <f t="shared" si="20"/>
        <v>3039</v>
      </c>
      <c r="BN77" s="16">
        <f t="shared" si="21"/>
        <v>3039</v>
      </c>
      <c r="BO77" s="16">
        <f t="shared" si="22"/>
        <v>3039</v>
      </c>
      <c r="BP77" s="16">
        <f t="shared" si="23"/>
        <v>0</v>
      </c>
    </row>
    <row r="78" spans="1:68" ht="12" customHeight="1" x14ac:dyDescent="0.25">
      <c r="A78" s="5">
        <f t="shared" si="25"/>
        <v>74</v>
      </c>
      <c r="B78" s="6" t="s">
        <v>157</v>
      </c>
      <c r="C78" s="7">
        <f t="shared" si="15"/>
        <v>3007.4</v>
      </c>
      <c r="D78" s="8">
        <v>3007.4</v>
      </c>
      <c r="E78" s="8">
        <v>0</v>
      </c>
      <c r="F78" s="8">
        <v>335.14</v>
      </c>
      <c r="G78" s="9">
        <v>1</v>
      </c>
      <c r="H78" s="9">
        <v>0</v>
      </c>
      <c r="I78" s="9">
        <v>400</v>
      </c>
      <c r="J78" s="9">
        <v>0</v>
      </c>
      <c r="K78" s="9" t="s">
        <v>83</v>
      </c>
      <c r="L78" s="10" t="s">
        <v>71</v>
      </c>
      <c r="M78" s="10">
        <v>0</v>
      </c>
      <c r="N78" s="10" t="s">
        <v>72</v>
      </c>
      <c r="O78" s="10" t="s">
        <v>72</v>
      </c>
      <c r="P78" s="5" t="s">
        <v>143</v>
      </c>
      <c r="Q78" s="11">
        <v>3</v>
      </c>
      <c r="R78" s="12">
        <v>41.34</v>
      </c>
      <c r="S78" s="10">
        <v>4.68</v>
      </c>
      <c r="T78" s="10">
        <v>7.92</v>
      </c>
      <c r="U78" s="10">
        <v>12.32</v>
      </c>
      <c r="V78" s="10">
        <v>6.34</v>
      </c>
      <c r="W78" s="10">
        <v>2.89</v>
      </c>
      <c r="X78" s="10">
        <v>1.66</v>
      </c>
      <c r="Y78" s="10">
        <v>5.29</v>
      </c>
      <c r="Z78" s="10">
        <v>0.24</v>
      </c>
      <c r="AA78" s="13">
        <v>1.2E-2</v>
      </c>
      <c r="AB78" s="13">
        <v>1.2E-2</v>
      </c>
      <c r="AC78" s="14">
        <f t="shared" si="27"/>
        <v>7.1880000000000002E-4</v>
      </c>
      <c r="AD78" s="13">
        <f t="shared" si="28"/>
        <v>2.4E-2</v>
      </c>
      <c r="AE78" s="13">
        <v>3.23</v>
      </c>
      <c r="AF78" s="10">
        <v>4.29</v>
      </c>
      <c r="AG78" s="10">
        <v>3.17</v>
      </c>
      <c r="AH78" s="15">
        <v>5.9900000000000002E-2</v>
      </c>
      <c r="AI78" s="10">
        <f t="shared" si="26"/>
        <v>7.46</v>
      </c>
      <c r="AJ78" s="10">
        <v>0.02</v>
      </c>
      <c r="AK78" s="10">
        <v>10</v>
      </c>
      <c r="AL78" s="10">
        <v>0</v>
      </c>
      <c r="AM78" s="16">
        <v>40</v>
      </c>
      <c r="AN78" s="16">
        <v>40</v>
      </c>
      <c r="AO78" s="16">
        <v>2604.04</v>
      </c>
      <c r="AP78" s="10">
        <v>195.98199600000001</v>
      </c>
      <c r="AQ78" s="16">
        <v>42.3</v>
      </c>
      <c r="AR78" s="16">
        <v>2604.04</v>
      </c>
      <c r="AS78" s="10">
        <v>7.85</v>
      </c>
      <c r="AT78" s="13">
        <v>0</v>
      </c>
      <c r="AU78" s="10">
        <v>6.73</v>
      </c>
      <c r="AV78" s="17">
        <f t="shared" si="24"/>
        <v>61666.349072941062</v>
      </c>
      <c r="AW78" s="17">
        <v>25954.083105458001</v>
      </c>
      <c r="AX78" s="17">
        <v>23514.527045135015</v>
      </c>
      <c r="AY78" s="17">
        <v>12197.738922348048</v>
      </c>
      <c r="BA78" s="18"/>
      <c r="BC78" s="19"/>
      <c r="BD78" s="19"/>
      <c r="BE78" s="19"/>
      <c r="BF78" s="19"/>
      <c r="BG78" s="19"/>
      <c r="BI78" s="16">
        <f t="shared" si="16"/>
        <v>0</v>
      </c>
      <c r="BJ78" s="16">
        <f t="shared" si="17"/>
        <v>3007.4</v>
      </c>
      <c r="BK78" s="16">
        <f t="shared" si="18"/>
        <v>3007.4</v>
      </c>
      <c r="BL78" s="16">
        <f t="shared" si="19"/>
        <v>3007.4</v>
      </c>
      <c r="BM78" s="16">
        <f t="shared" si="20"/>
        <v>3007.4</v>
      </c>
      <c r="BN78" s="16">
        <f t="shared" si="21"/>
        <v>3007.4</v>
      </c>
      <c r="BO78" s="16">
        <f t="shared" si="22"/>
        <v>3007.4</v>
      </c>
      <c r="BP78" s="16">
        <f t="shared" si="23"/>
        <v>0</v>
      </c>
    </row>
    <row r="79" spans="1:68" ht="12" customHeight="1" x14ac:dyDescent="0.25">
      <c r="A79" s="5">
        <f t="shared" si="25"/>
        <v>75</v>
      </c>
      <c r="B79" s="6" t="s">
        <v>158</v>
      </c>
      <c r="C79" s="7">
        <f t="shared" si="15"/>
        <v>6944.01</v>
      </c>
      <c r="D79" s="8">
        <v>6944.01</v>
      </c>
      <c r="E79" s="8">
        <v>0</v>
      </c>
      <c r="F79" s="8">
        <v>706.4</v>
      </c>
      <c r="G79" s="9">
        <v>0</v>
      </c>
      <c r="H79" s="9">
        <v>0</v>
      </c>
      <c r="I79" s="9">
        <v>0</v>
      </c>
      <c r="J79" s="9">
        <v>0</v>
      </c>
      <c r="K79" s="9" t="s">
        <v>83</v>
      </c>
      <c r="L79" s="10" t="s">
        <v>71</v>
      </c>
      <c r="M79" s="10">
        <v>0</v>
      </c>
      <c r="N79" s="10" t="s">
        <v>72</v>
      </c>
      <c r="O79" s="10" t="s">
        <v>72</v>
      </c>
      <c r="P79" s="5" t="s">
        <v>143</v>
      </c>
      <c r="Q79" s="11">
        <v>7</v>
      </c>
      <c r="R79" s="12">
        <v>28.44</v>
      </c>
      <c r="S79" s="10">
        <v>4.68</v>
      </c>
      <c r="T79" s="10">
        <v>6.05</v>
      </c>
      <c r="U79" s="10">
        <v>8.24</v>
      </c>
      <c r="V79" s="10">
        <v>6.34</v>
      </c>
      <c r="W79" s="10">
        <v>2.89</v>
      </c>
      <c r="X79" s="10">
        <v>0</v>
      </c>
      <c r="Y79" s="10">
        <v>0</v>
      </c>
      <c r="Z79" s="10">
        <v>0.24</v>
      </c>
      <c r="AA79" s="13">
        <v>1.2999999999999999E-2</v>
      </c>
      <c r="AB79" s="13">
        <v>1.2999999999999999E-2</v>
      </c>
      <c r="AC79" s="14">
        <f t="shared" si="27"/>
        <v>7.7870000000000001E-4</v>
      </c>
      <c r="AD79" s="13">
        <f t="shared" si="28"/>
        <v>2.5999999999999999E-2</v>
      </c>
      <c r="AE79" s="13">
        <v>0.68300000000000005</v>
      </c>
      <c r="AF79" s="10">
        <v>4.29</v>
      </c>
      <c r="AG79" s="10">
        <v>3.17</v>
      </c>
      <c r="AH79" s="15">
        <v>5.9900000000000002E-2</v>
      </c>
      <c r="AI79" s="10">
        <f t="shared" si="26"/>
        <v>7.46</v>
      </c>
      <c r="AJ79" s="10">
        <v>0.02</v>
      </c>
      <c r="AK79" s="10">
        <v>10</v>
      </c>
      <c r="AL79" s="10">
        <v>0</v>
      </c>
      <c r="AM79" s="16">
        <v>40</v>
      </c>
      <c r="AN79" s="16">
        <v>40</v>
      </c>
      <c r="AO79" s="16">
        <v>2604.04</v>
      </c>
      <c r="AP79" s="10">
        <v>195.98199600000001</v>
      </c>
      <c r="AQ79" s="16">
        <v>42.3</v>
      </c>
      <c r="AR79" s="16">
        <v>2604.04</v>
      </c>
      <c r="AS79" s="10">
        <v>7.85</v>
      </c>
      <c r="AT79" s="13">
        <v>0</v>
      </c>
      <c r="AU79" s="10">
        <v>6.73</v>
      </c>
      <c r="AV79" s="17">
        <f t="shared" si="24"/>
        <v>56723.581846688685</v>
      </c>
      <c r="AW79" s="17">
        <v>29760.465317474391</v>
      </c>
      <c r="AX79" s="17">
        <v>26963.116529214294</v>
      </c>
      <c r="AY79" s="17">
        <v>0</v>
      </c>
      <c r="BA79" s="18"/>
      <c r="BC79" s="19"/>
      <c r="BD79" s="19"/>
      <c r="BE79" s="19"/>
      <c r="BF79" s="19"/>
      <c r="BG79" s="19"/>
      <c r="BI79" s="16">
        <f t="shared" si="16"/>
        <v>0</v>
      </c>
      <c r="BJ79" s="16">
        <f t="shared" si="17"/>
        <v>0</v>
      </c>
      <c r="BK79" s="16">
        <f t="shared" si="18"/>
        <v>6944.01</v>
      </c>
      <c r="BL79" s="16">
        <f t="shared" si="19"/>
        <v>6944.01</v>
      </c>
      <c r="BM79" s="16">
        <f t="shared" si="20"/>
        <v>6944.01</v>
      </c>
      <c r="BN79" s="16">
        <f t="shared" si="21"/>
        <v>6944.01</v>
      </c>
      <c r="BO79" s="16">
        <f t="shared" si="22"/>
        <v>6944.01</v>
      </c>
      <c r="BP79" s="16">
        <f t="shared" si="23"/>
        <v>0</v>
      </c>
    </row>
    <row r="80" spans="1:68" ht="12" customHeight="1" x14ac:dyDescent="0.25">
      <c r="A80" s="5">
        <f t="shared" si="25"/>
        <v>76</v>
      </c>
      <c r="B80" s="6" t="s">
        <v>159</v>
      </c>
      <c r="C80" s="7">
        <f t="shared" si="15"/>
        <v>6622.8</v>
      </c>
      <c r="D80" s="8">
        <v>5469.6</v>
      </c>
      <c r="E80" s="8">
        <v>1153.2</v>
      </c>
      <c r="F80" s="8">
        <v>1385.2</v>
      </c>
      <c r="G80" s="9">
        <v>1</v>
      </c>
      <c r="H80" s="9">
        <v>1</v>
      </c>
      <c r="I80" s="9">
        <v>400</v>
      </c>
      <c r="J80" s="9">
        <v>1000</v>
      </c>
      <c r="K80" s="9" t="s">
        <v>160</v>
      </c>
      <c r="L80" s="10" t="s">
        <v>71</v>
      </c>
      <c r="M80" s="10">
        <v>0</v>
      </c>
      <c r="N80" s="10" t="s">
        <v>72</v>
      </c>
      <c r="O80" s="10" t="s">
        <v>72</v>
      </c>
      <c r="P80" s="5" t="s">
        <v>143</v>
      </c>
      <c r="Q80" s="11">
        <v>1</v>
      </c>
      <c r="R80" s="21">
        <v>36.54</v>
      </c>
      <c r="S80" s="10">
        <v>4.03</v>
      </c>
      <c r="T80" s="10">
        <v>7</v>
      </c>
      <c r="U80" s="10">
        <v>11</v>
      </c>
      <c r="V80" s="10">
        <v>5.4</v>
      </c>
      <c r="W80" s="10">
        <v>2.67</v>
      </c>
      <c r="X80" s="10">
        <v>1.54</v>
      </c>
      <c r="Y80" s="10">
        <v>4.9000000000000004</v>
      </c>
      <c r="Z80" s="10">
        <v>0</v>
      </c>
      <c r="AA80" s="13">
        <v>6.0000000000000001E-3</v>
      </c>
      <c r="AB80" s="13">
        <v>6.0000000000000001E-3</v>
      </c>
      <c r="AC80" s="14">
        <f t="shared" si="27"/>
        <v>3.5940000000000001E-4</v>
      </c>
      <c r="AD80" s="13">
        <f t="shared" si="28"/>
        <v>1.2E-2</v>
      </c>
      <c r="AE80" s="13">
        <v>3.23</v>
      </c>
      <c r="AF80" s="13">
        <v>4.4080000000000004</v>
      </c>
      <c r="AG80" s="13">
        <v>3.1920000000000002</v>
      </c>
      <c r="AH80" s="15">
        <v>5.9900000000000002E-2</v>
      </c>
      <c r="AI80" s="10">
        <f t="shared" si="26"/>
        <v>7.6000000000000005</v>
      </c>
      <c r="AJ80" s="10">
        <v>0.02</v>
      </c>
      <c r="AK80" s="13">
        <v>0</v>
      </c>
      <c r="AL80" s="10">
        <v>0</v>
      </c>
      <c r="AM80" s="16">
        <v>40</v>
      </c>
      <c r="AN80" s="16">
        <v>40</v>
      </c>
      <c r="AO80" s="16">
        <v>2604.04</v>
      </c>
      <c r="AP80" s="10">
        <v>195.98199600000001</v>
      </c>
      <c r="AQ80" s="16">
        <v>42.3</v>
      </c>
      <c r="AR80" s="16">
        <v>2604.04</v>
      </c>
      <c r="AS80" s="10">
        <v>0</v>
      </c>
      <c r="AT80" s="13">
        <v>0</v>
      </c>
      <c r="AU80" s="10">
        <v>5.05</v>
      </c>
      <c r="AV80" s="17">
        <f t="shared" si="24"/>
        <v>67617.873861170287</v>
      </c>
      <c r="AW80" s="17">
        <v>28458.949442064033</v>
      </c>
      <c r="AX80" s="17">
        <v>25783.959146075733</v>
      </c>
      <c r="AY80" s="17">
        <v>13374.965273030517</v>
      </c>
      <c r="BA80" s="18"/>
      <c r="BC80" s="19"/>
      <c r="BD80" s="19"/>
      <c r="BE80" s="19"/>
      <c r="BF80" s="19"/>
      <c r="BG80" s="19"/>
      <c r="BI80" s="16">
        <f t="shared" si="16"/>
        <v>6622.8</v>
      </c>
      <c r="BJ80" s="16">
        <f t="shared" si="17"/>
        <v>0</v>
      </c>
      <c r="BK80" s="16">
        <f t="shared" si="18"/>
        <v>6622.8</v>
      </c>
      <c r="BL80" s="16">
        <f t="shared" si="19"/>
        <v>6622.8</v>
      </c>
      <c r="BM80" s="16">
        <f t="shared" si="20"/>
        <v>6622.8</v>
      </c>
      <c r="BN80" s="16">
        <f t="shared" si="21"/>
        <v>6622.8</v>
      </c>
      <c r="BO80" s="16">
        <f t="shared" si="22"/>
        <v>0</v>
      </c>
      <c r="BP80" s="16">
        <f t="shared" si="23"/>
        <v>6622.8</v>
      </c>
    </row>
    <row r="81" spans="1:68" ht="12" customHeight="1" x14ac:dyDescent="0.25">
      <c r="A81" s="5">
        <f t="shared" si="25"/>
        <v>77</v>
      </c>
      <c r="B81" s="6" t="s">
        <v>161</v>
      </c>
      <c r="C81" s="7">
        <f t="shared" si="15"/>
        <v>3447.6</v>
      </c>
      <c r="D81" s="8">
        <v>2670.2</v>
      </c>
      <c r="E81" s="8">
        <v>777.4</v>
      </c>
      <c r="F81" s="8">
        <v>329.4</v>
      </c>
      <c r="G81" s="9">
        <v>0</v>
      </c>
      <c r="H81" s="9">
        <v>0</v>
      </c>
      <c r="I81" s="9">
        <v>0</v>
      </c>
      <c r="J81" s="9">
        <v>0</v>
      </c>
      <c r="K81" s="9" t="s">
        <v>83</v>
      </c>
      <c r="L81" s="10" t="s">
        <v>71</v>
      </c>
      <c r="M81" s="10">
        <v>0</v>
      </c>
      <c r="N81" s="10" t="s">
        <v>72</v>
      </c>
      <c r="O81" s="10" t="s">
        <v>72</v>
      </c>
      <c r="P81" s="5" t="s">
        <v>143</v>
      </c>
      <c r="Q81" s="11">
        <v>7</v>
      </c>
      <c r="R81" s="12">
        <v>28.44</v>
      </c>
      <c r="S81" s="10">
        <v>4.68</v>
      </c>
      <c r="T81" s="10">
        <v>6.05</v>
      </c>
      <c r="U81" s="10">
        <v>8.24</v>
      </c>
      <c r="V81" s="10">
        <v>6.34</v>
      </c>
      <c r="W81" s="10">
        <v>2.89</v>
      </c>
      <c r="X81" s="10">
        <v>0</v>
      </c>
      <c r="Y81" s="10">
        <v>0</v>
      </c>
      <c r="Z81" s="10">
        <v>0.24</v>
      </c>
      <c r="AA81" s="13">
        <v>1.2999999999999999E-2</v>
      </c>
      <c r="AB81" s="13">
        <v>1.2999999999999999E-2</v>
      </c>
      <c r="AC81" s="14">
        <f t="shared" si="27"/>
        <v>7.7870000000000001E-4</v>
      </c>
      <c r="AD81" s="13">
        <f t="shared" si="28"/>
        <v>2.5999999999999999E-2</v>
      </c>
      <c r="AE81" s="13">
        <v>0.68300000000000005</v>
      </c>
      <c r="AF81" s="10">
        <v>4.29</v>
      </c>
      <c r="AG81" s="10">
        <v>3.17</v>
      </c>
      <c r="AH81" s="15">
        <v>5.9900000000000002E-2</v>
      </c>
      <c r="AI81" s="10">
        <f t="shared" si="26"/>
        <v>7.46</v>
      </c>
      <c r="AJ81" s="10">
        <v>0.02</v>
      </c>
      <c r="AK81" s="10">
        <v>10</v>
      </c>
      <c r="AL81" s="10">
        <v>0</v>
      </c>
      <c r="AM81" s="16">
        <v>40</v>
      </c>
      <c r="AN81" s="16">
        <v>40</v>
      </c>
      <c r="AO81" s="16">
        <v>2604.04</v>
      </c>
      <c r="AP81" s="10">
        <v>195.98199600000001</v>
      </c>
      <c r="AQ81" s="16">
        <v>42.3</v>
      </c>
      <c r="AR81" s="16">
        <v>2604.04</v>
      </c>
      <c r="AS81" s="10">
        <v>7.85</v>
      </c>
      <c r="AT81" s="13">
        <v>0</v>
      </c>
      <c r="AU81" s="10">
        <v>6.73</v>
      </c>
      <c r="AV81" s="17">
        <f t="shared" si="24"/>
        <v>28077.611911251515</v>
      </c>
      <c r="AW81" s="17">
        <v>14731.129366948451</v>
      </c>
      <c r="AX81" s="17">
        <v>13346.482544303062</v>
      </c>
      <c r="AY81" s="17">
        <v>0</v>
      </c>
      <c r="BA81" s="18"/>
      <c r="BC81" s="19"/>
      <c r="BD81" s="19"/>
      <c r="BE81" s="19"/>
      <c r="BF81" s="19"/>
      <c r="BG81" s="19"/>
      <c r="BI81" s="16">
        <f t="shared" si="16"/>
        <v>0</v>
      </c>
      <c r="BJ81" s="16">
        <f t="shared" si="17"/>
        <v>0</v>
      </c>
      <c r="BK81" s="16">
        <f t="shared" si="18"/>
        <v>3447.6</v>
      </c>
      <c r="BL81" s="16">
        <f t="shared" si="19"/>
        <v>3447.6</v>
      </c>
      <c r="BM81" s="16">
        <f t="shared" si="20"/>
        <v>3447.6</v>
      </c>
      <c r="BN81" s="16">
        <f t="shared" si="21"/>
        <v>3447.6</v>
      </c>
      <c r="BO81" s="16">
        <f t="shared" si="22"/>
        <v>3447.6</v>
      </c>
      <c r="BP81" s="16">
        <f t="shared" si="23"/>
        <v>0</v>
      </c>
    </row>
    <row r="82" spans="1:68" ht="12" customHeight="1" x14ac:dyDescent="0.25">
      <c r="A82" s="5">
        <f t="shared" si="25"/>
        <v>78</v>
      </c>
      <c r="B82" s="6" t="s">
        <v>162</v>
      </c>
      <c r="C82" s="7">
        <f t="shared" si="15"/>
        <v>3176.2</v>
      </c>
      <c r="D82" s="8">
        <v>3176.2</v>
      </c>
      <c r="E82" s="8">
        <v>0</v>
      </c>
      <c r="F82" s="8">
        <v>326.8</v>
      </c>
      <c r="G82" s="9">
        <v>0</v>
      </c>
      <c r="H82" s="9">
        <v>0</v>
      </c>
      <c r="I82" s="9">
        <v>0</v>
      </c>
      <c r="J82" s="9">
        <v>0</v>
      </c>
      <c r="K82" s="9" t="s">
        <v>83</v>
      </c>
      <c r="L82" s="10" t="s">
        <v>71</v>
      </c>
      <c r="M82" s="10">
        <v>0</v>
      </c>
      <c r="N82" s="10" t="s">
        <v>72</v>
      </c>
      <c r="O82" s="10" t="s">
        <v>72</v>
      </c>
      <c r="P82" s="5" t="s">
        <v>143</v>
      </c>
      <c r="Q82" s="11">
        <v>7</v>
      </c>
      <c r="R82" s="12">
        <v>28.44</v>
      </c>
      <c r="S82" s="10">
        <v>4.68</v>
      </c>
      <c r="T82" s="10">
        <v>6.05</v>
      </c>
      <c r="U82" s="10">
        <v>8.24</v>
      </c>
      <c r="V82" s="10">
        <v>6.34</v>
      </c>
      <c r="W82" s="10">
        <v>2.89</v>
      </c>
      <c r="X82" s="10">
        <v>0</v>
      </c>
      <c r="Y82" s="10">
        <v>0</v>
      </c>
      <c r="Z82" s="10">
        <v>0.24</v>
      </c>
      <c r="AA82" s="13">
        <v>1.2999999999999999E-2</v>
      </c>
      <c r="AB82" s="13">
        <v>1.2999999999999999E-2</v>
      </c>
      <c r="AC82" s="14">
        <f t="shared" si="27"/>
        <v>7.7870000000000001E-4</v>
      </c>
      <c r="AD82" s="13">
        <f t="shared" si="28"/>
        <v>2.5999999999999999E-2</v>
      </c>
      <c r="AE82" s="13">
        <v>0.68300000000000005</v>
      </c>
      <c r="AF82" s="10">
        <v>4.29</v>
      </c>
      <c r="AG82" s="10">
        <v>3.17</v>
      </c>
      <c r="AH82" s="15">
        <v>5.9900000000000002E-2</v>
      </c>
      <c r="AI82" s="10">
        <f t="shared" si="26"/>
        <v>7.46</v>
      </c>
      <c r="AJ82" s="10">
        <v>0.02</v>
      </c>
      <c r="AK82" s="10">
        <v>10</v>
      </c>
      <c r="AL82" s="10">
        <v>0</v>
      </c>
      <c r="AM82" s="16">
        <v>40</v>
      </c>
      <c r="AN82" s="16">
        <v>40</v>
      </c>
      <c r="AO82" s="16">
        <v>2604.04</v>
      </c>
      <c r="AP82" s="10">
        <v>195.98199600000001</v>
      </c>
      <c r="AQ82" s="16">
        <v>42.3</v>
      </c>
      <c r="AR82" s="16">
        <v>2604.04</v>
      </c>
      <c r="AS82" s="10">
        <v>7.85</v>
      </c>
      <c r="AT82" s="13">
        <v>0</v>
      </c>
      <c r="AU82" s="10">
        <v>6.73</v>
      </c>
      <c r="AV82" s="17">
        <f t="shared" si="24"/>
        <v>25823.490139069858</v>
      </c>
      <c r="AW82" s="17">
        <v>13548.482332299933</v>
      </c>
      <c r="AX82" s="17">
        <v>12275.007806769927</v>
      </c>
      <c r="AY82" s="17">
        <v>0</v>
      </c>
      <c r="BA82" s="18"/>
      <c r="BC82" s="19"/>
      <c r="BD82" s="19"/>
      <c r="BE82" s="19"/>
      <c r="BF82" s="19"/>
      <c r="BG82" s="19"/>
      <c r="BI82" s="16">
        <f t="shared" si="16"/>
        <v>0</v>
      </c>
      <c r="BJ82" s="16">
        <f t="shared" si="17"/>
        <v>0</v>
      </c>
      <c r="BK82" s="16">
        <f t="shared" si="18"/>
        <v>3176.2</v>
      </c>
      <c r="BL82" s="16">
        <f t="shared" si="19"/>
        <v>3176.2</v>
      </c>
      <c r="BM82" s="16">
        <f t="shared" si="20"/>
        <v>3176.2</v>
      </c>
      <c r="BN82" s="16">
        <f t="shared" si="21"/>
        <v>3176.2</v>
      </c>
      <c r="BO82" s="16">
        <f t="shared" si="22"/>
        <v>3176.2</v>
      </c>
      <c r="BP82" s="16">
        <f t="shared" si="23"/>
        <v>0</v>
      </c>
    </row>
    <row r="83" spans="1:68" ht="12" customHeight="1" x14ac:dyDescent="0.25">
      <c r="A83" s="5">
        <f t="shared" si="25"/>
        <v>79</v>
      </c>
      <c r="B83" s="6" t="s">
        <v>163</v>
      </c>
      <c r="C83" s="7">
        <f t="shared" si="15"/>
        <v>10284.4</v>
      </c>
      <c r="D83" s="8">
        <v>10284.4</v>
      </c>
      <c r="E83" s="8">
        <v>0</v>
      </c>
      <c r="F83" s="8">
        <v>1304.9000000000001</v>
      </c>
      <c r="G83" s="9">
        <v>5</v>
      </c>
      <c r="H83" s="9">
        <v>0</v>
      </c>
      <c r="I83" s="9">
        <v>400</v>
      </c>
      <c r="J83" s="9">
        <v>0</v>
      </c>
      <c r="K83" s="9" t="s">
        <v>83</v>
      </c>
      <c r="L83" s="10" t="s">
        <v>71</v>
      </c>
      <c r="M83" s="10">
        <v>0</v>
      </c>
      <c r="N83" s="10" t="s">
        <v>72</v>
      </c>
      <c r="O83" s="10" t="s">
        <v>72</v>
      </c>
      <c r="P83" s="5" t="s">
        <v>143</v>
      </c>
      <c r="Q83" s="11">
        <v>3</v>
      </c>
      <c r="R83" s="12">
        <v>41.34</v>
      </c>
      <c r="S83" s="10">
        <v>4.68</v>
      </c>
      <c r="T83" s="10">
        <v>7.92</v>
      </c>
      <c r="U83" s="10">
        <v>12.32</v>
      </c>
      <c r="V83" s="10">
        <v>6.34</v>
      </c>
      <c r="W83" s="10">
        <v>2.89</v>
      </c>
      <c r="X83" s="10">
        <v>1.66</v>
      </c>
      <c r="Y83" s="10">
        <v>5.29</v>
      </c>
      <c r="Z83" s="10">
        <v>0.24</v>
      </c>
      <c r="AA83" s="13">
        <v>1.2E-2</v>
      </c>
      <c r="AB83" s="13">
        <v>1.2E-2</v>
      </c>
      <c r="AC83" s="14">
        <f t="shared" si="27"/>
        <v>7.1880000000000002E-4</v>
      </c>
      <c r="AD83" s="13">
        <f t="shared" si="28"/>
        <v>2.4E-2</v>
      </c>
      <c r="AE83" s="13">
        <v>3.23</v>
      </c>
      <c r="AF83" s="10">
        <v>4.29</v>
      </c>
      <c r="AG83" s="10">
        <v>3.17</v>
      </c>
      <c r="AH83" s="15">
        <v>5.9900000000000002E-2</v>
      </c>
      <c r="AI83" s="10">
        <f t="shared" si="26"/>
        <v>7.46</v>
      </c>
      <c r="AJ83" s="10">
        <v>0.02</v>
      </c>
      <c r="AK83" s="10">
        <v>10</v>
      </c>
      <c r="AL83" s="10">
        <v>0</v>
      </c>
      <c r="AM83" s="16">
        <v>40</v>
      </c>
      <c r="AN83" s="16">
        <v>40</v>
      </c>
      <c r="AO83" s="16">
        <v>2604.04</v>
      </c>
      <c r="AP83" s="10">
        <v>195.98199600000001</v>
      </c>
      <c r="AQ83" s="16">
        <v>42.3</v>
      </c>
      <c r="AR83" s="16">
        <v>2604.04</v>
      </c>
      <c r="AS83" s="10">
        <v>7.85</v>
      </c>
      <c r="AT83" s="13">
        <v>0</v>
      </c>
      <c r="AU83" s="10">
        <v>6.73</v>
      </c>
      <c r="AV83" s="17">
        <f t="shared" si="24"/>
        <v>104746.81420389203</v>
      </c>
      <c r="AW83" s="17">
        <v>44085.746834506841</v>
      </c>
      <c r="AX83" s="17">
        <v>39941.916700787246</v>
      </c>
      <c r="AY83" s="17">
        <v>20719.150668597937</v>
      </c>
      <c r="BA83" s="18"/>
      <c r="BC83" s="19"/>
      <c r="BD83" s="19"/>
      <c r="BE83" s="19"/>
      <c r="BF83" s="19"/>
      <c r="BG83" s="19"/>
      <c r="BI83" s="16">
        <f t="shared" si="16"/>
        <v>0</v>
      </c>
      <c r="BJ83" s="16">
        <f t="shared" si="17"/>
        <v>10284.4</v>
      </c>
      <c r="BK83" s="16">
        <f t="shared" si="18"/>
        <v>10284.4</v>
      </c>
      <c r="BL83" s="16">
        <f t="shared" si="19"/>
        <v>10284.4</v>
      </c>
      <c r="BM83" s="16">
        <f t="shared" si="20"/>
        <v>10284.4</v>
      </c>
      <c r="BN83" s="16">
        <f t="shared" si="21"/>
        <v>10284.4</v>
      </c>
      <c r="BO83" s="16">
        <f t="shared" si="22"/>
        <v>10284.4</v>
      </c>
      <c r="BP83" s="16">
        <f t="shared" si="23"/>
        <v>0</v>
      </c>
    </row>
    <row r="84" spans="1:68" ht="12" customHeight="1" x14ac:dyDescent="0.25">
      <c r="A84" s="5">
        <f t="shared" si="25"/>
        <v>80</v>
      </c>
      <c r="B84" s="6" t="s">
        <v>164</v>
      </c>
      <c r="C84" s="7">
        <f t="shared" si="15"/>
        <v>22940.107170224412</v>
      </c>
      <c r="D84" s="8">
        <v>22219.20717022441</v>
      </c>
      <c r="E84" s="8">
        <v>720.9</v>
      </c>
      <c r="F84" s="8">
        <v>5560</v>
      </c>
      <c r="G84" s="9">
        <v>4</v>
      </c>
      <c r="H84" s="9">
        <v>6</v>
      </c>
      <c r="I84" s="9">
        <v>400</v>
      </c>
      <c r="J84" s="9">
        <v>1000</v>
      </c>
      <c r="K84" s="9" t="s">
        <v>160</v>
      </c>
      <c r="L84" s="10" t="s">
        <v>71</v>
      </c>
      <c r="M84" s="10">
        <v>0</v>
      </c>
      <c r="N84" s="10" t="s">
        <v>72</v>
      </c>
      <c r="O84" s="10" t="s">
        <v>72</v>
      </c>
      <c r="P84" s="5" t="s">
        <v>143</v>
      </c>
      <c r="Q84" s="11">
        <v>1</v>
      </c>
      <c r="R84" s="21">
        <v>36.54</v>
      </c>
      <c r="S84" s="10">
        <v>4.03</v>
      </c>
      <c r="T84" s="10">
        <v>7</v>
      </c>
      <c r="U84" s="10">
        <v>11</v>
      </c>
      <c r="V84" s="10">
        <v>5.4</v>
      </c>
      <c r="W84" s="10">
        <v>2.67</v>
      </c>
      <c r="X84" s="10">
        <v>1.54</v>
      </c>
      <c r="Y84" s="10">
        <v>4.9000000000000004</v>
      </c>
      <c r="Z84" s="10">
        <v>0</v>
      </c>
      <c r="AA84" s="13">
        <v>5.0000000000000001E-3</v>
      </c>
      <c r="AB84" s="13">
        <v>5.0000000000000001E-3</v>
      </c>
      <c r="AC84" s="14">
        <f t="shared" si="27"/>
        <v>2.9950000000000002E-4</v>
      </c>
      <c r="AD84" s="13">
        <f t="shared" si="28"/>
        <v>0.01</v>
      </c>
      <c r="AE84" s="13">
        <v>3.23</v>
      </c>
      <c r="AF84" s="13">
        <v>4.4080000000000004</v>
      </c>
      <c r="AG84" s="13">
        <v>3.1920000000000002</v>
      </c>
      <c r="AH84" s="15">
        <v>5.9900000000000002E-2</v>
      </c>
      <c r="AI84" s="10">
        <f t="shared" si="26"/>
        <v>7.6000000000000005</v>
      </c>
      <c r="AJ84" s="10">
        <v>0.02</v>
      </c>
      <c r="AK84" s="13">
        <v>0</v>
      </c>
      <c r="AL84" s="10">
        <v>0</v>
      </c>
      <c r="AM84" s="16">
        <v>40</v>
      </c>
      <c r="AN84" s="16">
        <v>40</v>
      </c>
      <c r="AO84" s="16">
        <v>2604.04</v>
      </c>
      <c r="AP84" s="10">
        <v>195.98199600000001</v>
      </c>
      <c r="AQ84" s="16">
        <v>42.3</v>
      </c>
      <c r="AR84" s="16">
        <v>2604.04</v>
      </c>
      <c r="AS84" s="10">
        <v>0</v>
      </c>
      <c r="AT84" s="13">
        <v>0</v>
      </c>
      <c r="AU84" s="10">
        <v>5.05</v>
      </c>
      <c r="AV84" s="17">
        <f t="shared" si="24"/>
        <v>220133.63103397543</v>
      </c>
      <c r="AW84" s="17">
        <v>92649.654486328756</v>
      </c>
      <c r="AX84" s="17">
        <v>83941.056729638076</v>
      </c>
      <c r="AY84" s="17">
        <v>43542.919818008588</v>
      </c>
      <c r="BA84" s="18"/>
      <c r="BC84" s="19"/>
      <c r="BD84" s="19"/>
      <c r="BE84" s="19"/>
      <c r="BF84" s="19"/>
      <c r="BG84" s="19"/>
      <c r="BI84" s="16">
        <f t="shared" si="16"/>
        <v>22940.107170224412</v>
      </c>
      <c r="BJ84" s="16">
        <f t="shared" si="17"/>
        <v>0</v>
      </c>
      <c r="BK84" s="16">
        <f t="shared" si="18"/>
        <v>22940.107170224412</v>
      </c>
      <c r="BL84" s="16">
        <f t="shared" si="19"/>
        <v>22940.107170224412</v>
      </c>
      <c r="BM84" s="16">
        <f t="shared" si="20"/>
        <v>22940.107170224412</v>
      </c>
      <c r="BN84" s="16">
        <f t="shared" si="21"/>
        <v>22940.107170224412</v>
      </c>
      <c r="BO84" s="16">
        <f t="shared" si="22"/>
        <v>0</v>
      </c>
      <c r="BP84" s="16">
        <f t="shared" si="23"/>
        <v>22940.107170224412</v>
      </c>
    </row>
    <row r="85" spans="1:68" ht="12" customHeight="1" x14ac:dyDescent="0.25">
      <c r="A85" s="5">
        <f t="shared" si="25"/>
        <v>81</v>
      </c>
      <c r="B85" s="6" t="s">
        <v>165</v>
      </c>
      <c r="C85" s="7">
        <f t="shared" si="15"/>
        <v>3520.6</v>
      </c>
      <c r="D85" s="8">
        <v>3520.6</v>
      </c>
      <c r="E85" s="8">
        <v>0</v>
      </c>
      <c r="F85" s="8">
        <v>328.2</v>
      </c>
      <c r="G85" s="9">
        <v>0</v>
      </c>
      <c r="H85" s="9">
        <v>0</v>
      </c>
      <c r="I85" s="9">
        <v>0</v>
      </c>
      <c r="J85" s="9">
        <v>0</v>
      </c>
      <c r="K85" s="9" t="s">
        <v>83</v>
      </c>
      <c r="L85" s="10" t="s">
        <v>71</v>
      </c>
      <c r="M85" s="10">
        <v>0</v>
      </c>
      <c r="N85" s="10" t="s">
        <v>72</v>
      </c>
      <c r="O85" s="10" t="s">
        <v>72</v>
      </c>
      <c r="P85" s="5" t="s">
        <v>143</v>
      </c>
      <c r="Q85" s="11">
        <v>7</v>
      </c>
      <c r="R85" s="12">
        <v>28.44</v>
      </c>
      <c r="S85" s="10">
        <v>4.68</v>
      </c>
      <c r="T85" s="10">
        <v>6.05</v>
      </c>
      <c r="U85" s="10">
        <v>8.24</v>
      </c>
      <c r="V85" s="10">
        <v>6.34</v>
      </c>
      <c r="W85" s="10">
        <v>2.89</v>
      </c>
      <c r="X85" s="10">
        <v>0</v>
      </c>
      <c r="Y85" s="10">
        <v>0</v>
      </c>
      <c r="Z85" s="10">
        <v>0.24</v>
      </c>
      <c r="AA85" s="13">
        <v>1.2999999999999999E-2</v>
      </c>
      <c r="AB85" s="13">
        <v>1.2999999999999999E-2</v>
      </c>
      <c r="AC85" s="14">
        <f t="shared" si="27"/>
        <v>7.7870000000000001E-4</v>
      </c>
      <c r="AD85" s="13">
        <f t="shared" si="28"/>
        <v>2.5999999999999999E-2</v>
      </c>
      <c r="AE85" s="13">
        <v>0.68300000000000005</v>
      </c>
      <c r="AF85" s="10">
        <v>4.29</v>
      </c>
      <c r="AG85" s="10">
        <v>3.17</v>
      </c>
      <c r="AH85" s="15">
        <v>5.9900000000000002E-2</v>
      </c>
      <c r="AI85" s="10">
        <f t="shared" si="26"/>
        <v>7.46</v>
      </c>
      <c r="AJ85" s="10">
        <v>0.02</v>
      </c>
      <c r="AK85" s="10">
        <v>10</v>
      </c>
      <c r="AL85" s="10">
        <v>0</v>
      </c>
      <c r="AM85" s="16">
        <v>40</v>
      </c>
      <c r="AN85" s="16">
        <v>40</v>
      </c>
      <c r="AO85" s="16">
        <v>2604.04</v>
      </c>
      <c r="AP85" s="10">
        <v>195.98199600000001</v>
      </c>
      <c r="AQ85" s="16">
        <v>42.3</v>
      </c>
      <c r="AR85" s="16">
        <v>2604.04</v>
      </c>
      <c r="AS85" s="10">
        <v>7.85</v>
      </c>
      <c r="AT85" s="13">
        <v>0</v>
      </c>
      <c r="AU85" s="10">
        <v>6.73</v>
      </c>
      <c r="AV85" s="17">
        <f t="shared" si="24"/>
        <v>28785.459444212342</v>
      </c>
      <c r="AW85" s="17">
        <v>15102.508287523098</v>
      </c>
      <c r="AX85" s="17">
        <v>13682.951156689245</v>
      </c>
      <c r="AY85" s="17">
        <v>0</v>
      </c>
      <c r="BA85" s="18"/>
      <c r="BC85" s="19"/>
      <c r="BD85" s="19"/>
      <c r="BE85" s="19"/>
      <c r="BF85" s="19"/>
      <c r="BG85" s="19"/>
      <c r="BI85" s="16">
        <f t="shared" si="16"/>
        <v>0</v>
      </c>
      <c r="BJ85" s="16">
        <f t="shared" si="17"/>
        <v>0</v>
      </c>
      <c r="BK85" s="16">
        <f t="shared" si="18"/>
        <v>3520.6</v>
      </c>
      <c r="BL85" s="16">
        <f t="shared" si="19"/>
        <v>3520.6</v>
      </c>
      <c r="BM85" s="16">
        <f t="shared" si="20"/>
        <v>3520.6</v>
      </c>
      <c r="BN85" s="16">
        <f t="shared" si="21"/>
        <v>3520.6</v>
      </c>
      <c r="BO85" s="16">
        <f t="shared" si="22"/>
        <v>3520.6</v>
      </c>
      <c r="BP85" s="16">
        <f t="shared" si="23"/>
        <v>0</v>
      </c>
    </row>
    <row r="86" spans="1:68" ht="12" customHeight="1" x14ac:dyDescent="0.25">
      <c r="A86" s="5">
        <f t="shared" si="25"/>
        <v>82</v>
      </c>
      <c r="B86" s="6" t="s">
        <v>166</v>
      </c>
      <c r="C86" s="7">
        <f t="shared" si="15"/>
        <v>3523.58</v>
      </c>
      <c r="D86" s="8">
        <v>3523.58</v>
      </c>
      <c r="E86" s="8">
        <v>0</v>
      </c>
      <c r="F86" s="8">
        <v>313.8</v>
      </c>
      <c r="G86" s="9">
        <v>0</v>
      </c>
      <c r="H86" s="9">
        <v>0</v>
      </c>
      <c r="I86" s="9">
        <v>0</v>
      </c>
      <c r="J86" s="9">
        <v>0</v>
      </c>
      <c r="K86" s="9" t="s">
        <v>83</v>
      </c>
      <c r="L86" s="10" t="s">
        <v>71</v>
      </c>
      <c r="M86" s="10">
        <v>0</v>
      </c>
      <c r="N86" s="10" t="s">
        <v>72</v>
      </c>
      <c r="O86" s="10" t="s">
        <v>72</v>
      </c>
      <c r="P86" s="5" t="s">
        <v>143</v>
      </c>
      <c r="Q86" s="11">
        <v>7</v>
      </c>
      <c r="R86" s="12">
        <v>28.44</v>
      </c>
      <c r="S86" s="10">
        <v>4.68</v>
      </c>
      <c r="T86" s="10">
        <v>6.05</v>
      </c>
      <c r="U86" s="10">
        <v>8.24</v>
      </c>
      <c r="V86" s="10">
        <v>6.34</v>
      </c>
      <c r="W86" s="10">
        <v>2.89</v>
      </c>
      <c r="X86" s="10">
        <v>0</v>
      </c>
      <c r="Y86" s="10">
        <v>0</v>
      </c>
      <c r="Z86" s="10">
        <v>0.24</v>
      </c>
      <c r="AA86" s="13">
        <v>1.2999999999999999E-2</v>
      </c>
      <c r="AB86" s="13">
        <v>1.2999999999999999E-2</v>
      </c>
      <c r="AC86" s="14">
        <f t="shared" si="27"/>
        <v>7.7870000000000001E-4</v>
      </c>
      <c r="AD86" s="13">
        <f t="shared" si="28"/>
        <v>2.5999999999999999E-2</v>
      </c>
      <c r="AE86" s="13">
        <v>0.68300000000000005</v>
      </c>
      <c r="AF86" s="10">
        <v>4.29</v>
      </c>
      <c r="AG86" s="10">
        <v>3.17</v>
      </c>
      <c r="AH86" s="15">
        <v>5.9900000000000002E-2</v>
      </c>
      <c r="AI86" s="10">
        <f t="shared" si="26"/>
        <v>7.46</v>
      </c>
      <c r="AJ86" s="10">
        <v>0.02</v>
      </c>
      <c r="AK86" s="10">
        <v>10</v>
      </c>
      <c r="AL86" s="10">
        <v>0</v>
      </c>
      <c r="AM86" s="16">
        <v>40</v>
      </c>
      <c r="AN86" s="16">
        <v>40</v>
      </c>
      <c r="AO86" s="16">
        <v>2604.04</v>
      </c>
      <c r="AP86" s="10">
        <v>195.98199600000001</v>
      </c>
      <c r="AQ86" s="16">
        <v>42.3</v>
      </c>
      <c r="AR86" s="16">
        <v>2604.04</v>
      </c>
      <c r="AS86" s="10">
        <v>7.85</v>
      </c>
      <c r="AT86" s="13">
        <v>0</v>
      </c>
      <c r="AU86" s="10">
        <v>6.73</v>
      </c>
      <c r="AV86" s="17">
        <f t="shared" si="24"/>
        <v>28794.287021154509</v>
      </c>
      <c r="AW86" s="17">
        <v>15107.142765417735</v>
      </c>
      <c r="AX86" s="17">
        <v>13687.144255736775</v>
      </c>
      <c r="AY86" s="17">
        <v>0</v>
      </c>
      <c r="BA86" s="18"/>
      <c r="BC86" s="19"/>
      <c r="BD86" s="19"/>
      <c r="BE86" s="19"/>
      <c r="BF86" s="19"/>
      <c r="BG86" s="19"/>
      <c r="BI86" s="16">
        <f t="shared" si="16"/>
        <v>0</v>
      </c>
      <c r="BJ86" s="16">
        <f t="shared" si="17"/>
        <v>0</v>
      </c>
      <c r="BK86" s="16">
        <f t="shared" si="18"/>
        <v>3523.58</v>
      </c>
      <c r="BL86" s="16">
        <f t="shared" si="19"/>
        <v>3523.58</v>
      </c>
      <c r="BM86" s="16">
        <f t="shared" si="20"/>
        <v>3523.58</v>
      </c>
      <c r="BN86" s="16">
        <f t="shared" si="21"/>
        <v>3523.58</v>
      </c>
      <c r="BO86" s="16">
        <f t="shared" si="22"/>
        <v>3523.58</v>
      </c>
      <c r="BP86" s="16">
        <f t="shared" si="23"/>
        <v>0</v>
      </c>
    </row>
    <row r="87" spans="1:68" ht="12" customHeight="1" x14ac:dyDescent="0.25">
      <c r="A87" s="5">
        <f t="shared" si="25"/>
        <v>83</v>
      </c>
      <c r="B87" s="6" t="s">
        <v>167</v>
      </c>
      <c r="C87" s="7">
        <f t="shared" si="15"/>
        <v>3477.26</v>
      </c>
      <c r="D87" s="8">
        <v>3477.26</v>
      </c>
      <c r="E87" s="8">
        <v>0</v>
      </c>
      <c r="F87" s="8">
        <v>363.6</v>
      </c>
      <c r="G87" s="9">
        <v>0</v>
      </c>
      <c r="H87" s="9">
        <v>0</v>
      </c>
      <c r="I87" s="9">
        <v>0</v>
      </c>
      <c r="J87" s="9">
        <v>0</v>
      </c>
      <c r="K87" s="9" t="s">
        <v>83</v>
      </c>
      <c r="L87" s="10" t="s">
        <v>71</v>
      </c>
      <c r="M87" s="10">
        <v>0</v>
      </c>
      <c r="N87" s="10" t="s">
        <v>72</v>
      </c>
      <c r="O87" s="10" t="s">
        <v>72</v>
      </c>
      <c r="P87" s="5" t="s">
        <v>143</v>
      </c>
      <c r="Q87" s="11">
        <v>7</v>
      </c>
      <c r="R87" s="12">
        <v>28.44</v>
      </c>
      <c r="S87" s="10">
        <v>4.68</v>
      </c>
      <c r="T87" s="10">
        <v>6.05</v>
      </c>
      <c r="U87" s="10">
        <v>8.24</v>
      </c>
      <c r="V87" s="10">
        <v>6.34</v>
      </c>
      <c r="W87" s="10">
        <v>2.89</v>
      </c>
      <c r="X87" s="10">
        <v>0</v>
      </c>
      <c r="Y87" s="10">
        <v>0</v>
      </c>
      <c r="Z87" s="10">
        <v>0.24</v>
      </c>
      <c r="AA87" s="13">
        <v>1.2999999999999999E-2</v>
      </c>
      <c r="AB87" s="13">
        <v>1.2999999999999999E-2</v>
      </c>
      <c r="AC87" s="14">
        <f t="shared" si="27"/>
        <v>7.7870000000000001E-4</v>
      </c>
      <c r="AD87" s="13">
        <f t="shared" si="28"/>
        <v>2.5999999999999999E-2</v>
      </c>
      <c r="AE87" s="13">
        <v>0.68300000000000005</v>
      </c>
      <c r="AF87" s="10">
        <v>4.29</v>
      </c>
      <c r="AG87" s="10">
        <v>3.17</v>
      </c>
      <c r="AH87" s="15">
        <v>5.9900000000000002E-2</v>
      </c>
      <c r="AI87" s="10">
        <f t="shared" si="26"/>
        <v>7.46</v>
      </c>
      <c r="AJ87" s="10">
        <v>0.02</v>
      </c>
      <c r="AK87" s="10">
        <v>10</v>
      </c>
      <c r="AL87" s="10">
        <v>0</v>
      </c>
      <c r="AM87" s="16">
        <v>40</v>
      </c>
      <c r="AN87" s="16">
        <v>40</v>
      </c>
      <c r="AO87" s="16">
        <v>2604.04</v>
      </c>
      <c r="AP87" s="10">
        <v>195.98199600000001</v>
      </c>
      <c r="AQ87" s="16">
        <v>42.3</v>
      </c>
      <c r="AR87" s="16">
        <v>2604.04</v>
      </c>
      <c r="AS87" s="10">
        <v>7.85</v>
      </c>
      <c r="AT87" s="13">
        <v>0</v>
      </c>
      <c r="AU87" s="10">
        <v>6.73</v>
      </c>
      <c r="AV87" s="17">
        <f t="shared" si="24"/>
        <v>28254.839311454431</v>
      </c>
      <c r="AW87" s="17">
        <v>14824.122372798562</v>
      </c>
      <c r="AX87" s="17">
        <v>13430.716938655869</v>
      </c>
      <c r="AY87" s="17">
        <v>0</v>
      </c>
      <c r="BA87" s="18"/>
      <c r="BC87" s="19"/>
      <c r="BD87" s="19"/>
      <c r="BE87" s="19"/>
      <c r="BF87" s="19"/>
      <c r="BG87" s="19"/>
      <c r="BI87" s="16">
        <f t="shared" si="16"/>
        <v>0</v>
      </c>
      <c r="BJ87" s="16">
        <f t="shared" si="17"/>
        <v>0</v>
      </c>
      <c r="BK87" s="16">
        <f t="shared" si="18"/>
        <v>3477.26</v>
      </c>
      <c r="BL87" s="16">
        <f t="shared" si="19"/>
        <v>3477.26</v>
      </c>
      <c r="BM87" s="16">
        <f t="shared" si="20"/>
        <v>3477.26</v>
      </c>
      <c r="BN87" s="16">
        <f t="shared" si="21"/>
        <v>3477.26</v>
      </c>
      <c r="BO87" s="16">
        <f t="shared" si="22"/>
        <v>3477.26</v>
      </c>
      <c r="BP87" s="16">
        <f t="shared" si="23"/>
        <v>0</v>
      </c>
    </row>
    <row r="88" spans="1:68" ht="12" customHeight="1" x14ac:dyDescent="0.25">
      <c r="A88" s="5">
        <f t="shared" si="25"/>
        <v>84</v>
      </c>
      <c r="B88" s="6" t="s">
        <v>168</v>
      </c>
      <c r="C88" s="7">
        <f t="shared" si="15"/>
        <v>3071.9</v>
      </c>
      <c r="D88" s="8">
        <v>3071.9</v>
      </c>
      <c r="E88" s="8">
        <v>0</v>
      </c>
      <c r="F88" s="8">
        <v>340.85</v>
      </c>
      <c r="G88" s="9">
        <v>1</v>
      </c>
      <c r="H88" s="9">
        <v>0</v>
      </c>
      <c r="I88" s="9">
        <v>400</v>
      </c>
      <c r="J88" s="9">
        <v>0</v>
      </c>
      <c r="K88" s="9" t="s">
        <v>83</v>
      </c>
      <c r="L88" s="10" t="s">
        <v>71</v>
      </c>
      <c r="M88" s="10">
        <v>0</v>
      </c>
      <c r="N88" s="10" t="s">
        <v>72</v>
      </c>
      <c r="O88" s="10" t="s">
        <v>72</v>
      </c>
      <c r="P88" s="5" t="s">
        <v>143</v>
      </c>
      <c r="Q88" s="11">
        <v>3</v>
      </c>
      <c r="R88" s="12">
        <v>41.34</v>
      </c>
      <c r="S88" s="10">
        <v>4.68</v>
      </c>
      <c r="T88" s="10">
        <v>7.92</v>
      </c>
      <c r="U88" s="10">
        <v>12.32</v>
      </c>
      <c r="V88" s="10">
        <v>6.34</v>
      </c>
      <c r="W88" s="10">
        <v>2.89</v>
      </c>
      <c r="X88" s="10">
        <v>1.66</v>
      </c>
      <c r="Y88" s="10">
        <v>5.29</v>
      </c>
      <c r="Z88" s="10">
        <v>0.24</v>
      </c>
      <c r="AA88" s="13">
        <v>1.2E-2</v>
      </c>
      <c r="AB88" s="13">
        <v>1.2E-2</v>
      </c>
      <c r="AC88" s="14">
        <f t="shared" si="27"/>
        <v>7.1880000000000002E-4</v>
      </c>
      <c r="AD88" s="13">
        <f t="shared" si="28"/>
        <v>2.4E-2</v>
      </c>
      <c r="AE88" s="13">
        <v>3.23</v>
      </c>
      <c r="AF88" s="10">
        <v>4.29</v>
      </c>
      <c r="AG88" s="10">
        <v>3.17</v>
      </c>
      <c r="AH88" s="15">
        <v>5.9900000000000002E-2</v>
      </c>
      <c r="AI88" s="10">
        <f t="shared" si="26"/>
        <v>7.46</v>
      </c>
      <c r="AJ88" s="10">
        <v>0.02</v>
      </c>
      <c r="AK88" s="10">
        <v>10</v>
      </c>
      <c r="AL88" s="10">
        <v>0</v>
      </c>
      <c r="AM88" s="16">
        <v>40</v>
      </c>
      <c r="AN88" s="16">
        <v>40</v>
      </c>
      <c r="AO88" s="16">
        <v>2604.04</v>
      </c>
      <c r="AP88" s="10">
        <v>195.98199600000001</v>
      </c>
      <c r="AQ88" s="16">
        <v>42.3</v>
      </c>
      <c r="AR88" s="16">
        <v>2604.04</v>
      </c>
      <c r="AS88" s="10">
        <v>7.85</v>
      </c>
      <c r="AT88" s="13">
        <v>0</v>
      </c>
      <c r="AU88" s="10">
        <v>6.73</v>
      </c>
      <c r="AV88" s="17">
        <f t="shared" si="24"/>
        <v>62053.410735677018</v>
      </c>
      <c r="AW88" s="17">
        <v>26116.979486218883</v>
      </c>
      <c r="AX88" s="17">
        <v>23662.126890225787</v>
      </c>
      <c r="AY88" s="17">
        <v>12274.304359232347</v>
      </c>
      <c r="BA88" s="18"/>
      <c r="BC88" s="19"/>
      <c r="BD88" s="19"/>
      <c r="BE88" s="19"/>
      <c r="BF88" s="19"/>
      <c r="BG88" s="19"/>
      <c r="BI88" s="16">
        <f t="shared" si="16"/>
        <v>0</v>
      </c>
      <c r="BJ88" s="16">
        <f t="shared" si="17"/>
        <v>3071.9</v>
      </c>
      <c r="BK88" s="16">
        <f t="shared" si="18"/>
        <v>3071.9</v>
      </c>
      <c r="BL88" s="16">
        <f t="shared" si="19"/>
        <v>3071.9</v>
      </c>
      <c r="BM88" s="16">
        <f t="shared" si="20"/>
        <v>3071.9</v>
      </c>
      <c r="BN88" s="16">
        <f t="shared" si="21"/>
        <v>3071.9</v>
      </c>
      <c r="BO88" s="16">
        <f t="shared" si="22"/>
        <v>3071.9</v>
      </c>
      <c r="BP88" s="16">
        <f t="shared" si="23"/>
        <v>0</v>
      </c>
    </row>
    <row r="89" spans="1:68" ht="12" customHeight="1" x14ac:dyDescent="0.25">
      <c r="A89" s="5">
        <f t="shared" si="25"/>
        <v>85</v>
      </c>
      <c r="B89" s="6" t="s">
        <v>169</v>
      </c>
      <c r="C89" s="7">
        <f t="shared" si="15"/>
        <v>3039.4</v>
      </c>
      <c r="D89" s="8">
        <v>3039.4</v>
      </c>
      <c r="E89" s="8">
        <v>0</v>
      </c>
      <c r="F89" s="8">
        <v>337.25</v>
      </c>
      <c r="G89" s="9">
        <v>1</v>
      </c>
      <c r="H89" s="9">
        <v>0</v>
      </c>
      <c r="I89" s="9">
        <v>400</v>
      </c>
      <c r="J89" s="9">
        <v>0</v>
      </c>
      <c r="K89" s="9" t="s">
        <v>83</v>
      </c>
      <c r="L89" s="10" t="s">
        <v>71</v>
      </c>
      <c r="M89" s="10">
        <v>0</v>
      </c>
      <c r="N89" s="10" t="s">
        <v>72</v>
      </c>
      <c r="O89" s="10" t="s">
        <v>72</v>
      </c>
      <c r="P89" s="5" t="s">
        <v>143</v>
      </c>
      <c r="Q89" s="11">
        <v>3</v>
      </c>
      <c r="R89" s="12">
        <v>41.34</v>
      </c>
      <c r="S89" s="10">
        <v>4.68</v>
      </c>
      <c r="T89" s="10">
        <v>7.92</v>
      </c>
      <c r="U89" s="10">
        <v>12.32</v>
      </c>
      <c r="V89" s="10">
        <v>6.34</v>
      </c>
      <c r="W89" s="10">
        <v>2.89</v>
      </c>
      <c r="X89" s="10">
        <v>1.66</v>
      </c>
      <c r="Y89" s="10">
        <v>5.29</v>
      </c>
      <c r="Z89" s="10">
        <v>0.24</v>
      </c>
      <c r="AA89" s="13">
        <v>1.2E-2</v>
      </c>
      <c r="AB89" s="13">
        <v>1.2E-2</v>
      </c>
      <c r="AC89" s="14">
        <f t="shared" si="27"/>
        <v>7.1880000000000002E-4</v>
      </c>
      <c r="AD89" s="13">
        <f t="shared" si="28"/>
        <v>2.4E-2</v>
      </c>
      <c r="AE89" s="13">
        <v>3.23</v>
      </c>
      <c r="AF89" s="10">
        <v>4.29</v>
      </c>
      <c r="AG89" s="10">
        <v>3.17</v>
      </c>
      <c r="AH89" s="15">
        <v>5.9900000000000002E-2</v>
      </c>
      <c r="AI89" s="10">
        <f t="shared" si="26"/>
        <v>7.46</v>
      </c>
      <c r="AJ89" s="10">
        <v>0.02</v>
      </c>
      <c r="AK89" s="10">
        <v>10</v>
      </c>
      <c r="AL89" s="10">
        <v>0</v>
      </c>
      <c r="AM89" s="16">
        <v>40</v>
      </c>
      <c r="AN89" s="16">
        <v>40</v>
      </c>
      <c r="AO89" s="16">
        <v>2604.04</v>
      </c>
      <c r="AP89" s="10">
        <v>195.98199600000001</v>
      </c>
      <c r="AQ89" s="16">
        <v>42.3</v>
      </c>
      <c r="AR89" s="16">
        <v>2604.04</v>
      </c>
      <c r="AS89" s="10">
        <v>7.85</v>
      </c>
      <c r="AT89" s="13">
        <v>0</v>
      </c>
      <c r="AU89" s="10">
        <v>6.73</v>
      </c>
      <c r="AV89" s="17">
        <f t="shared" si="24"/>
        <v>62053.410735677018</v>
      </c>
      <c r="AW89" s="17">
        <v>26116.979486218883</v>
      </c>
      <c r="AX89" s="17">
        <v>23662.126890225787</v>
      </c>
      <c r="AY89" s="17">
        <v>12274.304359232347</v>
      </c>
      <c r="BA89" s="18"/>
      <c r="BC89" s="19"/>
      <c r="BD89" s="19"/>
      <c r="BE89" s="19"/>
      <c r="BF89" s="19"/>
      <c r="BG89" s="19"/>
      <c r="BI89" s="16">
        <f t="shared" si="16"/>
        <v>0</v>
      </c>
      <c r="BJ89" s="16">
        <f t="shared" si="17"/>
        <v>3039.4</v>
      </c>
      <c r="BK89" s="16">
        <f t="shared" si="18"/>
        <v>3039.4</v>
      </c>
      <c r="BL89" s="16">
        <f t="shared" si="19"/>
        <v>3039.4</v>
      </c>
      <c r="BM89" s="16">
        <f t="shared" si="20"/>
        <v>3039.4</v>
      </c>
      <c r="BN89" s="16">
        <f t="shared" si="21"/>
        <v>3039.4</v>
      </c>
      <c r="BO89" s="16">
        <f t="shared" si="22"/>
        <v>3039.4</v>
      </c>
      <c r="BP89" s="16">
        <f t="shared" si="23"/>
        <v>0</v>
      </c>
    </row>
    <row r="90" spans="1:68" ht="12" customHeight="1" x14ac:dyDescent="0.25">
      <c r="A90" s="5">
        <f t="shared" si="25"/>
        <v>86</v>
      </c>
      <c r="B90" s="6" t="s">
        <v>170</v>
      </c>
      <c r="C90" s="7">
        <f t="shared" si="15"/>
        <v>8990.7000000000007</v>
      </c>
      <c r="D90" s="8">
        <v>8990.7000000000007</v>
      </c>
      <c r="E90" s="8">
        <v>0</v>
      </c>
      <c r="F90" s="8">
        <v>835.8</v>
      </c>
      <c r="G90" s="9">
        <v>6</v>
      </c>
      <c r="H90" s="9">
        <v>0</v>
      </c>
      <c r="I90" s="9">
        <v>400</v>
      </c>
      <c r="J90" s="9">
        <v>0</v>
      </c>
      <c r="K90" s="9" t="s">
        <v>83</v>
      </c>
      <c r="L90" s="10" t="s">
        <v>71</v>
      </c>
      <c r="M90" s="10">
        <v>0</v>
      </c>
      <c r="N90" s="10" t="s">
        <v>72</v>
      </c>
      <c r="O90" s="10" t="s">
        <v>72</v>
      </c>
      <c r="P90" s="5" t="s">
        <v>143</v>
      </c>
      <c r="Q90" s="11">
        <v>3</v>
      </c>
      <c r="R90" s="12">
        <v>41.34</v>
      </c>
      <c r="S90" s="10">
        <v>4.68</v>
      </c>
      <c r="T90" s="10">
        <v>7.92</v>
      </c>
      <c r="U90" s="10">
        <v>12.32</v>
      </c>
      <c r="V90" s="10">
        <v>6.34</v>
      </c>
      <c r="W90" s="10">
        <v>2.89</v>
      </c>
      <c r="X90" s="10">
        <v>1.66</v>
      </c>
      <c r="Y90" s="10">
        <v>5.29</v>
      </c>
      <c r="Z90" s="10">
        <v>0.24</v>
      </c>
      <c r="AA90" s="13">
        <v>1.2E-2</v>
      </c>
      <c r="AB90" s="13">
        <v>1.2E-2</v>
      </c>
      <c r="AC90" s="14">
        <f t="shared" si="27"/>
        <v>7.1880000000000002E-4</v>
      </c>
      <c r="AD90" s="13">
        <f t="shared" si="28"/>
        <v>2.4E-2</v>
      </c>
      <c r="AE90" s="13">
        <v>3.23</v>
      </c>
      <c r="AF90" s="10">
        <v>4.29</v>
      </c>
      <c r="AG90" s="10">
        <v>3.17</v>
      </c>
      <c r="AH90" s="15">
        <v>5.9900000000000002E-2</v>
      </c>
      <c r="AI90" s="10">
        <f t="shared" si="26"/>
        <v>7.46</v>
      </c>
      <c r="AJ90" s="10">
        <v>0.02</v>
      </c>
      <c r="AK90" s="10">
        <v>10</v>
      </c>
      <c r="AL90" s="10">
        <v>0</v>
      </c>
      <c r="AM90" s="16">
        <v>40</v>
      </c>
      <c r="AN90" s="16">
        <v>40</v>
      </c>
      <c r="AO90" s="16">
        <v>2604.04</v>
      </c>
      <c r="AP90" s="10">
        <v>195.98199600000001</v>
      </c>
      <c r="AQ90" s="16">
        <v>42.3</v>
      </c>
      <c r="AR90" s="16">
        <v>2604.04</v>
      </c>
      <c r="AS90" s="10">
        <v>7.85</v>
      </c>
      <c r="AT90" s="13">
        <v>0</v>
      </c>
      <c r="AU90" s="10">
        <v>6.73</v>
      </c>
      <c r="AV90" s="17">
        <f t="shared" si="24"/>
        <v>91576.703888275588</v>
      </c>
      <c r="AW90" s="17">
        <v>38542.718169276261</v>
      </c>
      <c r="AX90" s="17">
        <v>34919.908178389975</v>
      </c>
      <c r="AY90" s="17">
        <v>18114.07754060936</v>
      </c>
      <c r="BA90" s="18"/>
      <c r="BC90" s="19"/>
      <c r="BD90" s="19"/>
      <c r="BE90" s="19"/>
      <c r="BF90" s="19"/>
      <c r="BG90" s="19"/>
      <c r="BI90" s="16">
        <f t="shared" si="16"/>
        <v>0</v>
      </c>
      <c r="BJ90" s="16">
        <f t="shared" si="17"/>
        <v>8990.7000000000007</v>
      </c>
      <c r="BK90" s="16">
        <f t="shared" si="18"/>
        <v>8990.7000000000007</v>
      </c>
      <c r="BL90" s="16">
        <f t="shared" si="19"/>
        <v>8990.7000000000007</v>
      </c>
      <c r="BM90" s="16">
        <f t="shared" si="20"/>
        <v>8990.7000000000007</v>
      </c>
      <c r="BN90" s="16">
        <f t="shared" si="21"/>
        <v>8990.7000000000007</v>
      </c>
      <c r="BO90" s="16">
        <f t="shared" si="22"/>
        <v>8990.7000000000007</v>
      </c>
      <c r="BP90" s="16">
        <f t="shared" si="23"/>
        <v>0</v>
      </c>
    </row>
    <row r="91" spans="1:68" ht="12" customHeight="1" x14ac:dyDescent="0.25">
      <c r="A91" s="5">
        <f t="shared" si="25"/>
        <v>87</v>
      </c>
      <c r="B91" s="6" t="s">
        <v>171</v>
      </c>
      <c r="C91" s="7">
        <f t="shared" si="15"/>
        <v>3242.2</v>
      </c>
      <c r="D91" s="8">
        <v>2712.7</v>
      </c>
      <c r="E91" s="8">
        <v>529.5</v>
      </c>
      <c r="F91" s="8">
        <v>305.5</v>
      </c>
      <c r="G91" s="9">
        <v>0</v>
      </c>
      <c r="H91" s="9">
        <v>0</v>
      </c>
      <c r="I91" s="9">
        <v>0</v>
      </c>
      <c r="J91" s="9">
        <v>0</v>
      </c>
      <c r="K91" s="9" t="s">
        <v>71</v>
      </c>
      <c r="L91" s="10" t="s">
        <v>71</v>
      </c>
      <c r="M91" s="10">
        <v>0</v>
      </c>
      <c r="N91" s="10" t="s">
        <v>72</v>
      </c>
      <c r="O91" s="10" t="s">
        <v>72</v>
      </c>
      <c r="P91" s="5" t="s">
        <v>143</v>
      </c>
      <c r="Q91" s="11">
        <v>7</v>
      </c>
      <c r="R91" s="12">
        <v>28.44</v>
      </c>
      <c r="S91" s="10">
        <v>4.68</v>
      </c>
      <c r="T91" s="10">
        <v>6.05</v>
      </c>
      <c r="U91" s="10">
        <v>8.24</v>
      </c>
      <c r="V91" s="10">
        <v>6.34</v>
      </c>
      <c r="W91" s="10">
        <v>2.89</v>
      </c>
      <c r="X91" s="10">
        <v>0</v>
      </c>
      <c r="Y91" s="10">
        <v>0</v>
      </c>
      <c r="Z91" s="10">
        <v>0.24</v>
      </c>
      <c r="AA91" s="13">
        <v>1.2999999999999999E-2</v>
      </c>
      <c r="AB91" s="13">
        <v>1.2999999999999999E-2</v>
      </c>
      <c r="AC91" s="14">
        <f t="shared" si="27"/>
        <v>7.7870000000000001E-4</v>
      </c>
      <c r="AD91" s="13">
        <f t="shared" si="28"/>
        <v>2.5999999999999999E-2</v>
      </c>
      <c r="AE91" s="13">
        <v>0.68300000000000005</v>
      </c>
      <c r="AF91" s="10">
        <v>4.29</v>
      </c>
      <c r="AG91" s="10">
        <v>3.17</v>
      </c>
      <c r="AH91" s="15">
        <v>5.9900000000000002E-2</v>
      </c>
      <c r="AI91" s="10">
        <f t="shared" si="26"/>
        <v>7.46</v>
      </c>
      <c r="AJ91" s="10">
        <v>0.02</v>
      </c>
      <c r="AK91" s="10">
        <v>10</v>
      </c>
      <c r="AL91" s="10">
        <v>0</v>
      </c>
      <c r="AM91" s="16">
        <v>40</v>
      </c>
      <c r="AN91" s="16">
        <v>40</v>
      </c>
      <c r="AO91" s="16">
        <v>2604.04</v>
      </c>
      <c r="AP91" s="10">
        <v>195.98199600000001</v>
      </c>
      <c r="AQ91" s="16">
        <v>42.3</v>
      </c>
      <c r="AR91" s="16">
        <v>2604.04</v>
      </c>
      <c r="AS91" s="10">
        <v>7.85</v>
      </c>
      <c r="AT91" s="13">
        <v>0</v>
      </c>
      <c r="AU91" s="10">
        <v>6.73</v>
      </c>
      <c r="AV91" s="17">
        <f t="shared" si="24"/>
        <v>25539.159402998335</v>
      </c>
      <c r="AW91" s="17">
        <v>13399.310075066329</v>
      </c>
      <c r="AX91" s="17">
        <v>12139.849327932006</v>
      </c>
      <c r="AY91" s="17">
        <v>0</v>
      </c>
      <c r="BA91" s="18"/>
      <c r="BC91" s="19"/>
      <c r="BD91" s="19"/>
      <c r="BE91" s="19"/>
      <c r="BF91" s="19"/>
      <c r="BG91" s="19"/>
      <c r="BI91" s="16">
        <f t="shared" si="16"/>
        <v>0</v>
      </c>
      <c r="BJ91" s="16">
        <f t="shared" si="17"/>
        <v>0</v>
      </c>
      <c r="BK91" s="16">
        <f t="shared" si="18"/>
        <v>3242.2</v>
      </c>
      <c r="BL91" s="16">
        <f t="shared" si="19"/>
        <v>3242.2</v>
      </c>
      <c r="BM91" s="16">
        <f t="shared" si="20"/>
        <v>3242.2</v>
      </c>
      <c r="BN91" s="16">
        <f t="shared" si="21"/>
        <v>3242.2</v>
      </c>
      <c r="BO91" s="16">
        <f t="shared" si="22"/>
        <v>3242.2</v>
      </c>
      <c r="BP91" s="16">
        <f t="shared" si="23"/>
        <v>0</v>
      </c>
    </row>
    <row r="92" spans="1:68" ht="12" customHeight="1" x14ac:dyDescent="0.25">
      <c r="A92" s="5">
        <f t="shared" si="25"/>
        <v>88</v>
      </c>
      <c r="B92" s="6" t="s">
        <v>172</v>
      </c>
      <c r="C92" s="7">
        <f t="shared" si="15"/>
        <v>3473.5</v>
      </c>
      <c r="D92" s="8">
        <v>3473.5</v>
      </c>
      <c r="E92" s="8">
        <v>0</v>
      </c>
      <c r="F92" s="8">
        <v>325.60000000000002</v>
      </c>
      <c r="G92" s="9">
        <v>0</v>
      </c>
      <c r="H92" s="9">
        <v>0</v>
      </c>
      <c r="I92" s="9">
        <v>0</v>
      </c>
      <c r="J92" s="9">
        <v>0</v>
      </c>
      <c r="K92" s="9" t="s">
        <v>83</v>
      </c>
      <c r="L92" s="10" t="s">
        <v>71</v>
      </c>
      <c r="M92" s="10">
        <v>0</v>
      </c>
      <c r="N92" s="10" t="s">
        <v>72</v>
      </c>
      <c r="O92" s="10" t="s">
        <v>72</v>
      </c>
      <c r="P92" s="5" t="s">
        <v>143</v>
      </c>
      <c r="Q92" s="11">
        <v>7</v>
      </c>
      <c r="R92" s="12">
        <v>28.44</v>
      </c>
      <c r="S92" s="10">
        <v>4.68</v>
      </c>
      <c r="T92" s="10">
        <v>6.05</v>
      </c>
      <c r="U92" s="10">
        <v>8.24</v>
      </c>
      <c r="V92" s="10">
        <v>6.34</v>
      </c>
      <c r="W92" s="10">
        <v>2.89</v>
      </c>
      <c r="X92" s="10">
        <v>0</v>
      </c>
      <c r="Y92" s="10">
        <v>0</v>
      </c>
      <c r="Z92" s="10">
        <v>0.24</v>
      </c>
      <c r="AA92" s="13">
        <v>1.2999999999999999E-2</v>
      </c>
      <c r="AB92" s="13">
        <v>1.2999999999999999E-2</v>
      </c>
      <c r="AC92" s="14">
        <f t="shared" si="27"/>
        <v>7.7870000000000001E-4</v>
      </c>
      <c r="AD92" s="13">
        <f t="shared" si="28"/>
        <v>2.5999999999999999E-2</v>
      </c>
      <c r="AE92" s="13">
        <v>0.68300000000000005</v>
      </c>
      <c r="AF92" s="10">
        <v>4.29</v>
      </c>
      <c r="AG92" s="10">
        <v>3.17</v>
      </c>
      <c r="AH92" s="15">
        <v>5.9900000000000002E-2</v>
      </c>
      <c r="AI92" s="10">
        <f t="shared" si="26"/>
        <v>7.46</v>
      </c>
      <c r="AJ92" s="10">
        <v>0.02</v>
      </c>
      <c r="AK92" s="10">
        <v>10</v>
      </c>
      <c r="AL92" s="10">
        <v>0</v>
      </c>
      <c r="AM92" s="16">
        <v>40</v>
      </c>
      <c r="AN92" s="16">
        <v>40</v>
      </c>
      <c r="AO92" s="16">
        <v>2604.04</v>
      </c>
      <c r="AP92" s="10">
        <v>195.98199600000001</v>
      </c>
      <c r="AQ92" s="16">
        <v>42.3</v>
      </c>
      <c r="AR92" s="16">
        <v>2604.04</v>
      </c>
      <c r="AS92" s="10">
        <v>7.85</v>
      </c>
      <c r="AT92" s="13">
        <v>0</v>
      </c>
      <c r="AU92" s="10">
        <v>6.73</v>
      </c>
      <c r="AV92" s="17">
        <f t="shared" si="24"/>
        <v>28379.377111783811</v>
      </c>
      <c r="AW92" s="17">
        <v>14889.46023525955</v>
      </c>
      <c r="AX92" s="17">
        <v>13489.916876524259</v>
      </c>
      <c r="AY92" s="17">
        <v>0</v>
      </c>
      <c r="BA92" s="18"/>
      <c r="BC92" s="19"/>
      <c r="BD92" s="19"/>
      <c r="BE92" s="19"/>
      <c r="BF92" s="19"/>
      <c r="BG92" s="19"/>
      <c r="BI92" s="16">
        <f t="shared" si="16"/>
        <v>0</v>
      </c>
      <c r="BJ92" s="16">
        <f t="shared" si="17"/>
        <v>0</v>
      </c>
      <c r="BK92" s="16">
        <f t="shared" si="18"/>
        <v>3473.5</v>
      </c>
      <c r="BL92" s="16">
        <f t="shared" si="19"/>
        <v>3473.5</v>
      </c>
      <c r="BM92" s="16">
        <f t="shared" si="20"/>
        <v>3473.5</v>
      </c>
      <c r="BN92" s="16">
        <f t="shared" si="21"/>
        <v>3473.5</v>
      </c>
      <c r="BO92" s="16">
        <f t="shared" si="22"/>
        <v>3473.5</v>
      </c>
      <c r="BP92" s="16">
        <f t="shared" si="23"/>
        <v>0</v>
      </c>
    </row>
    <row r="93" spans="1:68" ht="12" customHeight="1" x14ac:dyDescent="0.25">
      <c r="A93" s="5">
        <f t="shared" si="25"/>
        <v>89</v>
      </c>
      <c r="B93" s="6" t="s">
        <v>173</v>
      </c>
      <c r="C93" s="7">
        <f t="shared" si="15"/>
        <v>3480.2</v>
      </c>
      <c r="D93" s="8">
        <v>3480.2</v>
      </c>
      <c r="E93" s="8">
        <v>0</v>
      </c>
      <c r="F93" s="8">
        <v>307.7</v>
      </c>
      <c r="G93" s="9">
        <v>0</v>
      </c>
      <c r="H93" s="9">
        <v>0</v>
      </c>
      <c r="I93" s="9">
        <v>0</v>
      </c>
      <c r="J93" s="9">
        <v>0</v>
      </c>
      <c r="K93" s="9" t="s">
        <v>83</v>
      </c>
      <c r="L93" s="10" t="s">
        <v>71</v>
      </c>
      <c r="M93" s="10">
        <v>0</v>
      </c>
      <c r="N93" s="10" t="s">
        <v>72</v>
      </c>
      <c r="O93" s="10" t="s">
        <v>72</v>
      </c>
      <c r="P93" s="5" t="s">
        <v>143</v>
      </c>
      <c r="Q93" s="11">
        <v>7</v>
      </c>
      <c r="R93" s="12">
        <v>28.44</v>
      </c>
      <c r="S93" s="10">
        <v>4.68</v>
      </c>
      <c r="T93" s="10">
        <v>6.05</v>
      </c>
      <c r="U93" s="10">
        <v>8.24</v>
      </c>
      <c r="V93" s="10">
        <v>6.34</v>
      </c>
      <c r="W93" s="10">
        <v>2.89</v>
      </c>
      <c r="X93" s="10">
        <v>0</v>
      </c>
      <c r="Y93" s="10">
        <v>0</v>
      </c>
      <c r="Z93" s="10">
        <v>0.24</v>
      </c>
      <c r="AA93" s="13">
        <v>1.2999999999999999E-2</v>
      </c>
      <c r="AB93" s="13">
        <v>1.2999999999999999E-2</v>
      </c>
      <c r="AC93" s="14">
        <f t="shared" si="27"/>
        <v>7.7870000000000001E-4</v>
      </c>
      <c r="AD93" s="13">
        <f t="shared" si="28"/>
        <v>2.5999999999999999E-2</v>
      </c>
      <c r="AE93" s="13">
        <v>0.68300000000000005</v>
      </c>
      <c r="AF93" s="10">
        <v>4.29</v>
      </c>
      <c r="AG93" s="10">
        <v>3.17</v>
      </c>
      <c r="AH93" s="15">
        <v>5.9900000000000002E-2</v>
      </c>
      <c r="AI93" s="10">
        <f t="shared" si="26"/>
        <v>7.46</v>
      </c>
      <c r="AJ93" s="10">
        <v>0.02</v>
      </c>
      <c r="AK93" s="10">
        <v>10</v>
      </c>
      <c r="AL93" s="10">
        <v>0</v>
      </c>
      <c r="AM93" s="16">
        <v>40</v>
      </c>
      <c r="AN93" s="16">
        <v>40</v>
      </c>
      <c r="AO93" s="16">
        <v>2604.04</v>
      </c>
      <c r="AP93" s="10">
        <v>195.98199600000001</v>
      </c>
      <c r="AQ93" s="16">
        <v>42.3</v>
      </c>
      <c r="AR93" s="16">
        <v>2604.04</v>
      </c>
      <c r="AS93" s="10">
        <v>7.85</v>
      </c>
      <c r="AT93" s="13">
        <v>0</v>
      </c>
      <c r="AU93" s="10">
        <v>6.73</v>
      </c>
      <c r="AV93" s="17">
        <f t="shared" si="24"/>
        <v>28431.666712077167</v>
      </c>
      <c r="AW93" s="17">
        <v>14916.894689225122</v>
      </c>
      <c r="AX93" s="17">
        <v>13514.772022852045</v>
      </c>
      <c r="AY93" s="17">
        <v>0</v>
      </c>
      <c r="BA93" s="18"/>
      <c r="BC93" s="19"/>
      <c r="BD93" s="19"/>
      <c r="BE93" s="19"/>
      <c r="BF93" s="19"/>
      <c r="BG93" s="19"/>
      <c r="BI93" s="16">
        <f t="shared" si="16"/>
        <v>0</v>
      </c>
      <c r="BJ93" s="16">
        <f t="shared" si="17"/>
        <v>0</v>
      </c>
      <c r="BK93" s="16">
        <f t="shared" si="18"/>
        <v>3480.2</v>
      </c>
      <c r="BL93" s="16">
        <f t="shared" si="19"/>
        <v>3480.2</v>
      </c>
      <c r="BM93" s="16">
        <f t="shared" si="20"/>
        <v>3480.2</v>
      </c>
      <c r="BN93" s="16">
        <f t="shared" si="21"/>
        <v>3480.2</v>
      </c>
      <c r="BO93" s="16">
        <f t="shared" si="22"/>
        <v>3480.2</v>
      </c>
      <c r="BP93" s="16">
        <f t="shared" si="23"/>
        <v>0</v>
      </c>
    </row>
    <row r="94" spans="1:68" ht="12" customHeight="1" x14ac:dyDescent="0.25">
      <c r="A94" s="5">
        <f t="shared" si="25"/>
        <v>90</v>
      </c>
      <c r="B94" s="6" t="s">
        <v>174</v>
      </c>
      <c r="C94" s="7">
        <f t="shared" si="15"/>
        <v>3501.57</v>
      </c>
      <c r="D94" s="8">
        <v>3501.57</v>
      </c>
      <c r="E94" s="8">
        <v>0</v>
      </c>
      <c r="F94" s="8">
        <v>302.8</v>
      </c>
      <c r="G94" s="9">
        <v>0</v>
      </c>
      <c r="H94" s="9">
        <v>0</v>
      </c>
      <c r="I94" s="9">
        <v>0</v>
      </c>
      <c r="J94" s="9">
        <v>0</v>
      </c>
      <c r="K94" s="9" t="s">
        <v>83</v>
      </c>
      <c r="L94" s="10" t="s">
        <v>71</v>
      </c>
      <c r="M94" s="10">
        <v>0</v>
      </c>
      <c r="N94" s="10" t="s">
        <v>72</v>
      </c>
      <c r="O94" s="10" t="s">
        <v>72</v>
      </c>
      <c r="P94" s="5" t="s">
        <v>143</v>
      </c>
      <c r="Q94" s="11">
        <v>7</v>
      </c>
      <c r="R94" s="12">
        <v>28.44</v>
      </c>
      <c r="S94" s="10">
        <v>4.68</v>
      </c>
      <c r="T94" s="10">
        <v>6.05</v>
      </c>
      <c r="U94" s="10">
        <v>8.24</v>
      </c>
      <c r="V94" s="10">
        <v>6.34</v>
      </c>
      <c r="W94" s="10">
        <v>2.89</v>
      </c>
      <c r="X94" s="10">
        <v>0</v>
      </c>
      <c r="Y94" s="10">
        <v>0</v>
      </c>
      <c r="Z94" s="10">
        <v>0.24</v>
      </c>
      <c r="AA94" s="13">
        <v>1.2999999999999999E-2</v>
      </c>
      <c r="AB94" s="13">
        <v>1.2999999999999999E-2</v>
      </c>
      <c r="AC94" s="14">
        <f t="shared" si="27"/>
        <v>7.7870000000000001E-4</v>
      </c>
      <c r="AD94" s="13">
        <f t="shared" si="28"/>
        <v>2.5999999999999999E-2</v>
      </c>
      <c r="AE94" s="13">
        <v>0.68300000000000005</v>
      </c>
      <c r="AF94" s="10">
        <v>4.29</v>
      </c>
      <c r="AG94" s="10">
        <v>3.17</v>
      </c>
      <c r="AH94" s="15">
        <v>5.9900000000000002E-2</v>
      </c>
      <c r="AI94" s="10">
        <f t="shared" si="26"/>
        <v>7.46</v>
      </c>
      <c r="AJ94" s="10">
        <v>0.02</v>
      </c>
      <c r="AK94" s="10">
        <v>10</v>
      </c>
      <c r="AL94" s="10">
        <v>0</v>
      </c>
      <c r="AM94" s="16">
        <v>40</v>
      </c>
      <c r="AN94" s="16">
        <v>40</v>
      </c>
      <c r="AO94" s="16">
        <v>2604.04</v>
      </c>
      <c r="AP94" s="10">
        <v>195.98199600000001</v>
      </c>
      <c r="AQ94" s="16">
        <v>42.3</v>
      </c>
      <c r="AR94" s="16">
        <v>2604.04</v>
      </c>
      <c r="AS94" s="10">
        <v>7.85</v>
      </c>
      <c r="AT94" s="13">
        <v>0</v>
      </c>
      <c r="AU94" s="10">
        <v>6.73</v>
      </c>
      <c r="AV94" s="17">
        <f t="shared" si="24"/>
        <v>28553.983825082025</v>
      </c>
      <c r="AW94" s="17">
        <v>14981.060139123478</v>
      </c>
      <c r="AX94" s="17">
        <v>13572.923685958549</v>
      </c>
      <c r="AY94" s="17">
        <v>0</v>
      </c>
      <c r="BA94" s="18"/>
      <c r="BC94" s="19"/>
      <c r="BD94" s="19"/>
      <c r="BE94" s="19"/>
      <c r="BF94" s="19"/>
      <c r="BG94" s="19"/>
      <c r="BI94" s="16">
        <f t="shared" si="16"/>
        <v>0</v>
      </c>
      <c r="BJ94" s="16">
        <f t="shared" si="17"/>
        <v>0</v>
      </c>
      <c r="BK94" s="16">
        <f t="shared" si="18"/>
        <v>3501.57</v>
      </c>
      <c r="BL94" s="16">
        <f t="shared" si="19"/>
        <v>3501.57</v>
      </c>
      <c r="BM94" s="16">
        <f t="shared" si="20"/>
        <v>3501.57</v>
      </c>
      <c r="BN94" s="16">
        <f t="shared" si="21"/>
        <v>3501.57</v>
      </c>
      <c r="BO94" s="16">
        <f t="shared" si="22"/>
        <v>3501.57</v>
      </c>
      <c r="BP94" s="16">
        <f t="shared" si="23"/>
        <v>0</v>
      </c>
    </row>
    <row r="95" spans="1:68" ht="12" customHeight="1" x14ac:dyDescent="0.25">
      <c r="A95" s="5">
        <f t="shared" si="25"/>
        <v>91</v>
      </c>
      <c r="B95" s="6" t="s">
        <v>175</v>
      </c>
      <c r="C95" s="7">
        <f t="shared" si="15"/>
        <v>3661.5</v>
      </c>
      <c r="D95" s="8">
        <v>3513.8</v>
      </c>
      <c r="E95" s="8">
        <v>147.69999999999999</v>
      </c>
      <c r="F95" s="8">
        <v>431</v>
      </c>
      <c r="G95" s="9">
        <v>2</v>
      </c>
      <c r="H95" s="9">
        <v>0</v>
      </c>
      <c r="I95" s="9">
        <v>400</v>
      </c>
      <c r="J95" s="9">
        <v>0</v>
      </c>
      <c r="K95" s="9" t="s">
        <v>71</v>
      </c>
      <c r="L95" s="10" t="s">
        <v>71</v>
      </c>
      <c r="M95" s="10">
        <v>0</v>
      </c>
      <c r="N95" s="10" t="s">
        <v>72</v>
      </c>
      <c r="O95" s="10" t="s">
        <v>72</v>
      </c>
      <c r="P95" s="5" t="s">
        <v>143</v>
      </c>
      <c r="Q95" s="11">
        <v>3</v>
      </c>
      <c r="R95" s="12">
        <v>41.34</v>
      </c>
      <c r="S95" s="10">
        <v>4.68</v>
      </c>
      <c r="T95" s="10">
        <v>7.92</v>
      </c>
      <c r="U95" s="10">
        <v>12.32</v>
      </c>
      <c r="V95" s="10">
        <v>6.34</v>
      </c>
      <c r="W95" s="10">
        <v>2.89</v>
      </c>
      <c r="X95" s="10">
        <v>1.66</v>
      </c>
      <c r="Y95" s="10">
        <v>5.29</v>
      </c>
      <c r="Z95" s="10">
        <v>0.24</v>
      </c>
      <c r="AA95" s="13">
        <v>7.0000000000000001E-3</v>
      </c>
      <c r="AB95" s="13">
        <v>7.0000000000000001E-3</v>
      </c>
      <c r="AC95" s="14">
        <f t="shared" si="27"/>
        <v>4.193E-4</v>
      </c>
      <c r="AD95" s="13">
        <f t="shared" si="28"/>
        <v>1.4E-2</v>
      </c>
      <c r="AE95" s="13">
        <v>3.23</v>
      </c>
      <c r="AF95" s="10">
        <v>4.29</v>
      </c>
      <c r="AG95" s="10">
        <v>3.17</v>
      </c>
      <c r="AH95" s="15">
        <v>5.9900000000000002E-2</v>
      </c>
      <c r="AI95" s="10">
        <f t="shared" si="26"/>
        <v>7.46</v>
      </c>
      <c r="AJ95" s="10">
        <v>0.02</v>
      </c>
      <c r="AK95" s="10">
        <v>10</v>
      </c>
      <c r="AL95" s="10">
        <v>0</v>
      </c>
      <c r="AM95" s="16">
        <v>40</v>
      </c>
      <c r="AN95" s="16">
        <v>40</v>
      </c>
      <c r="AO95" s="16">
        <v>2604.04</v>
      </c>
      <c r="AP95" s="10">
        <v>195.98199600000001</v>
      </c>
      <c r="AQ95" s="16">
        <v>42.3</v>
      </c>
      <c r="AR95" s="16">
        <v>2604.04</v>
      </c>
      <c r="AS95" s="10">
        <v>7.85</v>
      </c>
      <c r="AT95" s="13">
        <v>0</v>
      </c>
      <c r="AU95" s="10">
        <v>6.73</v>
      </c>
      <c r="AV95" s="17">
        <f t="shared" si="24"/>
        <v>36837.657889808259</v>
      </c>
      <c r="AW95" s="17">
        <v>15504.20441765849</v>
      </c>
      <c r="AX95" s="17">
        <v>14046.881809218941</v>
      </c>
      <c r="AY95" s="17">
        <v>7286.5716629308281</v>
      </c>
      <c r="BA95" s="18"/>
      <c r="BC95" s="19"/>
      <c r="BD95" s="19"/>
      <c r="BE95" s="19"/>
      <c r="BF95" s="19"/>
      <c r="BG95" s="19"/>
      <c r="BI95" s="16">
        <f t="shared" si="16"/>
        <v>0</v>
      </c>
      <c r="BJ95" s="16">
        <f t="shared" si="17"/>
        <v>3661.5</v>
      </c>
      <c r="BK95" s="16">
        <f t="shared" si="18"/>
        <v>3661.5</v>
      </c>
      <c r="BL95" s="16">
        <f t="shared" si="19"/>
        <v>3661.5</v>
      </c>
      <c r="BM95" s="16">
        <f t="shared" si="20"/>
        <v>3661.5</v>
      </c>
      <c r="BN95" s="16">
        <f t="shared" si="21"/>
        <v>3661.5</v>
      </c>
      <c r="BO95" s="16">
        <f t="shared" si="22"/>
        <v>3661.5</v>
      </c>
      <c r="BP95" s="16">
        <f t="shared" si="23"/>
        <v>0</v>
      </c>
    </row>
    <row r="96" spans="1:68" ht="12" customHeight="1" x14ac:dyDescent="0.25">
      <c r="A96" s="5">
        <f t="shared" si="25"/>
        <v>92</v>
      </c>
      <c r="B96" s="6" t="s">
        <v>176</v>
      </c>
      <c r="C96" s="7">
        <f t="shared" si="15"/>
        <v>3644.4</v>
      </c>
      <c r="D96" s="8">
        <v>3644.4</v>
      </c>
      <c r="E96" s="8">
        <v>0</v>
      </c>
      <c r="F96" s="8">
        <v>441.1</v>
      </c>
      <c r="G96" s="9">
        <v>2</v>
      </c>
      <c r="H96" s="9">
        <v>0</v>
      </c>
      <c r="I96" s="9">
        <v>400</v>
      </c>
      <c r="J96" s="9">
        <v>0</v>
      </c>
      <c r="K96" s="9" t="s">
        <v>71</v>
      </c>
      <c r="L96" s="10" t="s">
        <v>71</v>
      </c>
      <c r="M96" s="10">
        <v>0</v>
      </c>
      <c r="N96" s="10" t="s">
        <v>72</v>
      </c>
      <c r="O96" s="10" t="s">
        <v>72</v>
      </c>
      <c r="P96" s="5" t="s">
        <v>143</v>
      </c>
      <c r="Q96" s="11">
        <v>3</v>
      </c>
      <c r="R96" s="12">
        <v>41.34</v>
      </c>
      <c r="S96" s="10">
        <v>4.68</v>
      </c>
      <c r="T96" s="10">
        <v>7.92</v>
      </c>
      <c r="U96" s="10">
        <v>12.32</v>
      </c>
      <c r="V96" s="10">
        <v>6.34</v>
      </c>
      <c r="W96" s="10">
        <v>2.89</v>
      </c>
      <c r="X96" s="10">
        <v>1.66</v>
      </c>
      <c r="Y96" s="10">
        <v>5.29</v>
      </c>
      <c r="Z96" s="10">
        <v>0.24</v>
      </c>
      <c r="AA96" s="13">
        <v>7.0000000000000001E-3</v>
      </c>
      <c r="AB96" s="13">
        <v>7.0000000000000001E-3</v>
      </c>
      <c r="AC96" s="14">
        <f t="shared" si="27"/>
        <v>4.193E-4</v>
      </c>
      <c r="AD96" s="13">
        <f t="shared" si="28"/>
        <v>1.4E-2</v>
      </c>
      <c r="AE96" s="13">
        <v>3.23</v>
      </c>
      <c r="AF96" s="10">
        <v>4.29</v>
      </c>
      <c r="AG96" s="10">
        <v>3.17</v>
      </c>
      <c r="AH96" s="15">
        <v>5.9900000000000002E-2</v>
      </c>
      <c r="AI96" s="10">
        <f t="shared" si="26"/>
        <v>7.46</v>
      </c>
      <c r="AJ96" s="10">
        <v>0.02</v>
      </c>
      <c r="AK96" s="10">
        <v>10</v>
      </c>
      <c r="AL96" s="10">
        <v>0</v>
      </c>
      <c r="AM96" s="16">
        <v>40</v>
      </c>
      <c r="AN96" s="16">
        <v>40</v>
      </c>
      <c r="AO96" s="16">
        <v>2604.04</v>
      </c>
      <c r="AP96" s="10">
        <v>195.98199600000001</v>
      </c>
      <c r="AQ96" s="16">
        <v>42.3</v>
      </c>
      <c r="AR96" s="16">
        <v>2604.04</v>
      </c>
      <c r="AS96" s="10">
        <v>7.85</v>
      </c>
      <c r="AT96" s="13">
        <v>0</v>
      </c>
      <c r="AU96" s="10">
        <v>6.73</v>
      </c>
      <c r="AV96" s="17">
        <f t="shared" si="24"/>
        <v>37135.064474225364</v>
      </c>
      <c r="AW96" s="17">
        <v>15629.376700080584</v>
      </c>
      <c r="AX96" s="17">
        <v>14160.288586747809</v>
      </c>
      <c r="AY96" s="17">
        <v>7345.3991873969699</v>
      </c>
      <c r="BA96" s="18"/>
      <c r="BC96" s="19"/>
      <c r="BD96" s="19"/>
      <c r="BE96" s="19"/>
      <c r="BF96" s="19"/>
      <c r="BG96" s="19"/>
      <c r="BI96" s="16">
        <f t="shared" si="16"/>
        <v>0</v>
      </c>
      <c r="BJ96" s="16">
        <f t="shared" si="17"/>
        <v>3644.4</v>
      </c>
      <c r="BK96" s="16">
        <f t="shared" si="18"/>
        <v>3644.4</v>
      </c>
      <c r="BL96" s="16">
        <f t="shared" si="19"/>
        <v>3644.4</v>
      </c>
      <c r="BM96" s="16">
        <f t="shared" si="20"/>
        <v>3644.4</v>
      </c>
      <c r="BN96" s="16">
        <f t="shared" si="21"/>
        <v>3644.4</v>
      </c>
      <c r="BO96" s="16">
        <f t="shared" si="22"/>
        <v>3644.4</v>
      </c>
      <c r="BP96" s="16">
        <f t="shared" si="23"/>
        <v>0</v>
      </c>
    </row>
    <row r="97" spans="1:68" ht="12" customHeight="1" x14ac:dyDescent="0.25">
      <c r="A97" s="5">
        <f t="shared" si="25"/>
        <v>93</v>
      </c>
      <c r="B97" s="6" t="s">
        <v>177</v>
      </c>
      <c r="C97" s="7">
        <f t="shared" si="15"/>
        <v>8981.23</v>
      </c>
      <c r="D97" s="8">
        <v>8981.23</v>
      </c>
      <c r="E97" s="8">
        <v>0</v>
      </c>
      <c r="F97" s="8">
        <v>907.9</v>
      </c>
      <c r="G97" s="9">
        <v>6</v>
      </c>
      <c r="H97" s="9">
        <v>0</v>
      </c>
      <c r="I97" s="9">
        <v>400</v>
      </c>
      <c r="J97" s="9">
        <v>0</v>
      </c>
      <c r="K97" s="9" t="s">
        <v>71</v>
      </c>
      <c r="L97" s="10" t="s">
        <v>71</v>
      </c>
      <c r="M97" s="10">
        <v>0</v>
      </c>
      <c r="N97" s="10" t="s">
        <v>72</v>
      </c>
      <c r="O97" s="10" t="s">
        <v>72</v>
      </c>
      <c r="P97" s="5" t="s">
        <v>143</v>
      </c>
      <c r="Q97" s="11">
        <v>3</v>
      </c>
      <c r="R97" s="12">
        <v>41.34</v>
      </c>
      <c r="S97" s="10">
        <v>4.68</v>
      </c>
      <c r="T97" s="10">
        <v>7.92</v>
      </c>
      <c r="U97" s="10">
        <v>12.32</v>
      </c>
      <c r="V97" s="10">
        <v>6.34</v>
      </c>
      <c r="W97" s="10">
        <v>2.89</v>
      </c>
      <c r="X97" s="10">
        <v>1.66</v>
      </c>
      <c r="Y97" s="10">
        <v>5.29</v>
      </c>
      <c r="Z97" s="10">
        <v>0.24</v>
      </c>
      <c r="AA97" s="13">
        <v>1.2E-2</v>
      </c>
      <c r="AB97" s="13">
        <v>1.2E-2</v>
      </c>
      <c r="AC97" s="14">
        <f t="shared" si="27"/>
        <v>7.1880000000000002E-4</v>
      </c>
      <c r="AD97" s="13">
        <f t="shared" si="28"/>
        <v>2.4E-2</v>
      </c>
      <c r="AE97" s="13">
        <v>3.23</v>
      </c>
      <c r="AF97" s="10">
        <v>4.29</v>
      </c>
      <c r="AG97" s="10">
        <v>3.17</v>
      </c>
      <c r="AH97" s="15">
        <v>5.9900000000000002E-2</v>
      </c>
      <c r="AI97" s="10">
        <f t="shared" si="26"/>
        <v>7.46</v>
      </c>
      <c r="AJ97" s="10">
        <v>0.02</v>
      </c>
      <c r="AK97" s="10">
        <v>10</v>
      </c>
      <c r="AL97" s="10">
        <v>0</v>
      </c>
      <c r="AM97" s="16">
        <v>40</v>
      </c>
      <c r="AN97" s="16">
        <v>40</v>
      </c>
      <c r="AO97" s="16">
        <v>2604.04</v>
      </c>
      <c r="AP97" s="10">
        <v>195.98199600000001</v>
      </c>
      <c r="AQ97" s="16">
        <v>42.3</v>
      </c>
      <c r="AR97" s="16">
        <v>2604.04</v>
      </c>
      <c r="AS97" s="10">
        <v>7.85</v>
      </c>
      <c r="AT97" s="13">
        <v>0</v>
      </c>
      <c r="AU97" s="10">
        <v>6.73</v>
      </c>
      <c r="AV97" s="17">
        <f t="shared" si="24"/>
        <v>91610.524542435262</v>
      </c>
      <c r="AW97" s="17">
        <v>38556.952637095499</v>
      </c>
      <c r="AX97" s="17">
        <v>34932.804716578925</v>
      </c>
      <c r="AY97" s="17">
        <v>18120.767188760849</v>
      </c>
      <c r="BA97" s="18"/>
      <c r="BC97" s="19"/>
      <c r="BD97" s="19"/>
      <c r="BE97" s="19"/>
      <c r="BF97" s="19"/>
      <c r="BG97" s="19"/>
      <c r="BI97" s="16">
        <f t="shared" si="16"/>
        <v>0</v>
      </c>
      <c r="BJ97" s="16">
        <f t="shared" si="17"/>
        <v>8981.23</v>
      </c>
      <c r="BK97" s="16">
        <f t="shared" si="18"/>
        <v>8981.23</v>
      </c>
      <c r="BL97" s="16">
        <f t="shared" si="19"/>
        <v>8981.23</v>
      </c>
      <c r="BM97" s="16">
        <f t="shared" si="20"/>
        <v>8981.23</v>
      </c>
      <c r="BN97" s="16">
        <f t="shared" si="21"/>
        <v>8981.23</v>
      </c>
      <c r="BO97" s="16">
        <f t="shared" si="22"/>
        <v>8981.23</v>
      </c>
      <c r="BP97" s="16">
        <f t="shared" si="23"/>
        <v>0</v>
      </c>
    </row>
    <row r="98" spans="1:68" ht="12" customHeight="1" x14ac:dyDescent="0.25">
      <c r="A98" s="5">
        <f t="shared" si="25"/>
        <v>94</v>
      </c>
      <c r="B98" s="6" t="s">
        <v>178</v>
      </c>
      <c r="C98" s="7">
        <f t="shared" si="15"/>
        <v>8840.4</v>
      </c>
      <c r="D98" s="8">
        <v>6805.3</v>
      </c>
      <c r="E98" s="8">
        <v>2035.1</v>
      </c>
      <c r="F98" s="8">
        <v>891.3</v>
      </c>
      <c r="G98" s="9">
        <v>4</v>
      </c>
      <c r="H98" s="9">
        <v>0</v>
      </c>
      <c r="I98" s="9">
        <v>400</v>
      </c>
      <c r="J98" s="9">
        <v>0</v>
      </c>
      <c r="K98" s="9" t="s">
        <v>71</v>
      </c>
      <c r="L98" s="10" t="s">
        <v>71</v>
      </c>
      <c r="M98" s="10">
        <v>0</v>
      </c>
      <c r="N98" s="10" t="s">
        <v>72</v>
      </c>
      <c r="O98" s="10" t="s">
        <v>72</v>
      </c>
      <c r="P98" s="5" t="s">
        <v>143</v>
      </c>
      <c r="Q98" s="11">
        <v>3</v>
      </c>
      <c r="R98" s="12">
        <v>41.34</v>
      </c>
      <c r="S98" s="10">
        <v>4.68</v>
      </c>
      <c r="T98" s="10">
        <v>7.92</v>
      </c>
      <c r="U98" s="10">
        <v>12.32</v>
      </c>
      <c r="V98" s="10">
        <v>6.34</v>
      </c>
      <c r="W98" s="10">
        <v>2.89</v>
      </c>
      <c r="X98" s="10">
        <v>1.66</v>
      </c>
      <c r="Y98" s="10">
        <v>5.29</v>
      </c>
      <c r="Z98" s="10">
        <v>0.24</v>
      </c>
      <c r="AA98" s="13">
        <v>7.0000000000000001E-3</v>
      </c>
      <c r="AB98" s="13">
        <v>7.0000000000000001E-3</v>
      </c>
      <c r="AC98" s="14">
        <f t="shared" si="27"/>
        <v>4.193E-4</v>
      </c>
      <c r="AD98" s="13">
        <f t="shared" si="28"/>
        <v>1.4E-2</v>
      </c>
      <c r="AE98" s="13">
        <v>3.23</v>
      </c>
      <c r="AF98" s="10">
        <v>4.29</v>
      </c>
      <c r="AG98" s="10">
        <v>3.17</v>
      </c>
      <c r="AH98" s="15">
        <v>5.9900000000000002E-2</v>
      </c>
      <c r="AI98" s="10">
        <f t="shared" si="26"/>
        <v>7.46</v>
      </c>
      <c r="AJ98" s="10">
        <v>0.02</v>
      </c>
      <c r="AK98" s="10">
        <v>10</v>
      </c>
      <c r="AL98" s="10">
        <v>0</v>
      </c>
      <c r="AM98" s="16">
        <v>40</v>
      </c>
      <c r="AN98" s="16">
        <v>40</v>
      </c>
      <c r="AO98" s="16">
        <v>2604.04</v>
      </c>
      <c r="AP98" s="10">
        <v>195.98199600000001</v>
      </c>
      <c r="AQ98" s="16">
        <v>42.3</v>
      </c>
      <c r="AR98" s="16">
        <v>2604.04</v>
      </c>
      <c r="AS98" s="10">
        <v>7.85</v>
      </c>
      <c r="AT98" s="13">
        <v>0</v>
      </c>
      <c r="AU98" s="10">
        <v>6.73</v>
      </c>
      <c r="AV98" s="17">
        <f t="shared" si="24"/>
        <v>89960.20903309765</v>
      </c>
      <c r="AW98" s="17">
        <v>37862.374055725864</v>
      </c>
      <c r="AX98" s="17">
        <v>34303.508825314384</v>
      </c>
      <c r="AY98" s="17">
        <v>17794.326152057405</v>
      </c>
      <c r="BA98" s="18"/>
      <c r="BC98" s="19"/>
      <c r="BD98" s="19"/>
      <c r="BE98" s="19"/>
      <c r="BF98" s="19"/>
      <c r="BG98" s="19"/>
      <c r="BI98" s="16">
        <f t="shared" si="16"/>
        <v>0</v>
      </c>
      <c r="BJ98" s="16">
        <f t="shared" si="17"/>
        <v>8840.4</v>
      </c>
      <c r="BK98" s="16">
        <f t="shared" si="18"/>
        <v>8840.4</v>
      </c>
      <c r="BL98" s="16">
        <f t="shared" si="19"/>
        <v>8840.4</v>
      </c>
      <c r="BM98" s="16">
        <f t="shared" si="20"/>
        <v>8840.4</v>
      </c>
      <c r="BN98" s="16">
        <f t="shared" si="21"/>
        <v>8840.4</v>
      </c>
      <c r="BO98" s="16">
        <f t="shared" si="22"/>
        <v>8840.4</v>
      </c>
      <c r="BP98" s="16">
        <f t="shared" si="23"/>
        <v>0</v>
      </c>
    </row>
    <row r="99" spans="1:68" ht="12" customHeight="1" x14ac:dyDescent="0.25">
      <c r="A99" s="5">
        <f t="shared" si="25"/>
        <v>95</v>
      </c>
      <c r="B99" s="6" t="s">
        <v>179</v>
      </c>
      <c r="C99" s="7">
        <f t="shared" si="15"/>
        <v>6129.1</v>
      </c>
      <c r="D99" s="8">
        <v>5037.1000000000004</v>
      </c>
      <c r="E99" s="8">
        <v>1092</v>
      </c>
      <c r="F99" s="8">
        <v>913.65</v>
      </c>
      <c r="G99" s="9">
        <v>1</v>
      </c>
      <c r="H99" s="9">
        <v>1</v>
      </c>
      <c r="I99" s="9">
        <v>400</v>
      </c>
      <c r="J99" s="9">
        <v>630</v>
      </c>
      <c r="K99" s="202" t="s">
        <v>83</v>
      </c>
      <c r="L99" s="10" t="s">
        <v>71</v>
      </c>
      <c r="M99" s="10">
        <v>0</v>
      </c>
      <c r="N99" s="10" t="s">
        <v>72</v>
      </c>
      <c r="O99" s="10" t="s">
        <v>72</v>
      </c>
      <c r="P99" s="5" t="s">
        <v>143</v>
      </c>
      <c r="Q99" s="11">
        <v>3</v>
      </c>
      <c r="R99" s="12">
        <v>41.34</v>
      </c>
      <c r="S99" s="10">
        <v>4.68</v>
      </c>
      <c r="T99" s="10">
        <v>7.92</v>
      </c>
      <c r="U99" s="10">
        <v>12.32</v>
      </c>
      <c r="V99" s="10">
        <v>6.34</v>
      </c>
      <c r="W99" s="10">
        <v>2.89</v>
      </c>
      <c r="X99" s="10">
        <v>1.66</v>
      </c>
      <c r="Y99" s="10">
        <v>5.29</v>
      </c>
      <c r="Z99" s="10">
        <v>0.24</v>
      </c>
      <c r="AA99" s="13">
        <v>7.0000000000000001E-3</v>
      </c>
      <c r="AB99" s="13">
        <v>7.0000000000000001E-3</v>
      </c>
      <c r="AC99" s="14">
        <f t="shared" si="27"/>
        <v>4.193E-4</v>
      </c>
      <c r="AD99" s="13">
        <f t="shared" si="28"/>
        <v>1.4E-2</v>
      </c>
      <c r="AE99" s="13">
        <v>3.23</v>
      </c>
      <c r="AF99" s="10">
        <v>4.29</v>
      </c>
      <c r="AG99" s="10">
        <v>3.17</v>
      </c>
      <c r="AH99" s="15">
        <v>5.9900000000000002E-2</v>
      </c>
      <c r="AI99" s="10">
        <f t="shared" si="26"/>
        <v>7.46</v>
      </c>
      <c r="AJ99" s="10">
        <v>0.02</v>
      </c>
      <c r="AK99" s="10">
        <v>10</v>
      </c>
      <c r="AL99" s="10">
        <v>0</v>
      </c>
      <c r="AM99" s="16">
        <v>40</v>
      </c>
      <c r="AN99" s="16">
        <v>40</v>
      </c>
      <c r="AO99" s="16">
        <v>2604.04</v>
      </c>
      <c r="AP99" s="10">
        <v>195.98199600000001</v>
      </c>
      <c r="AQ99" s="16">
        <v>42.3</v>
      </c>
      <c r="AR99" s="16">
        <v>2604.04</v>
      </c>
      <c r="AS99" s="10">
        <v>7.85</v>
      </c>
      <c r="AT99" s="13">
        <v>0</v>
      </c>
      <c r="AU99" s="10">
        <v>6.73</v>
      </c>
      <c r="AV99" s="17">
        <f t="shared" si="24"/>
        <v>62416.003458576422</v>
      </c>
      <c r="AW99" s="17">
        <v>26269.586222606547</v>
      </c>
      <c r="AX99" s="17">
        <v>23800.388814082446</v>
      </c>
      <c r="AY99" s="17">
        <v>12346.028421887433</v>
      </c>
      <c r="BA99" s="18"/>
      <c r="BC99" s="19"/>
      <c r="BD99" s="19"/>
      <c r="BE99" s="19"/>
      <c r="BF99" s="19"/>
      <c r="BG99" s="19"/>
      <c r="BI99" s="16">
        <f t="shared" si="16"/>
        <v>0</v>
      </c>
      <c r="BJ99" s="16">
        <f t="shared" si="17"/>
        <v>6129.1</v>
      </c>
      <c r="BK99" s="16">
        <f t="shared" si="18"/>
        <v>6129.1</v>
      </c>
      <c r="BL99" s="16">
        <f t="shared" si="19"/>
        <v>6129.1</v>
      </c>
      <c r="BM99" s="16">
        <f t="shared" si="20"/>
        <v>6129.1</v>
      </c>
      <c r="BN99" s="16">
        <f t="shared" si="21"/>
        <v>6129.1</v>
      </c>
      <c r="BO99" s="16">
        <f t="shared" si="22"/>
        <v>6129.1</v>
      </c>
      <c r="BP99" s="16">
        <f t="shared" si="23"/>
        <v>0</v>
      </c>
    </row>
    <row r="100" spans="1:68" ht="12" customHeight="1" x14ac:dyDescent="0.25">
      <c r="A100" s="5">
        <f t="shared" si="25"/>
        <v>96</v>
      </c>
      <c r="B100" s="6" t="s">
        <v>180</v>
      </c>
      <c r="C100" s="7">
        <f t="shared" si="15"/>
        <v>5021.8999999999996</v>
      </c>
      <c r="D100" s="8">
        <v>5021.8999999999996</v>
      </c>
      <c r="E100" s="8">
        <v>0</v>
      </c>
      <c r="F100" s="8">
        <v>913.65</v>
      </c>
      <c r="G100" s="9">
        <v>1</v>
      </c>
      <c r="H100" s="9">
        <v>1</v>
      </c>
      <c r="I100" s="9">
        <v>400</v>
      </c>
      <c r="J100" s="9">
        <v>630</v>
      </c>
      <c r="K100" s="202"/>
      <c r="L100" s="10" t="s">
        <v>71</v>
      </c>
      <c r="M100" s="10">
        <v>0</v>
      </c>
      <c r="N100" s="10" t="s">
        <v>72</v>
      </c>
      <c r="O100" s="10" t="s">
        <v>72</v>
      </c>
      <c r="P100" s="5" t="s">
        <v>143</v>
      </c>
      <c r="Q100" s="11">
        <v>3</v>
      </c>
      <c r="R100" s="12">
        <v>41.34</v>
      </c>
      <c r="S100" s="10">
        <v>4.68</v>
      </c>
      <c r="T100" s="10">
        <v>7.92</v>
      </c>
      <c r="U100" s="10">
        <v>12.32</v>
      </c>
      <c r="V100" s="10">
        <v>6.34</v>
      </c>
      <c r="W100" s="10">
        <v>2.89</v>
      </c>
      <c r="X100" s="10">
        <v>1.66</v>
      </c>
      <c r="Y100" s="10">
        <v>5.29</v>
      </c>
      <c r="Z100" s="10">
        <v>0.24</v>
      </c>
      <c r="AA100" s="13">
        <v>7.0000000000000001E-3</v>
      </c>
      <c r="AB100" s="13">
        <v>7.0000000000000001E-3</v>
      </c>
      <c r="AC100" s="14">
        <f t="shared" si="27"/>
        <v>4.193E-4</v>
      </c>
      <c r="AD100" s="13">
        <f t="shared" si="28"/>
        <v>1.4E-2</v>
      </c>
      <c r="AE100" s="13">
        <v>3.23</v>
      </c>
      <c r="AF100" s="10">
        <v>4.29</v>
      </c>
      <c r="AG100" s="10">
        <v>3.17</v>
      </c>
      <c r="AH100" s="15">
        <v>5.9900000000000002E-2</v>
      </c>
      <c r="AI100" s="10">
        <f t="shared" si="26"/>
        <v>7.46</v>
      </c>
      <c r="AJ100" s="10">
        <v>0.02</v>
      </c>
      <c r="AK100" s="10">
        <v>10</v>
      </c>
      <c r="AL100" s="10">
        <v>0</v>
      </c>
      <c r="AM100" s="16">
        <v>40</v>
      </c>
      <c r="AN100" s="16">
        <v>40</v>
      </c>
      <c r="AO100" s="16">
        <v>2604.04</v>
      </c>
      <c r="AP100" s="10">
        <v>195.98199600000001</v>
      </c>
      <c r="AQ100" s="16">
        <v>42.3</v>
      </c>
      <c r="AR100" s="16">
        <v>2604.04</v>
      </c>
      <c r="AS100" s="10">
        <v>7.85</v>
      </c>
      <c r="AT100" s="13">
        <v>0</v>
      </c>
      <c r="AU100" s="10">
        <v>6.73</v>
      </c>
      <c r="AV100" s="17">
        <f t="shared" si="24"/>
        <v>51077.27053123479</v>
      </c>
      <c r="AW100" s="17">
        <v>21497.356748405608</v>
      </c>
      <c r="AX100" s="17">
        <v>19476.710593255229</v>
      </c>
      <c r="AY100" s="17">
        <v>10103.203189573956</v>
      </c>
      <c r="BA100" s="18"/>
      <c r="BC100" s="19"/>
      <c r="BD100" s="19"/>
      <c r="BE100" s="19"/>
      <c r="BF100" s="19"/>
      <c r="BG100" s="19"/>
      <c r="BI100" s="16">
        <f t="shared" si="16"/>
        <v>0</v>
      </c>
      <c r="BJ100" s="16">
        <f t="shared" si="17"/>
        <v>5021.8999999999996</v>
      </c>
      <c r="BK100" s="16">
        <f t="shared" si="18"/>
        <v>5021.8999999999996</v>
      </c>
      <c r="BL100" s="16">
        <f t="shared" si="19"/>
        <v>5021.8999999999996</v>
      </c>
      <c r="BM100" s="16">
        <f t="shared" si="20"/>
        <v>5021.8999999999996</v>
      </c>
      <c r="BN100" s="16">
        <f t="shared" si="21"/>
        <v>5021.8999999999996</v>
      </c>
      <c r="BO100" s="16">
        <f t="shared" si="22"/>
        <v>5021.8999999999996</v>
      </c>
      <c r="BP100" s="16">
        <f t="shared" si="23"/>
        <v>0</v>
      </c>
    </row>
    <row r="101" spans="1:68" ht="12" customHeight="1" x14ac:dyDescent="0.25">
      <c r="A101" s="5">
        <f t="shared" si="25"/>
        <v>97</v>
      </c>
      <c r="B101" s="6" t="s">
        <v>181</v>
      </c>
      <c r="C101" s="7">
        <f t="shared" si="15"/>
        <v>8658.6000000000022</v>
      </c>
      <c r="D101" s="8">
        <v>5980.5000000000018</v>
      </c>
      <c r="E101" s="8">
        <v>2678.1</v>
      </c>
      <c r="F101" s="8">
        <v>2125.5</v>
      </c>
      <c r="G101" s="9">
        <v>3</v>
      </c>
      <c r="H101" s="9">
        <v>0</v>
      </c>
      <c r="I101" s="9">
        <v>630</v>
      </c>
      <c r="J101" s="9">
        <v>0</v>
      </c>
      <c r="K101" s="9" t="s">
        <v>160</v>
      </c>
      <c r="L101" s="10" t="s">
        <v>71</v>
      </c>
      <c r="M101" s="10">
        <v>0</v>
      </c>
      <c r="N101" s="10" t="s">
        <v>72</v>
      </c>
      <c r="O101" s="10" t="s">
        <v>72</v>
      </c>
      <c r="P101" s="5" t="s">
        <v>143</v>
      </c>
      <c r="Q101" s="11">
        <v>1</v>
      </c>
      <c r="R101" s="21">
        <v>36.54</v>
      </c>
      <c r="S101" s="10">
        <v>4.03</v>
      </c>
      <c r="T101" s="10">
        <v>7</v>
      </c>
      <c r="U101" s="10">
        <v>11</v>
      </c>
      <c r="V101" s="10">
        <v>5.4</v>
      </c>
      <c r="W101" s="10">
        <v>2.67</v>
      </c>
      <c r="X101" s="10">
        <v>1.54</v>
      </c>
      <c r="Y101" s="10">
        <v>4.9000000000000004</v>
      </c>
      <c r="Z101" s="10">
        <v>0</v>
      </c>
      <c r="AA101" s="13">
        <v>1.2E-2</v>
      </c>
      <c r="AB101" s="13">
        <v>1.2E-2</v>
      </c>
      <c r="AC101" s="14">
        <f t="shared" si="27"/>
        <v>7.1880000000000002E-4</v>
      </c>
      <c r="AD101" s="13">
        <f t="shared" si="28"/>
        <v>2.4E-2</v>
      </c>
      <c r="AE101" s="13">
        <v>3.23</v>
      </c>
      <c r="AF101" s="13">
        <v>4.4080000000000004</v>
      </c>
      <c r="AG101" s="13">
        <v>3.1920000000000002</v>
      </c>
      <c r="AH101" s="15">
        <v>5.9900000000000002E-2</v>
      </c>
      <c r="AI101" s="10">
        <f t="shared" si="26"/>
        <v>7.6000000000000005</v>
      </c>
      <c r="AJ101" s="10">
        <v>0.02</v>
      </c>
      <c r="AK101" s="13">
        <v>0</v>
      </c>
      <c r="AL101" s="10">
        <v>0</v>
      </c>
      <c r="AM101" s="16">
        <v>40</v>
      </c>
      <c r="AN101" s="16">
        <v>40</v>
      </c>
      <c r="AO101" s="16">
        <v>2604.04</v>
      </c>
      <c r="AP101" s="10">
        <v>195.98199600000001</v>
      </c>
      <c r="AQ101" s="16">
        <v>42.3</v>
      </c>
      <c r="AR101" s="16">
        <v>2604.04</v>
      </c>
      <c r="AS101" s="10">
        <v>0</v>
      </c>
      <c r="AT101" s="13">
        <v>0</v>
      </c>
      <c r="AU101" s="10">
        <v>5.05</v>
      </c>
      <c r="AV101" s="17">
        <f t="shared" si="24"/>
        <v>79621.723331837071</v>
      </c>
      <c r="AW101" s="17">
        <v>33511.123450043364</v>
      </c>
      <c r="AX101" s="17">
        <v>30361.250893833527</v>
      </c>
      <c r="AY101" s="17">
        <v>15749.348987960188</v>
      </c>
      <c r="BA101" s="18"/>
      <c r="BC101" s="19"/>
      <c r="BD101" s="19"/>
      <c r="BE101" s="19"/>
      <c r="BF101" s="19"/>
      <c r="BG101" s="19"/>
      <c r="BI101" s="16">
        <f t="shared" si="16"/>
        <v>8658.6000000000022</v>
      </c>
      <c r="BJ101" s="16">
        <f t="shared" si="17"/>
        <v>0</v>
      </c>
      <c r="BK101" s="16">
        <f t="shared" si="18"/>
        <v>8658.6000000000022</v>
      </c>
      <c r="BL101" s="16">
        <f t="shared" si="19"/>
        <v>8658.6000000000022</v>
      </c>
      <c r="BM101" s="16">
        <f t="shared" si="20"/>
        <v>8658.6000000000022</v>
      </c>
      <c r="BN101" s="16">
        <f t="shared" si="21"/>
        <v>8658.6000000000022</v>
      </c>
      <c r="BO101" s="16">
        <f t="shared" si="22"/>
        <v>0</v>
      </c>
      <c r="BP101" s="16">
        <f t="shared" si="23"/>
        <v>8658.6000000000022</v>
      </c>
    </row>
    <row r="102" spans="1:68" ht="12" customHeight="1" x14ac:dyDescent="0.25">
      <c r="A102" s="5">
        <f t="shared" si="25"/>
        <v>98</v>
      </c>
      <c r="B102" s="6" t="s">
        <v>182</v>
      </c>
      <c r="C102" s="7">
        <f t="shared" si="15"/>
        <v>3369.8</v>
      </c>
      <c r="D102" s="8">
        <v>3369.8</v>
      </c>
      <c r="E102" s="8">
        <v>0</v>
      </c>
      <c r="F102" s="8">
        <v>333.8</v>
      </c>
      <c r="G102" s="9">
        <v>0</v>
      </c>
      <c r="H102" s="9">
        <v>0</v>
      </c>
      <c r="I102" s="9">
        <v>0</v>
      </c>
      <c r="J102" s="9">
        <v>0</v>
      </c>
      <c r="K102" s="9" t="s">
        <v>71</v>
      </c>
      <c r="L102" s="10" t="s">
        <v>71</v>
      </c>
      <c r="M102" s="10">
        <v>0</v>
      </c>
      <c r="N102" s="10" t="s">
        <v>72</v>
      </c>
      <c r="O102" s="10" t="s">
        <v>72</v>
      </c>
      <c r="P102" s="5" t="s">
        <v>143</v>
      </c>
      <c r="Q102" s="11">
        <v>7</v>
      </c>
      <c r="R102" s="12">
        <v>28.44</v>
      </c>
      <c r="S102" s="10">
        <v>4.68</v>
      </c>
      <c r="T102" s="10">
        <v>6.05</v>
      </c>
      <c r="U102" s="10">
        <v>8.24</v>
      </c>
      <c r="V102" s="10">
        <v>6.34</v>
      </c>
      <c r="W102" s="10">
        <v>2.89</v>
      </c>
      <c r="X102" s="10">
        <v>0</v>
      </c>
      <c r="Y102" s="10">
        <v>0</v>
      </c>
      <c r="Z102" s="10">
        <v>0.24</v>
      </c>
      <c r="AA102" s="13">
        <v>1.2999999999999999E-2</v>
      </c>
      <c r="AB102" s="13">
        <v>1.2999999999999999E-2</v>
      </c>
      <c r="AC102" s="14">
        <f t="shared" si="27"/>
        <v>7.7870000000000001E-4</v>
      </c>
      <c r="AD102" s="13">
        <f t="shared" si="28"/>
        <v>2.5999999999999999E-2</v>
      </c>
      <c r="AE102" s="13">
        <v>0.68300000000000005</v>
      </c>
      <c r="AF102" s="10">
        <v>4.29</v>
      </c>
      <c r="AG102" s="10">
        <v>3.17</v>
      </c>
      <c r="AH102" s="15">
        <v>5.9900000000000002E-2</v>
      </c>
      <c r="AI102" s="10">
        <f t="shared" si="26"/>
        <v>7.46</v>
      </c>
      <c r="AJ102" s="10">
        <v>0.02</v>
      </c>
      <c r="AK102" s="10">
        <v>10</v>
      </c>
      <c r="AL102" s="10">
        <v>0</v>
      </c>
      <c r="AM102" s="16">
        <v>40</v>
      </c>
      <c r="AN102" s="16">
        <v>40</v>
      </c>
      <c r="AO102" s="16">
        <v>2604.04</v>
      </c>
      <c r="AP102" s="10">
        <v>195.98199600000001</v>
      </c>
      <c r="AQ102" s="16">
        <v>42.3</v>
      </c>
      <c r="AR102" s="16">
        <v>2604.04</v>
      </c>
      <c r="AS102" s="10">
        <v>7.85</v>
      </c>
      <c r="AT102" s="13">
        <v>0</v>
      </c>
      <c r="AU102" s="10">
        <v>6.73</v>
      </c>
      <c r="AV102" s="17">
        <f t="shared" si="24"/>
        <v>27313.723057796913</v>
      </c>
      <c r="AW102" s="17">
        <v>14330.343580685219</v>
      </c>
      <c r="AX102" s="17">
        <v>12983.379477111694</v>
      </c>
      <c r="AY102" s="17">
        <v>0</v>
      </c>
      <c r="BA102" s="18"/>
      <c r="BC102" s="19"/>
      <c r="BD102" s="19"/>
      <c r="BE102" s="19"/>
      <c r="BF102" s="19"/>
      <c r="BG102" s="19"/>
      <c r="BI102" s="16">
        <f t="shared" si="16"/>
        <v>0</v>
      </c>
      <c r="BJ102" s="16">
        <f t="shared" si="17"/>
        <v>0</v>
      </c>
      <c r="BK102" s="16">
        <f t="shared" si="18"/>
        <v>3369.8</v>
      </c>
      <c r="BL102" s="16">
        <f t="shared" si="19"/>
        <v>3369.8</v>
      </c>
      <c r="BM102" s="16">
        <f t="shared" si="20"/>
        <v>3369.8</v>
      </c>
      <c r="BN102" s="16">
        <f t="shared" si="21"/>
        <v>3369.8</v>
      </c>
      <c r="BO102" s="16">
        <f t="shared" si="22"/>
        <v>3369.8</v>
      </c>
      <c r="BP102" s="16">
        <f t="shared" si="23"/>
        <v>0</v>
      </c>
    </row>
    <row r="103" spans="1:68" ht="12" customHeight="1" x14ac:dyDescent="0.25">
      <c r="A103" s="5">
        <f t="shared" si="25"/>
        <v>99</v>
      </c>
      <c r="B103" s="6" t="s">
        <v>183</v>
      </c>
      <c r="C103" s="7">
        <f t="shared" si="15"/>
        <v>3053.6</v>
      </c>
      <c r="D103" s="8">
        <v>3053.6</v>
      </c>
      <c r="E103" s="8">
        <v>0</v>
      </c>
      <c r="F103" s="8">
        <v>550.02</v>
      </c>
      <c r="G103" s="9">
        <v>1</v>
      </c>
      <c r="H103" s="9">
        <v>0</v>
      </c>
      <c r="I103" s="9">
        <v>400</v>
      </c>
      <c r="J103" s="9">
        <v>0</v>
      </c>
      <c r="K103" s="9" t="s">
        <v>83</v>
      </c>
      <c r="L103" s="10" t="s">
        <v>71</v>
      </c>
      <c r="M103" s="10">
        <v>0</v>
      </c>
      <c r="N103" s="10" t="s">
        <v>72</v>
      </c>
      <c r="O103" s="10" t="s">
        <v>72</v>
      </c>
      <c r="P103" s="5" t="s">
        <v>143</v>
      </c>
      <c r="Q103" s="11">
        <v>3</v>
      </c>
      <c r="R103" s="12">
        <v>41.34</v>
      </c>
      <c r="S103" s="10">
        <v>4.68</v>
      </c>
      <c r="T103" s="10">
        <v>7.92</v>
      </c>
      <c r="U103" s="10">
        <v>12.32</v>
      </c>
      <c r="V103" s="10">
        <v>6.34</v>
      </c>
      <c r="W103" s="10">
        <v>2.89</v>
      </c>
      <c r="X103" s="10">
        <v>1.66</v>
      </c>
      <c r="Y103" s="10">
        <v>5.29</v>
      </c>
      <c r="Z103" s="10">
        <v>0.24</v>
      </c>
      <c r="AA103" s="13">
        <v>1.2E-2</v>
      </c>
      <c r="AB103" s="13">
        <v>1.2E-2</v>
      </c>
      <c r="AC103" s="14">
        <f t="shared" si="27"/>
        <v>7.1880000000000002E-4</v>
      </c>
      <c r="AD103" s="13">
        <f t="shared" si="28"/>
        <v>2.4E-2</v>
      </c>
      <c r="AE103" s="13">
        <v>3.23</v>
      </c>
      <c r="AF103" s="10">
        <v>4.29</v>
      </c>
      <c r="AG103" s="10">
        <v>3.17</v>
      </c>
      <c r="AH103" s="15">
        <v>5.9900000000000002E-2</v>
      </c>
      <c r="AI103" s="10">
        <f t="shared" si="26"/>
        <v>7.46</v>
      </c>
      <c r="AJ103" s="10">
        <v>0.02</v>
      </c>
      <c r="AK103" s="10">
        <v>10</v>
      </c>
      <c r="AL103" s="10">
        <v>0</v>
      </c>
      <c r="AM103" s="16">
        <v>40</v>
      </c>
      <c r="AN103" s="16">
        <v>40</v>
      </c>
      <c r="AO103" s="16">
        <v>2604.04</v>
      </c>
      <c r="AP103" s="10">
        <v>195.98199600000001</v>
      </c>
      <c r="AQ103" s="16">
        <v>42.3</v>
      </c>
      <c r="AR103" s="16">
        <v>2604.04</v>
      </c>
      <c r="AS103" s="10">
        <v>7.85</v>
      </c>
      <c r="AT103" s="13">
        <v>0</v>
      </c>
      <c r="AU103" s="10">
        <v>6.73</v>
      </c>
      <c r="AV103" s="17">
        <f t="shared" si="24"/>
        <v>61613.604300711624</v>
      </c>
      <c r="AW103" s="17">
        <v>25931.876232212875</v>
      </c>
      <c r="AX103" s="17">
        <v>23494.416721413643</v>
      </c>
      <c r="AY103" s="17">
        <v>12187.311347085113</v>
      </c>
      <c r="BA103" s="18"/>
      <c r="BC103" s="19"/>
      <c r="BD103" s="19"/>
      <c r="BE103" s="19"/>
      <c r="BF103" s="19"/>
      <c r="BG103" s="19"/>
      <c r="BI103" s="16">
        <f t="shared" si="16"/>
        <v>0</v>
      </c>
      <c r="BJ103" s="16">
        <f t="shared" si="17"/>
        <v>3053.6</v>
      </c>
      <c r="BK103" s="16">
        <f t="shared" si="18"/>
        <v>3053.6</v>
      </c>
      <c r="BL103" s="16">
        <f t="shared" si="19"/>
        <v>3053.6</v>
      </c>
      <c r="BM103" s="16">
        <f t="shared" si="20"/>
        <v>3053.6</v>
      </c>
      <c r="BN103" s="16">
        <f t="shared" si="21"/>
        <v>3053.6</v>
      </c>
      <c r="BO103" s="16">
        <f t="shared" si="22"/>
        <v>3053.6</v>
      </c>
      <c r="BP103" s="16">
        <f t="shared" si="23"/>
        <v>0</v>
      </c>
    </row>
    <row r="104" spans="1:68" ht="12" customHeight="1" x14ac:dyDescent="0.25">
      <c r="A104" s="5">
        <f t="shared" si="25"/>
        <v>100</v>
      </c>
      <c r="B104" s="6" t="s">
        <v>184</v>
      </c>
      <c r="C104" s="7">
        <f t="shared" si="15"/>
        <v>3035.1</v>
      </c>
      <c r="D104" s="8">
        <v>3035.1</v>
      </c>
      <c r="E104" s="8">
        <v>0</v>
      </c>
      <c r="F104" s="8">
        <v>546.67999999999995</v>
      </c>
      <c r="G104" s="9">
        <v>0</v>
      </c>
      <c r="H104" s="9">
        <v>1</v>
      </c>
      <c r="I104" s="9">
        <v>0</v>
      </c>
      <c r="J104" s="9">
        <v>630</v>
      </c>
      <c r="K104" s="9" t="s">
        <v>83</v>
      </c>
      <c r="L104" s="10" t="s">
        <v>71</v>
      </c>
      <c r="M104" s="10">
        <v>0</v>
      </c>
      <c r="N104" s="10" t="s">
        <v>72</v>
      </c>
      <c r="O104" s="10" t="s">
        <v>72</v>
      </c>
      <c r="P104" s="5" t="s">
        <v>143</v>
      </c>
      <c r="Q104" s="11">
        <v>3</v>
      </c>
      <c r="R104" s="12">
        <v>41.34</v>
      </c>
      <c r="S104" s="10">
        <v>4.68</v>
      </c>
      <c r="T104" s="10">
        <v>7.92</v>
      </c>
      <c r="U104" s="10">
        <v>12.32</v>
      </c>
      <c r="V104" s="10">
        <v>6.34</v>
      </c>
      <c r="W104" s="10">
        <v>2.89</v>
      </c>
      <c r="X104" s="10">
        <v>1.66</v>
      </c>
      <c r="Y104" s="10">
        <v>5.29</v>
      </c>
      <c r="Z104" s="10">
        <v>0.24</v>
      </c>
      <c r="AA104" s="13">
        <v>1.2E-2</v>
      </c>
      <c r="AB104" s="13">
        <v>1.2E-2</v>
      </c>
      <c r="AC104" s="14">
        <f t="shared" si="27"/>
        <v>7.1880000000000002E-4</v>
      </c>
      <c r="AD104" s="13">
        <f t="shared" si="28"/>
        <v>2.4E-2</v>
      </c>
      <c r="AE104" s="13">
        <v>3.23</v>
      </c>
      <c r="AF104" s="10">
        <v>4.29</v>
      </c>
      <c r="AG104" s="10">
        <v>3.17</v>
      </c>
      <c r="AH104" s="15">
        <v>5.9900000000000002E-2</v>
      </c>
      <c r="AI104" s="10">
        <f t="shared" si="26"/>
        <v>7.46</v>
      </c>
      <c r="AJ104" s="10">
        <v>0.02</v>
      </c>
      <c r="AK104" s="10">
        <v>10</v>
      </c>
      <c r="AL104" s="10">
        <v>0</v>
      </c>
      <c r="AM104" s="16">
        <v>40</v>
      </c>
      <c r="AN104" s="16">
        <v>40</v>
      </c>
      <c r="AO104" s="16">
        <v>2604.04</v>
      </c>
      <c r="AP104" s="10">
        <v>195.98199600000001</v>
      </c>
      <c r="AQ104" s="16">
        <v>42.3</v>
      </c>
      <c r="AR104" s="16">
        <v>2604.04</v>
      </c>
      <c r="AS104" s="10">
        <v>7.85</v>
      </c>
      <c r="AT104" s="13">
        <v>0</v>
      </c>
      <c r="AU104" s="10">
        <v>6.73</v>
      </c>
      <c r="AV104" s="17">
        <f t="shared" si="24"/>
        <v>61613.604300711624</v>
      </c>
      <c r="AW104" s="17">
        <v>25931.876232212875</v>
      </c>
      <c r="AX104" s="17">
        <v>23494.416721413643</v>
      </c>
      <c r="AY104" s="17">
        <v>12187.311347085113</v>
      </c>
      <c r="BA104" s="18"/>
      <c r="BC104" s="19"/>
      <c r="BD104" s="19"/>
      <c r="BE104" s="19"/>
      <c r="BF104" s="19"/>
      <c r="BG104" s="19"/>
      <c r="BI104" s="16">
        <f t="shared" si="16"/>
        <v>0</v>
      </c>
      <c r="BJ104" s="16">
        <f t="shared" si="17"/>
        <v>3035.1</v>
      </c>
      <c r="BK104" s="16">
        <f t="shared" si="18"/>
        <v>3035.1</v>
      </c>
      <c r="BL104" s="16">
        <f t="shared" si="19"/>
        <v>3035.1</v>
      </c>
      <c r="BM104" s="16">
        <f t="shared" si="20"/>
        <v>3035.1</v>
      </c>
      <c r="BN104" s="16">
        <f t="shared" si="21"/>
        <v>3035.1</v>
      </c>
      <c r="BO104" s="16">
        <f t="shared" si="22"/>
        <v>3035.1</v>
      </c>
      <c r="BP104" s="16">
        <f t="shared" si="23"/>
        <v>0</v>
      </c>
    </row>
    <row r="105" spans="1:68" ht="12" customHeight="1" x14ac:dyDescent="0.25">
      <c r="A105" s="5">
        <f t="shared" si="25"/>
        <v>101</v>
      </c>
      <c r="B105" s="6" t="s">
        <v>185</v>
      </c>
      <c r="C105" s="7">
        <f t="shared" si="15"/>
        <v>4505.5999999999995</v>
      </c>
      <c r="D105" s="8">
        <v>4185.3999999999996</v>
      </c>
      <c r="E105" s="8">
        <v>320.2</v>
      </c>
      <c r="F105" s="8">
        <v>571.5</v>
      </c>
      <c r="G105" s="9">
        <v>0</v>
      </c>
      <c r="H105" s="9">
        <v>0</v>
      </c>
      <c r="I105" s="9">
        <v>0</v>
      </c>
      <c r="J105" s="9">
        <v>0</v>
      </c>
      <c r="K105" s="9" t="s">
        <v>71</v>
      </c>
      <c r="L105" s="10" t="s">
        <v>71</v>
      </c>
      <c r="M105" s="10">
        <v>0</v>
      </c>
      <c r="N105" s="10" t="s">
        <v>72</v>
      </c>
      <c r="O105" s="10" t="s">
        <v>72</v>
      </c>
      <c r="P105" s="5" t="s">
        <v>143</v>
      </c>
      <c r="Q105" s="11">
        <v>7</v>
      </c>
      <c r="R105" s="12">
        <v>28.44</v>
      </c>
      <c r="S105" s="10">
        <v>4.68</v>
      </c>
      <c r="T105" s="10">
        <v>6.05</v>
      </c>
      <c r="U105" s="10">
        <v>8.24</v>
      </c>
      <c r="V105" s="10">
        <v>6.34</v>
      </c>
      <c r="W105" s="10">
        <v>2.89</v>
      </c>
      <c r="X105" s="10">
        <v>0</v>
      </c>
      <c r="Y105" s="10">
        <v>0</v>
      </c>
      <c r="Z105" s="10">
        <v>0.24</v>
      </c>
      <c r="AA105" s="13">
        <v>1.2999999999999999E-2</v>
      </c>
      <c r="AB105" s="13">
        <v>1.2999999999999999E-2</v>
      </c>
      <c r="AC105" s="14">
        <f t="shared" si="27"/>
        <v>7.7870000000000001E-4</v>
      </c>
      <c r="AD105" s="13">
        <f t="shared" si="28"/>
        <v>2.5999999999999999E-2</v>
      </c>
      <c r="AE105" s="13">
        <v>0.68300000000000005</v>
      </c>
      <c r="AF105" s="10">
        <v>4.29</v>
      </c>
      <c r="AG105" s="10">
        <v>3.17</v>
      </c>
      <c r="AH105" s="15">
        <v>5.9900000000000002E-2</v>
      </c>
      <c r="AI105" s="10">
        <f t="shared" si="26"/>
        <v>7.46</v>
      </c>
      <c r="AJ105" s="10">
        <v>0.02</v>
      </c>
      <c r="AK105" s="10">
        <v>10</v>
      </c>
      <c r="AL105" s="10">
        <v>0</v>
      </c>
      <c r="AM105" s="16">
        <v>40</v>
      </c>
      <c r="AN105" s="16">
        <v>40</v>
      </c>
      <c r="AO105" s="16">
        <v>2604.04</v>
      </c>
      <c r="AP105" s="10">
        <v>195.98199600000001</v>
      </c>
      <c r="AQ105" s="16">
        <v>42.3</v>
      </c>
      <c r="AR105" s="16">
        <v>2604.04</v>
      </c>
      <c r="AS105" s="10">
        <v>7.85</v>
      </c>
      <c r="AT105" s="13">
        <v>0</v>
      </c>
      <c r="AU105" s="10">
        <v>6.73</v>
      </c>
      <c r="AV105" s="17">
        <f t="shared" si="24"/>
        <v>36821.588941155722</v>
      </c>
      <c r="AW105" s="17">
        <v>19318.724552168431</v>
      </c>
      <c r="AX105" s="17">
        <v>17502.864388987291</v>
      </c>
      <c r="AY105" s="17">
        <v>0</v>
      </c>
      <c r="BA105" s="18"/>
      <c r="BC105" s="19"/>
      <c r="BD105" s="19"/>
      <c r="BE105" s="19"/>
      <c r="BF105" s="19"/>
      <c r="BG105" s="19"/>
      <c r="BI105" s="16">
        <f t="shared" si="16"/>
        <v>0</v>
      </c>
      <c r="BJ105" s="16">
        <f t="shared" si="17"/>
        <v>0</v>
      </c>
      <c r="BK105" s="16">
        <f t="shared" si="18"/>
        <v>4505.5999999999995</v>
      </c>
      <c r="BL105" s="16">
        <f t="shared" si="19"/>
        <v>4505.5999999999995</v>
      </c>
      <c r="BM105" s="16">
        <f t="shared" si="20"/>
        <v>4505.5999999999995</v>
      </c>
      <c r="BN105" s="16">
        <f t="shared" si="21"/>
        <v>4505.5999999999995</v>
      </c>
      <c r="BO105" s="16">
        <f t="shared" si="22"/>
        <v>4505.5999999999995</v>
      </c>
      <c r="BP105" s="16">
        <f t="shared" si="23"/>
        <v>0</v>
      </c>
    </row>
    <row r="106" spans="1:68" ht="12" customHeight="1" x14ac:dyDescent="0.25">
      <c r="A106" s="5">
        <f t="shared" si="25"/>
        <v>102</v>
      </c>
      <c r="B106" s="6" t="s">
        <v>186</v>
      </c>
      <c r="C106" s="7">
        <f t="shared" si="15"/>
        <v>4500.9799999999996</v>
      </c>
      <c r="D106" s="8">
        <v>4500.9799999999996</v>
      </c>
      <c r="E106" s="8">
        <v>0</v>
      </c>
      <c r="F106" s="8">
        <v>571.5</v>
      </c>
      <c r="G106" s="9">
        <v>0</v>
      </c>
      <c r="H106" s="9">
        <v>0</v>
      </c>
      <c r="I106" s="9">
        <v>0</v>
      </c>
      <c r="J106" s="9">
        <v>0</v>
      </c>
      <c r="K106" s="9" t="s">
        <v>83</v>
      </c>
      <c r="L106" s="10" t="s">
        <v>71</v>
      </c>
      <c r="M106" s="10">
        <v>0</v>
      </c>
      <c r="N106" s="10" t="s">
        <v>72</v>
      </c>
      <c r="O106" s="10" t="s">
        <v>72</v>
      </c>
      <c r="P106" s="5" t="s">
        <v>143</v>
      </c>
      <c r="Q106" s="11">
        <v>7</v>
      </c>
      <c r="R106" s="12">
        <v>28.44</v>
      </c>
      <c r="S106" s="10">
        <v>4.68</v>
      </c>
      <c r="T106" s="10">
        <v>6.05</v>
      </c>
      <c r="U106" s="10">
        <v>8.24</v>
      </c>
      <c r="V106" s="10">
        <v>6.34</v>
      </c>
      <c r="W106" s="10">
        <v>2.89</v>
      </c>
      <c r="X106" s="10">
        <v>0</v>
      </c>
      <c r="Y106" s="10">
        <v>0</v>
      </c>
      <c r="Z106" s="10">
        <v>0.24</v>
      </c>
      <c r="AA106" s="13">
        <v>1.2999999999999999E-2</v>
      </c>
      <c r="AB106" s="13">
        <v>1.2999999999999999E-2</v>
      </c>
      <c r="AC106" s="14">
        <f t="shared" si="27"/>
        <v>7.7870000000000001E-4</v>
      </c>
      <c r="AD106" s="13">
        <f t="shared" si="28"/>
        <v>2.5999999999999999E-2</v>
      </c>
      <c r="AE106" s="13">
        <v>0.68300000000000005</v>
      </c>
      <c r="AF106" s="10">
        <v>4.29</v>
      </c>
      <c r="AG106" s="10">
        <v>3.17</v>
      </c>
      <c r="AH106" s="15">
        <v>5.9900000000000002E-2</v>
      </c>
      <c r="AI106" s="10">
        <f t="shared" si="26"/>
        <v>7.46</v>
      </c>
      <c r="AJ106" s="10">
        <v>0.02</v>
      </c>
      <c r="AK106" s="10">
        <v>10</v>
      </c>
      <c r="AL106" s="10">
        <v>0</v>
      </c>
      <c r="AM106" s="16">
        <v>40</v>
      </c>
      <c r="AN106" s="16">
        <v>40</v>
      </c>
      <c r="AO106" s="16">
        <v>2604.04</v>
      </c>
      <c r="AP106" s="10">
        <v>195.98199600000001</v>
      </c>
      <c r="AQ106" s="16">
        <v>42.3</v>
      </c>
      <c r="AR106" s="16">
        <v>2604.04</v>
      </c>
      <c r="AS106" s="10">
        <v>7.85</v>
      </c>
      <c r="AT106" s="13">
        <v>0</v>
      </c>
      <c r="AU106" s="10">
        <v>6.73</v>
      </c>
      <c r="AV106" s="17">
        <f t="shared" si="24"/>
        <v>36769.147616883682</v>
      </c>
      <c r="AW106" s="17">
        <v>19291.207339669028</v>
      </c>
      <c r="AX106" s="17">
        <v>17477.94027721465</v>
      </c>
      <c r="AY106" s="17">
        <v>0</v>
      </c>
      <c r="BA106" s="18"/>
      <c r="BC106" s="19"/>
      <c r="BD106" s="19"/>
      <c r="BE106" s="19"/>
      <c r="BF106" s="19"/>
      <c r="BG106" s="19"/>
      <c r="BI106" s="16">
        <f t="shared" si="16"/>
        <v>0</v>
      </c>
      <c r="BJ106" s="16">
        <f t="shared" si="17"/>
        <v>0</v>
      </c>
      <c r="BK106" s="16">
        <f t="shared" si="18"/>
        <v>4500.9799999999996</v>
      </c>
      <c r="BL106" s="16">
        <f t="shared" si="19"/>
        <v>4500.9799999999996</v>
      </c>
      <c r="BM106" s="16">
        <f t="shared" si="20"/>
        <v>4500.9799999999996</v>
      </c>
      <c r="BN106" s="16">
        <f t="shared" si="21"/>
        <v>4500.9799999999996</v>
      </c>
      <c r="BO106" s="16">
        <f t="shared" si="22"/>
        <v>4500.9799999999996</v>
      </c>
      <c r="BP106" s="16">
        <f t="shared" si="23"/>
        <v>0</v>
      </c>
    </row>
    <row r="107" spans="1:68" ht="12" customHeight="1" x14ac:dyDescent="0.25">
      <c r="A107" s="5">
        <f t="shared" si="25"/>
        <v>103</v>
      </c>
      <c r="B107" s="6" t="s">
        <v>187</v>
      </c>
      <c r="C107" s="7">
        <f t="shared" si="15"/>
        <v>6866.78</v>
      </c>
      <c r="D107" s="8">
        <v>6866.78</v>
      </c>
      <c r="E107" s="8">
        <v>0</v>
      </c>
      <c r="F107" s="8">
        <v>706.4</v>
      </c>
      <c r="G107" s="9">
        <v>0</v>
      </c>
      <c r="H107" s="9">
        <v>0</v>
      </c>
      <c r="I107" s="9">
        <v>0</v>
      </c>
      <c r="J107" s="9">
        <v>0</v>
      </c>
      <c r="K107" s="9" t="s">
        <v>71</v>
      </c>
      <c r="L107" s="10" t="s">
        <v>71</v>
      </c>
      <c r="M107" s="10">
        <v>0</v>
      </c>
      <c r="N107" s="10" t="s">
        <v>72</v>
      </c>
      <c r="O107" s="10" t="s">
        <v>72</v>
      </c>
      <c r="P107" s="5" t="s">
        <v>143</v>
      </c>
      <c r="Q107" s="11">
        <v>7</v>
      </c>
      <c r="R107" s="12">
        <v>28.44</v>
      </c>
      <c r="S107" s="10">
        <v>4.68</v>
      </c>
      <c r="T107" s="10">
        <v>6.05</v>
      </c>
      <c r="U107" s="10">
        <v>8.24</v>
      </c>
      <c r="V107" s="10">
        <v>6.34</v>
      </c>
      <c r="W107" s="10">
        <v>2.89</v>
      </c>
      <c r="X107" s="10">
        <v>0</v>
      </c>
      <c r="Y107" s="10">
        <v>0</v>
      </c>
      <c r="Z107" s="10">
        <v>0.24</v>
      </c>
      <c r="AA107" s="13">
        <v>1.2999999999999999E-2</v>
      </c>
      <c r="AB107" s="13">
        <v>1.2999999999999999E-2</v>
      </c>
      <c r="AC107" s="14">
        <f t="shared" si="27"/>
        <v>7.7870000000000001E-4</v>
      </c>
      <c r="AD107" s="13">
        <f t="shared" si="28"/>
        <v>2.5999999999999999E-2</v>
      </c>
      <c r="AE107" s="13">
        <v>0.68300000000000005</v>
      </c>
      <c r="AF107" s="10">
        <v>4.29</v>
      </c>
      <c r="AG107" s="10">
        <v>3.17</v>
      </c>
      <c r="AH107" s="15">
        <v>5.9900000000000002E-2</v>
      </c>
      <c r="AI107" s="10">
        <f t="shared" si="26"/>
        <v>7.46</v>
      </c>
      <c r="AJ107" s="10">
        <v>0.02</v>
      </c>
      <c r="AK107" s="10">
        <v>10</v>
      </c>
      <c r="AL107" s="10">
        <v>0</v>
      </c>
      <c r="AM107" s="16">
        <v>40</v>
      </c>
      <c r="AN107" s="16">
        <v>40</v>
      </c>
      <c r="AO107" s="16">
        <v>2604.04</v>
      </c>
      <c r="AP107" s="10">
        <v>195.98199600000001</v>
      </c>
      <c r="AQ107" s="16">
        <v>42.3</v>
      </c>
      <c r="AR107" s="16">
        <v>2604.04</v>
      </c>
      <c r="AS107" s="10">
        <v>7.85</v>
      </c>
      <c r="AT107" s="13">
        <v>0</v>
      </c>
      <c r="AU107" s="10">
        <v>6.73</v>
      </c>
      <c r="AV107" s="17">
        <f t="shared" si="24"/>
        <v>55735.569090525911</v>
      </c>
      <c r="AW107" s="17">
        <v>29242.079654634759</v>
      </c>
      <c r="AX107" s="17">
        <v>26493.489435891155</v>
      </c>
      <c r="AY107" s="17">
        <v>0</v>
      </c>
      <c r="BA107" s="18"/>
      <c r="BC107" s="19"/>
      <c r="BD107" s="19"/>
      <c r="BE107" s="19"/>
      <c r="BF107" s="19"/>
      <c r="BG107" s="19"/>
      <c r="BI107" s="16">
        <f t="shared" si="16"/>
        <v>0</v>
      </c>
      <c r="BJ107" s="16">
        <f t="shared" si="17"/>
        <v>0</v>
      </c>
      <c r="BK107" s="16">
        <f t="shared" si="18"/>
        <v>6866.78</v>
      </c>
      <c r="BL107" s="16">
        <f t="shared" si="19"/>
        <v>6866.78</v>
      </c>
      <c r="BM107" s="16">
        <f t="shared" si="20"/>
        <v>6866.78</v>
      </c>
      <c r="BN107" s="16">
        <f t="shared" si="21"/>
        <v>6866.78</v>
      </c>
      <c r="BO107" s="16">
        <f t="shared" si="22"/>
        <v>6866.78</v>
      </c>
      <c r="BP107" s="16">
        <f t="shared" si="23"/>
        <v>0</v>
      </c>
    </row>
    <row r="108" spans="1:68" ht="12" customHeight="1" x14ac:dyDescent="0.25">
      <c r="A108" s="5">
        <f t="shared" si="25"/>
        <v>104</v>
      </c>
      <c r="B108" s="6" t="s">
        <v>188</v>
      </c>
      <c r="C108" s="7">
        <f t="shared" si="15"/>
        <v>4577.38</v>
      </c>
      <c r="D108" s="8">
        <v>4577.38</v>
      </c>
      <c r="E108" s="8">
        <v>0</v>
      </c>
      <c r="F108" s="8">
        <v>565.79999999999995</v>
      </c>
      <c r="G108" s="9">
        <v>0</v>
      </c>
      <c r="H108" s="9">
        <v>0</v>
      </c>
      <c r="I108" s="9">
        <v>0</v>
      </c>
      <c r="J108" s="9">
        <v>0</v>
      </c>
      <c r="K108" s="9" t="s">
        <v>83</v>
      </c>
      <c r="L108" s="10" t="s">
        <v>71</v>
      </c>
      <c r="M108" s="10">
        <v>0</v>
      </c>
      <c r="N108" s="10" t="s">
        <v>72</v>
      </c>
      <c r="O108" s="10" t="s">
        <v>72</v>
      </c>
      <c r="P108" s="5" t="s">
        <v>143</v>
      </c>
      <c r="Q108" s="11">
        <v>7</v>
      </c>
      <c r="R108" s="12">
        <v>28.44</v>
      </c>
      <c r="S108" s="10">
        <v>4.68</v>
      </c>
      <c r="T108" s="10">
        <v>6.05</v>
      </c>
      <c r="U108" s="10">
        <v>8.24</v>
      </c>
      <c r="V108" s="10">
        <v>6.34</v>
      </c>
      <c r="W108" s="10">
        <v>2.89</v>
      </c>
      <c r="X108" s="10">
        <v>0</v>
      </c>
      <c r="Y108" s="10">
        <v>0</v>
      </c>
      <c r="Z108" s="10">
        <v>0.24</v>
      </c>
      <c r="AA108" s="13">
        <v>1.2999999999999999E-2</v>
      </c>
      <c r="AB108" s="13">
        <v>1.2999999999999999E-2</v>
      </c>
      <c r="AC108" s="14">
        <f t="shared" si="27"/>
        <v>7.7870000000000001E-4</v>
      </c>
      <c r="AD108" s="13">
        <f t="shared" si="28"/>
        <v>2.5999999999999999E-2</v>
      </c>
      <c r="AE108" s="13">
        <v>0.68300000000000005</v>
      </c>
      <c r="AF108" s="10">
        <v>4.29</v>
      </c>
      <c r="AG108" s="10">
        <v>3.17</v>
      </c>
      <c r="AH108" s="15">
        <v>5.9900000000000002E-2</v>
      </c>
      <c r="AI108" s="10">
        <f t="shared" si="26"/>
        <v>7.46</v>
      </c>
      <c r="AJ108" s="10">
        <v>0.02</v>
      </c>
      <c r="AK108" s="10">
        <v>10</v>
      </c>
      <c r="AL108" s="10">
        <v>0</v>
      </c>
      <c r="AM108" s="16">
        <v>40</v>
      </c>
      <c r="AN108" s="16">
        <v>40</v>
      </c>
      <c r="AO108" s="16">
        <v>2604.04</v>
      </c>
      <c r="AP108" s="10">
        <v>195.98199600000001</v>
      </c>
      <c r="AQ108" s="16">
        <v>42.3</v>
      </c>
      <c r="AR108" s="16">
        <v>2604.04</v>
      </c>
      <c r="AS108" s="10">
        <v>7.85</v>
      </c>
      <c r="AT108" s="13">
        <v>0</v>
      </c>
      <c r="AU108" s="10">
        <v>6.73</v>
      </c>
      <c r="AV108" s="17">
        <f t="shared" si="24"/>
        <v>37372.967672816681</v>
      </c>
      <c r="AW108" s="17">
        <v>19608.007007180946</v>
      </c>
      <c r="AX108" s="17">
        <v>17764.960665635739</v>
      </c>
      <c r="AY108" s="17">
        <v>0</v>
      </c>
      <c r="BA108" s="18"/>
      <c r="BC108" s="19"/>
      <c r="BD108" s="19"/>
      <c r="BE108" s="19"/>
      <c r="BF108" s="19"/>
      <c r="BG108" s="19"/>
      <c r="BI108" s="16">
        <f t="shared" si="16"/>
        <v>0</v>
      </c>
      <c r="BJ108" s="16">
        <f t="shared" si="17"/>
        <v>0</v>
      </c>
      <c r="BK108" s="16">
        <f t="shared" si="18"/>
        <v>4577.38</v>
      </c>
      <c r="BL108" s="16">
        <f t="shared" si="19"/>
        <v>4577.38</v>
      </c>
      <c r="BM108" s="16">
        <f t="shared" si="20"/>
        <v>4577.38</v>
      </c>
      <c r="BN108" s="16">
        <f t="shared" si="21"/>
        <v>4577.38</v>
      </c>
      <c r="BO108" s="16">
        <f t="shared" si="22"/>
        <v>4577.38</v>
      </c>
      <c r="BP108" s="16">
        <f t="shared" si="23"/>
        <v>0</v>
      </c>
    </row>
    <row r="109" spans="1:68" ht="12" customHeight="1" x14ac:dyDescent="0.25">
      <c r="A109" s="5">
        <f t="shared" si="25"/>
        <v>105</v>
      </c>
      <c r="B109" s="6" t="s">
        <v>189</v>
      </c>
      <c r="C109" s="7">
        <f t="shared" si="15"/>
        <v>3516.8</v>
      </c>
      <c r="D109" s="8">
        <v>3516.8</v>
      </c>
      <c r="E109" s="8">
        <v>0</v>
      </c>
      <c r="F109" s="8">
        <v>353.2</v>
      </c>
      <c r="G109" s="9">
        <v>0</v>
      </c>
      <c r="H109" s="9">
        <v>0</v>
      </c>
      <c r="I109" s="9">
        <v>0</v>
      </c>
      <c r="J109" s="9">
        <v>0</v>
      </c>
      <c r="K109" s="9" t="s">
        <v>83</v>
      </c>
      <c r="L109" s="10" t="s">
        <v>71</v>
      </c>
      <c r="M109" s="10">
        <v>0</v>
      </c>
      <c r="N109" s="10" t="s">
        <v>72</v>
      </c>
      <c r="O109" s="10" t="s">
        <v>72</v>
      </c>
      <c r="P109" s="5" t="s">
        <v>143</v>
      </c>
      <c r="Q109" s="11">
        <v>7</v>
      </c>
      <c r="R109" s="12">
        <v>28.44</v>
      </c>
      <c r="S109" s="10">
        <v>4.68</v>
      </c>
      <c r="T109" s="10">
        <v>6.05</v>
      </c>
      <c r="U109" s="10">
        <v>8.24</v>
      </c>
      <c r="V109" s="10">
        <v>6.34</v>
      </c>
      <c r="W109" s="10">
        <v>2.89</v>
      </c>
      <c r="X109" s="10">
        <v>0</v>
      </c>
      <c r="Y109" s="10">
        <v>0</v>
      </c>
      <c r="Z109" s="10">
        <v>0.24</v>
      </c>
      <c r="AA109" s="13">
        <v>1.2999999999999999E-2</v>
      </c>
      <c r="AB109" s="13">
        <v>1.2999999999999999E-2</v>
      </c>
      <c r="AC109" s="14">
        <f t="shared" si="27"/>
        <v>7.7870000000000001E-4</v>
      </c>
      <c r="AD109" s="13">
        <f t="shared" si="28"/>
        <v>2.5999999999999999E-2</v>
      </c>
      <c r="AE109" s="13">
        <v>0.68300000000000005</v>
      </c>
      <c r="AF109" s="10">
        <v>4.29</v>
      </c>
      <c r="AG109" s="10">
        <v>3.17</v>
      </c>
      <c r="AH109" s="15">
        <v>5.9900000000000002E-2</v>
      </c>
      <c r="AI109" s="10">
        <f t="shared" si="26"/>
        <v>7.46</v>
      </c>
      <c r="AJ109" s="10">
        <v>0.02</v>
      </c>
      <c r="AK109" s="10">
        <v>10</v>
      </c>
      <c r="AL109" s="10">
        <v>0</v>
      </c>
      <c r="AM109" s="16">
        <v>40</v>
      </c>
      <c r="AN109" s="16">
        <v>40</v>
      </c>
      <c r="AO109" s="16">
        <v>2604.04</v>
      </c>
      <c r="AP109" s="10">
        <v>195.98199600000001</v>
      </c>
      <c r="AQ109" s="16">
        <v>42.3</v>
      </c>
      <c r="AR109" s="16">
        <v>2604.04</v>
      </c>
      <c r="AS109" s="10">
        <v>7.85</v>
      </c>
      <c r="AT109" s="13">
        <v>0</v>
      </c>
      <c r="AU109" s="10">
        <v>6.73</v>
      </c>
      <c r="AV109" s="17">
        <f t="shared" si="24"/>
        <v>28755.252579363372</v>
      </c>
      <c r="AW109" s="17">
        <v>15086.660028294118</v>
      </c>
      <c r="AX109" s="17">
        <v>13668.592551069254</v>
      </c>
      <c r="AY109" s="17">
        <v>0</v>
      </c>
      <c r="BA109" s="18"/>
      <c r="BC109" s="19"/>
      <c r="BD109" s="19"/>
      <c r="BE109" s="19"/>
      <c r="BF109" s="19"/>
      <c r="BG109" s="19"/>
      <c r="BI109" s="16">
        <f t="shared" si="16"/>
        <v>0</v>
      </c>
      <c r="BJ109" s="16">
        <f t="shared" si="17"/>
        <v>0</v>
      </c>
      <c r="BK109" s="16">
        <f t="shared" si="18"/>
        <v>3516.8</v>
      </c>
      <c r="BL109" s="16">
        <f t="shared" si="19"/>
        <v>3516.8</v>
      </c>
      <c r="BM109" s="16">
        <f t="shared" si="20"/>
        <v>3516.8</v>
      </c>
      <c r="BN109" s="16">
        <f t="shared" si="21"/>
        <v>3516.8</v>
      </c>
      <c r="BO109" s="16">
        <f t="shared" si="22"/>
        <v>3516.8</v>
      </c>
      <c r="BP109" s="16">
        <f t="shared" si="23"/>
        <v>0</v>
      </c>
    </row>
    <row r="110" spans="1:68" ht="12" customHeight="1" x14ac:dyDescent="0.25">
      <c r="A110" s="5">
        <f t="shared" si="25"/>
        <v>106</v>
      </c>
      <c r="B110" s="6" t="s">
        <v>190</v>
      </c>
      <c r="C110" s="7">
        <f t="shared" si="15"/>
        <v>2721.6000000000008</v>
      </c>
      <c r="D110" s="8">
        <v>2721.6000000000008</v>
      </c>
      <c r="E110" s="8">
        <v>0</v>
      </c>
      <c r="F110" s="8">
        <v>355</v>
      </c>
      <c r="G110" s="9">
        <v>0</v>
      </c>
      <c r="H110" s="9">
        <v>0</v>
      </c>
      <c r="I110" s="9">
        <v>0</v>
      </c>
      <c r="J110" s="9">
        <v>0</v>
      </c>
      <c r="K110" s="9" t="s">
        <v>71</v>
      </c>
      <c r="L110" s="10" t="s">
        <v>71</v>
      </c>
      <c r="M110" s="10">
        <v>0</v>
      </c>
      <c r="N110" s="10" t="s">
        <v>72</v>
      </c>
      <c r="O110" s="10" t="s">
        <v>72</v>
      </c>
      <c r="P110" s="5" t="s">
        <v>143</v>
      </c>
      <c r="Q110" s="11">
        <v>7</v>
      </c>
      <c r="R110" s="12">
        <v>28.44</v>
      </c>
      <c r="S110" s="10">
        <v>4.68</v>
      </c>
      <c r="T110" s="10">
        <v>6.05</v>
      </c>
      <c r="U110" s="10">
        <v>8.24</v>
      </c>
      <c r="V110" s="10">
        <v>6.34</v>
      </c>
      <c r="W110" s="10">
        <v>2.89</v>
      </c>
      <c r="X110" s="10">
        <v>0</v>
      </c>
      <c r="Y110" s="10">
        <v>0</v>
      </c>
      <c r="Z110" s="10">
        <v>0.24</v>
      </c>
      <c r="AA110" s="13">
        <v>1.2999999999999999E-2</v>
      </c>
      <c r="AB110" s="13">
        <v>1.2999999999999999E-2</v>
      </c>
      <c r="AC110" s="14">
        <f t="shared" si="27"/>
        <v>7.7870000000000001E-4</v>
      </c>
      <c r="AD110" s="13">
        <f t="shared" si="28"/>
        <v>2.5999999999999999E-2</v>
      </c>
      <c r="AE110" s="13">
        <v>0.68300000000000005</v>
      </c>
      <c r="AF110" s="10">
        <v>4.29</v>
      </c>
      <c r="AG110" s="10">
        <v>3.17</v>
      </c>
      <c r="AH110" s="15">
        <v>5.9900000000000002E-2</v>
      </c>
      <c r="AI110" s="10">
        <f t="shared" si="26"/>
        <v>7.46</v>
      </c>
      <c r="AJ110" s="10">
        <v>0.02</v>
      </c>
      <c r="AK110" s="10">
        <v>10</v>
      </c>
      <c r="AL110" s="10">
        <v>0</v>
      </c>
      <c r="AM110" s="16">
        <v>40</v>
      </c>
      <c r="AN110" s="16">
        <v>40</v>
      </c>
      <c r="AO110" s="16">
        <v>2604.04</v>
      </c>
      <c r="AP110" s="10">
        <v>195.98199600000001</v>
      </c>
      <c r="AQ110" s="16">
        <v>42.3</v>
      </c>
      <c r="AR110" s="16">
        <v>2604.04</v>
      </c>
      <c r="AS110" s="10">
        <v>7.85</v>
      </c>
      <c r="AT110" s="13">
        <v>0</v>
      </c>
      <c r="AU110" s="10">
        <v>6.73</v>
      </c>
      <c r="AV110" s="17">
        <f t="shared" si="24"/>
        <v>22110.61127719556</v>
      </c>
      <c r="AW110" s="17">
        <v>11600.498169854744</v>
      </c>
      <c r="AX110" s="17">
        <v>10510.113107340814</v>
      </c>
      <c r="AY110" s="17">
        <v>0</v>
      </c>
      <c r="BA110" s="18"/>
      <c r="BC110" s="19"/>
      <c r="BD110" s="19"/>
      <c r="BE110" s="19"/>
      <c r="BF110" s="19"/>
      <c r="BG110" s="19"/>
      <c r="BI110" s="16">
        <f t="shared" si="16"/>
        <v>0</v>
      </c>
      <c r="BJ110" s="16">
        <f t="shared" si="17"/>
        <v>0</v>
      </c>
      <c r="BK110" s="16">
        <f t="shared" si="18"/>
        <v>2721.6000000000008</v>
      </c>
      <c r="BL110" s="16">
        <f t="shared" si="19"/>
        <v>2721.6000000000008</v>
      </c>
      <c r="BM110" s="16">
        <f t="shared" si="20"/>
        <v>2721.6000000000008</v>
      </c>
      <c r="BN110" s="16">
        <f t="shared" si="21"/>
        <v>2721.6000000000008</v>
      </c>
      <c r="BO110" s="16">
        <f t="shared" si="22"/>
        <v>2721.6000000000008</v>
      </c>
      <c r="BP110" s="16">
        <f t="shared" si="23"/>
        <v>0</v>
      </c>
    </row>
    <row r="111" spans="1:68" ht="12" customHeight="1" x14ac:dyDescent="0.25">
      <c r="A111" s="5">
        <f t="shared" si="25"/>
        <v>107</v>
      </c>
      <c r="B111" s="6" t="s">
        <v>191</v>
      </c>
      <c r="C111" s="7">
        <f t="shared" si="15"/>
        <v>3502</v>
      </c>
      <c r="D111" s="8">
        <v>3502</v>
      </c>
      <c r="E111" s="8">
        <v>0</v>
      </c>
      <c r="F111" s="8">
        <v>353.2</v>
      </c>
      <c r="G111" s="9">
        <v>0</v>
      </c>
      <c r="H111" s="9">
        <v>0</v>
      </c>
      <c r="I111" s="9">
        <v>0</v>
      </c>
      <c r="J111" s="9">
        <v>0</v>
      </c>
      <c r="K111" s="9" t="s">
        <v>83</v>
      </c>
      <c r="L111" s="10" t="s">
        <v>71</v>
      </c>
      <c r="M111" s="10">
        <v>0</v>
      </c>
      <c r="N111" s="10" t="s">
        <v>72</v>
      </c>
      <c r="O111" s="10" t="s">
        <v>72</v>
      </c>
      <c r="P111" s="5" t="s">
        <v>143</v>
      </c>
      <c r="Q111" s="11">
        <v>7</v>
      </c>
      <c r="R111" s="12">
        <v>28.44</v>
      </c>
      <c r="S111" s="10">
        <v>4.68</v>
      </c>
      <c r="T111" s="10">
        <v>6.05</v>
      </c>
      <c r="U111" s="10">
        <v>8.24</v>
      </c>
      <c r="V111" s="10">
        <v>6.34</v>
      </c>
      <c r="W111" s="10">
        <v>2.89</v>
      </c>
      <c r="X111" s="10">
        <v>0</v>
      </c>
      <c r="Y111" s="10">
        <v>0</v>
      </c>
      <c r="Z111" s="10">
        <v>0.24</v>
      </c>
      <c r="AA111" s="13">
        <v>1.2999999999999999E-2</v>
      </c>
      <c r="AB111" s="13">
        <v>1.2999999999999999E-2</v>
      </c>
      <c r="AC111" s="14">
        <f t="shared" si="27"/>
        <v>7.7870000000000001E-4</v>
      </c>
      <c r="AD111" s="13">
        <f t="shared" si="28"/>
        <v>2.5999999999999999E-2</v>
      </c>
      <c r="AE111" s="13">
        <v>0.68300000000000005</v>
      </c>
      <c r="AF111" s="10">
        <v>4.29</v>
      </c>
      <c r="AG111" s="10">
        <v>3.17</v>
      </c>
      <c r="AH111" s="15">
        <v>5.9900000000000002E-2</v>
      </c>
      <c r="AI111" s="10">
        <f t="shared" si="26"/>
        <v>7.46</v>
      </c>
      <c r="AJ111" s="10">
        <v>0.02</v>
      </c>
      <c r="AK111" s="10">
        <v>10</v>
      </c>
      <c r="AL111" s="10">
        <v>0</v>
      </c>
      <c r="AM111" s="16">
        <v>40</v>
      </c>
      <c r="AN111" s="16">
        <v>40</v>
      </c>
      <c r="AO111" s="16">
        <v>2604.04</v>
      </c>
      <c r="AP111" s="10">
        <v>195.98199600000001</v>
      </c>
      <c r="AQ111" s="16">
        <v>42.3</v>
      </c>
      <c r="AR111" s="16">
        <v>2604.04</v>
      </c>
      <c r="AS111" s="10">
        <v>7.85</v>
      </c>
      <c r="AT111" s="13">
        <v>0</v>
      </c>
      <c r="AU111" s="10">
        <v>6.73</v>
      </c>
      <c r="AV111" s="17">
        <f t="shared" si="24"/>
        <v>28606.521700976875</v>
      </c>
      <c r="AW111" s="17">
        <v>15008.632523978767</v>
      </c>
      <c r="AX111" s="17">
        <v>13597.889176998107</v>
      </c>
      <c r="AY111" s="17">
        <v>0</v>
      </c>
      <c r="BA111" s="18"/>
      <c r="BC111" s="19"/>
      <c r="BD111" s="19"/>
      <c r="BE111" s="19"/>
      <c r="BF111" s="19"/>
      <c r="BG111" s="19"/>
      <c r="BI111" s="16">
        <f t="shared" si="16"/>
        <v>0</v>
      </c>
      <c r="BJ111" s="16">
        <f t="shared" si="17"/>
        <v>0</v>
      </c>
      <c r="BK111" s="16">
        <f t="shared" si="18"/>
        <v>3502</v>
      </c>
      <c r="BL111" s="16">
        <f t="shared" si="19"/>
        <v>3502</v>
      </c>
      <c r="BM111" s="16">
        <f t="shared" si="20"/>
        <v>3502</v>
      </c>
      <c r="BN111" s="16">
        <f t="shared" si="21"/>
        <v>3502</v>
      </c>
      <c r="BO111" s="16">
        <f t="shared" si="22"/>
        <v>3502</v>
      </c>
      <c r="BP111" s="16">
        <f t="shared" si="23"/>
        <v>0</v>
      </c>
    </row>
    <row r="112" spans="1:68" ht="12" customHeight="1" x14ac:dyDescent="0.25">
      <c r="A112" s="5">
        <f t="shared" si="25"/>
        <v>108</v>
      </c>
      <c r="B112" s="6" t="s">
        <v>192</v>
      </c>
      <c r="C112" s="7">
        <f t="shared" si="15"/>
        <v>3432.6</v>
      </c>
      <c r="D112" s="8">
        <v>3432.6</v>
      </c>
      <c r="E112" s="8">
        <v>0</v>
      </c>
      <c r="F112" s="8">
        <v>335.3</v>
      </c>
      <c r="G112" s="9">
        <v>0</v>
      </c>
      <c r="H112" s="9">
        <v>0</v>
      </c>
      <c r="I112" s="9">
        <v>0</v>
      </c>
      <c r="J112" s="9">
        <v>0</v>
      </c>
      <c r="K112" s="9" t="s">
        <v>83</v>
      </c>
      <c r="L112" s="10" t="s">
        <v>71</v>
      </c>
      <c r="M112" s="10">
        <v>0</v>
      </c>
      <c r="N112" s="10" t="s">
        <v>72</v>
      </c>
      <c r="O112" s="10" t="s">
        <v>72</v>
      </c>
      <c r="P112" s="5" t="s">
        <v>143</v>
      </c>
      <c r="Q112" s="11">
        <v>7</v>
      </c>
      <c r="R112" s="12">
        <v>28.44</v>
      </c>
      <c r="S112" s="10">
        <v>4.68</v>
      </c>
      <c r="T112" s="10">
        <v>6.05</v>
      </c>
      <c r="U112" s="10">
        <v>8.24</v>
      </c>
      <c r="V112" s="10">
        <v>6.34</v>
      </c>
      <c r="W112" s="10">
        <v>2.89</v>
      </c>
      <c r="X112" s="10">
        <v>0</v>
      </c>
      <c r="Y112" s="10">
        <v>0</v>
      </c>
      <c r="Z112" s="10">
        <v>0.24</v>
      </c>
      <c r="AA112" s="13">
        <v>1.2999999999999999E-2</v>
      </c>
      <c r="AB112" s="13">
        <v>1.2999999999999999E-2</v>
      </c>
      <c r="AC112" s="14">
        <f t="shared" si="27"/>
        <v>7.7870000000000001E-4</v>
      </c>
      <c r="AD112" s="13">
        <f t="shared" si="28"/>
        <v>2.5999999999999999E-2</v>
      </c>
      <c r="AE112" s="13">
        <v>0.68300000000000005</v>
      </c>
      <c r="AF112" s="10">
        <v>4.29</v>
      </c>
      <c r="AG112" s="10">
        <v>3.17</v>
      </c>
      <c r="AH112" s="15">
        <v>5.9900000000000002E-2</v>
      </c>
      <c r="AI112" s="10">
        <f t="shared" si="26"/>
        <v>7.46</v>
      </c>
      <c r="AJ112" s="10">
        <v>0.02</v>
      </c>
      <c r="AK112" s="10">
        <v>10</v>
      </c>
      <c r="AL112" s="10">
        <v>0</v>
      </c>
      <c r="AM112" s="16">
        <v>40</v>
      </c>
      <c r="AN112" s="16">
        <v>40</v>
      </c>
      <c r="AO112" s="16">
        <v>2604.04</v>
      </c>
      <c r="AP112" s="10">
        <v>195.98199600000001</v>
      </c>
      <c r="AQ112" s="16">
        <v>42.3</v>
      </c>
      <c r="AR112" s="16">
        <v>2604.04</v>
      </c>
      <c r="AS112" s="10">
        <v>7.85</v>
      </c>
      <c r="AT112" s="13">
        <v>0</v>
      </c>
      <c r="AU112" s="10">
        <v>6.73</v>
      </c>
      <c r="AV112" s="17">
        <f t="shared" si="24"/>
        <v>27822.108731131746</v>
      </c>
      <c r="AW112" s="17">
        <v>14597.074335228301</v>
      </c>
      <c r="AX112" s="17">
        <v>13225.034395903444</v>
      </c>
      <c r="AY112" s="17">
        <v>0</v>
      </c>
      <c r="BA112" s="18"/>
      <c r="BC112" s="19"/>
      <c r="BD112" s="19"/>
      <c r="BE112" s="19"/>
      <c r="BF112" s="19"/>
      <c r="BG112" s="19"/>
      <c r="BI112" s="16">
        <f t="shared" si="16"/>
        <v>0</v>
      </c>
      <c r="BJ112" s="16">
        <f t="shared" si="17"/>
        <v>0</v>
      </c>
      <c r="BK112" s="16">
        <f t="shared" si="18"/>
        <v>3432.6</v>
      </c>
      <c r="BL112" s="16">
        <f t="shared" si="19"/>
        <v>3432.6</v>
      </c>
      <c r="BM112" s="16">
        <f t="shared" si="20"/>
        <v>3432.6</v>
      </c>
      <c r="BN112" s="16">
        <f t="shared" si="21"/>
        <v>3432.6</v>
      </c>
      <c r="BO112" s="16">
        <f t="shared" si="22"/>
        <v>3432.6</v>
      </c>
      <c r="BP112" s="16">
        <f t="shared" si="23"/>
        <v>0</v>
      </c>
    </row>
    <row r="113" spans="1:68" ht="12" customHeight="1" x14ac:dyDescent="0.25">
      <c r="A113" s="5">
        <f t="shared" si="25"/>
        <v>109</v>
      </c>
      <c r="B113" s="6" t="s">
        <v>193</v>
      </c>
      <c r="C113" s="7">
        <f t="shared" si="15"/>
        <v>3485.23</v>
      </c>
      <c r="D113" s="8">
        <v>3485.23</v>
      </c>
      <c r="E113" s="8">
        <v>0</v>
      </c>
      <c r="F113" s="8">
        <v>291.60000000000002</v>
      </c>
      <c r="G113" s="9">
        <v>0</v>
      </c>
      <c r="H113" s="9">
        <v>0</v>
      </c>
      <c r="I113" s="9">
        <v>0</v>
      </c>
      <c r="J113" s="9">
        <v>0</v>
      </c>
      <c r="K113" s="9" t="s">
        <v>83</v>
      </c>
      <c r="L113" s="10" t="s">
        <v>71</v>
      </c>
      <c r="M113" s="10">
        <v>0</v>
      </c>
      <c r="N113" s="10" t="s">
        <v>72</v>
      </c>
      <c r="O113" s="10" t="s">
        <v>72</v>
      </c>
      <c r="P113" s="5" t="s">
        <v>143</v>
      </c>
      <c r="Q113" s="11">
        <v>7</v>
      </c>
      <c r="R113" s="12">
        <v>28.44</v>
      </c>
      <c r="S113" s="10">
        <v>4.68</v>
      </c>
      <c r="T113" s="10">
        <v>6.05</v>
      </c>
      <c r="U113" s="10">
        <v>8.24</v>
      </c>
      <c r="V113" s="10">
        <v>6.34</v>
      </c>
      <c r="W113" s="10">
        <v>2.89</v>
      </c>
      <c r="X113" s="10">
        <v>0</v>
      </c>
      <c r="Y113" s="10">
        <v>0</v>
      </c>
      <c r="Z113" s="10">
        <v>0.24</v>
      </c>
      <c r="AA113" s="13">
        <v>1.2999999999999999E-2</v>
      </c>
      <c r="AB113" s="13">
        <v>1.2999999999999999E-2</v>
      </c>
      <c r="AC113" s="14">
        <f t="shared" si="27"/>
        <v>7.7870000000000001E-4</v>
      </c>
      <c r="AD113" s="13">
        <f t="shared" si="28"/>
        <v>2.5999999999999999E-2</v>
      </c>
      <c r="AE113" s="13">
        <v>0.68300000000000005</v>
      </c>
      <c r="AF113" s="10">
        <v>4.29</v>
      </c>
      <c r="AG113" s="10">
        <v>3.17</v>
      </c>
      <c r="AH113" s="15">
        <v>5.9900000000000002E-2</v>
      </c>
      <c r="AI113" s="10">
        <f t="shared" si="26"/>
        <v>7.46</v>
      </c>
      <c r="AJ113" s="10">
        <v>0.02</v>
      </c>
      <c r="AK113" s="10">
        <v>10</v>
      </c>
      <c r="AL113" s="10">
        <v>0</v>
      </c>
      <c r="AM113" s="16">
        <v>40</v>
      </c>
      <c r="AN113" s="16">
        <v>40</v>
      </c>
      <c r="AO113" s="16">
        <v>2604.04</v>
      </c>
      <c r="AP113" s="10">
        <v>195.98199600000001</v>
      </c>
      <c r="AQ113" s="16">
        <v>42.3</v>
      </c>
      <c r="AR113" s="16">
        <v>2604.04</v>
      </c>
      <c r="AS113" s="10">
        <v>7.85</v>
      </c>
      <c r="AT113" s="13">
        <v>0</v>
      </c>
      <c r="AU113" s="10">
        <v>6.73</v>
      </c>
      <c r="AV113" s="17">
        <f t="shared" si="24"/>
        <v>28451.997725222085</v>
      </c>
      <c r="AW113" s="17">
        <v>14927.556747000577</v>
      </c>
      <c r="AX113" s="17">
        <v>13524.440978221508</v>
      </c>
      <c r="AY113" s="17">
        <v>0</v>
      </c>
      <c r="BA113" s="18"/>
      <c r="BC113" s="19"/>
      <c r="BD113" s="19"/>
      <c r="BE113" s="19"/>
      <c r="BF113" s="19"/>
      <c r="BG113" s="19"/>
      <c r="BI113" s="16">
        <f t="shared" si="16"/>
        <v>0</v>
      </c>
      <c r="BJ113" s="16">
        <f t="shared" si="17"/>
        <v>0</v>
      </c>
      <c r="BK113" s="16">
        <f t="shared" si="18"/>
        <v>3485.23</v>
      </c>
      <c r="BL113" s="16">
        <f t="shared" si="19"/>
        <v>3485.23</v>
      </c>
      <c r="BM113" s="16">
        <f t="shared" si="20"/>
        <v>3485.23</v>
      </c>
      <c r="BN113" s="16">
        <f t="shared" si="21"/>
        <v>3485.23</v>
      </c>
      <c r="BO113" s="16">
        <f t="shared" si="22"/>
        <v>3485.23</v>
      </c>
      <c r="BP113" s="16">
        <f t="shared" si="23"/>
        <v>0</v>
      </c>
    </row>
    <row r="114" spans="1:68" ht="12" customHeight="1" x14ac:dyDescent="0.25">
      <c r="A114" s="5">
        <f t="shared" si="25"/>
        <v>110</v>
      </c>
      <c r="B114" s="6" t="s">
        <v>194</v>
      </c>
      <c r="C114" s="7">
        <f t="shared" si="15"/>
        <v>3012.52</v>
      </c>
      <c r="D114" s="8">
        <v>2702.9</v>
      </c>
      <c r="E114" s="8">
        <v>309.62</v>
      </c>
      <c r="F114" s="8">
        <v>314.25</v>
      </c>
      <c r="G114" s="9">
        <v>1</v>
      </c>
      <c r="H114" s="9">
        <v>0</v>
      </c>
      <c r="I114" s="9">
        <v>400</v>
      </c>
      <c r="J114" s="9">
        <v>0</v>
      </c>
      <c r="K114" s="9" t="s">
        <v>83</v>
      </c>
      <c r="L114" s="10" t="s">
        <v>71</v>
      </c>
      <c r="M114" s="10">
        <v>0</v>
      </c>
      <c r="N114" s="10" t="s">
        <v>72</v>
      </c>
      <c r="O114" s="10" t="s">
        <v>72</v>
      </c>
      <c r="P114" s="5" t="s">
        <v>143</v>
      </c>
      <c r="Q114" s="11">
        <v>3</v>
      </c>
      <c r="R114" s="12">
        <v>41.34</v>
      </c>
      <c r="S114" s="10">
        <v>4.68</v>
      </c>
      <c r="T114" s="10">
        <v>7.92</v>
      </c>
      <c r="U114" s="10">
        <v>12.32</v>
      </c>
      <c r="V114" s="10">
        <v>6.34</v>
      </c>
      <c r="W114" s="10">
        <v>2.89</v>
      </c>
      <c r="X114" s="10">
        <v>1.66</v>
      </c>
      <c r="Y114" s="10">
        <v>5.29</v>
      </c>
      <c r="Z114" s="10">
        <v>0.24</v>
      </c>
      <c r="AA114" s="13">
        <v>1.2E-2</v>
      </c>
      <c r="AB114" s="13">
        <v>1.2E-2</v>
      </c>
      <c r="AC114" s="14">
        <f t="shared" si="27"/>
        <v>7.1880000000000002E-4</v>
      </c>
      <c r="AD114" s="13">
        <f t="shared" si="28"/>
        <v>2.4E-2</v>
      </c>
      <c r="AE114" s="13">
        <v>3.23</v>
      </c>
      <c r="AF114" s="10">
        <v>4.29</v>
      </c>
      <c r="AG114" s="10">
        <v>3.17</v>
      </c>
      <c r="AH114" s="15">
        <v>5.9900000000000002E-2</v>
      </c>
      <c r="AI114" s="10">
        <f t="shared" si="26"/>
        <v>7.46</v>
      </c>
      <c r="AJ114" s="10">
        <v>0.02</v>
      </c>
      <c r="AK114" s="10">
        <v>10</v>
      </c>
      <c r="AL114" s="10">
        <v>0</v>
      </c>
      <c r="AM114" s="16">
        <v>40</v>
      </c>
      <c r="AN114" s="16">
        <v>40</v>
      </c>
      <c r="AO114" s="16">
        <v>2604.04</v>
      </c>
      <c r="AP114" s="10">
        <v>195.98199600000001</v>
      </c>
      <c r="AQ114" s="16">
        <v>42.3</v>
      </c>
      <c r="AR114" s="16">
        <v>2604.04</v>
      </c>
      <c r="AS114" s="10">
        <v>7.85</v>
      </c>
      <c r="AT114" s="13">
        <v>0</v>
      </c>
      <c r="AU114" s="10">
        <v>6.73</v>
      </c>
      <c r="AV114" s="17">
        <f t="shared" si="24"/>
        <v>64851.628488542352</v>
      </c>
      <c r="AW114" s="17">
        <v>27294.68859501537</v>
      </c>
      <c r="AX114" s="17">
        <v>24729.146460020933</v>
      </c>
      <c r="AY114" s="17">
        <v>12827.793433506051</v>
      </c>
      <c r="BA114" s="18"/>
      <c r="BC114" s="19"/>
      <c r="BD114" s="19"/>
      <c r="BE114" s="19"/>
      <c r="BF114" s="19"/>
      <c r="BG114" s="19"/>
      <c r="BI114" s="16">
        <f t="shared" si="16"/>
        <v>0</v>
      </c>
      <c r="BJ114" s="16">
        <f t="shared" si="17"/>
        <v>3012.52</v>
      </c>
      <c r="BK114" s="16">
        <f t="shared" si="18"/>
        <v>3012.52</v>
      </c>
      <c r="BL114" s="16">
        <f t="shared" si="19"/>
        <v>3012.52</v>
      </c>
      <c r="BM114" s="16">
        <f t="shared" si="20"/>
        <v>3012.52</v>
      </c>
      <c r="BN114" s="16">
        <f t="shared" si="21"/>
        <v>3012.52</v>
      </c>
      <c r="BO114" s="16">
        <f t="shared" si="22"/>
        <v>3012.52</v>
      </c>
      <c r="BP114" s="16">
        <f t="shared" si="23"/>
        <v>0</v>
      </c>
    </row>
    <row r="115" spans="1:68" ht="12" customHeight="1" x14ac:dyDescent="0.25">
      <c r="A115" s="5">
        <f t="shared" si="25"/>
        <v>111</v>
      </c>
      <c r="B115" s="6" t="s">
        <v>195</v>
      </c>
      <c r="C115" s="7">
        <f t="shared" si="15"/>
        <v>3374</v>
      </c>
      <c r="D115" s="8">
        <v>3027.22</v>
      </c>
      <c r="E115" s="8">
        <v>346.78</v>
      </c>
      <c r="F115" s="8">
        <v>351.95</v>
      </c>
      <c r="G115" s="9">
        <v>1</v>
      </c>
      <c r="H115" s="9">
        <v>0</v>
      </c>
      <c r="I115" s="9">
        <v>400</v>
      </c>
      <c r="J115" s="9">
        <v>0</v>
      </c>
      <c r="K115" s="9" t="s">
        <v>83</v>
      </c>
      <c r="L115" s="10" t="s">
        <v>71</v>
      </c>
      <c r="M115" s="10">
        <v>0</v>
      </c>
      <c r="N115" s="10" t="s">
        <v>72</v>
      </c>
      <c r="O115" s="10" t="s">
        <v>72</v>
      </c>
      <c r="P115" s="5" t="s">
        <v>143</v>
      </c>
      <c r="Q115" s="11">
        <v>3</v>
      </c>
      <c r="R115" s="12">
        <v>41.34</v>
      </c>
      <c r="S115" s="10">
        <v>4.68</v>
      </c>
      <c r="T115" s="10">
        <v>7.92</v>
      </c>
      <c r="U115" s="10">
        <v>12.32</v>
      </c>
      <c r="V115" s="10">
        <v>6.34</v>
      </c>
      <c r="W115" s="10">
        <v>2.89</v>
      </c>
      <c r="X115" s="10">
        <v>1.66</v>
      </c>
      <c r="Y115" s="10">
        <v>5.29</v>
      </c>
      <c r="Z115" s="10">
        <v>0.24</v>
      </c>
      <c r="AA115" s="13">
        <v>1.2E-2</v>
      </c>
      <c r="AB115" s="13">
        <v>1.2E-2</v>
      </c>
      <c r="AC115" s="14">
        <f t="shared" si="27"/>
        <v>7.1880000000000002E-4</v>
      </c>
      <c r="AD115" s="13">
        <f t="shared" si="28"/>
        <v>2.4E-2</v>
      </c>
      <c r="AE115" s="13">
        <v>3.23</v>
      </c>
      <c r="AF115" s="10">
        <v>4.29</v>
      </c>
      <c r="AG115" s="10">
        <v>3.17</v>
      </c>
      <c r="AH115" s="15">
        <v>5.9900000000000002E-2</v>
      </c>
      <c r="AI115" s="10">
        <f t="shared" si="26"/>
        <v>7.46</v>
      </c>
      <c r="AJ115" s="10">
        <v>0.02</v>
      </c>
      <c r="AK115" s="10">
        <v>10</v>
      </c>
      <c r="AL115" s="10">
        <v>0</v>
      </c>
      <c r="AM115" s="16">
        <v>40</v>
      </c>
      <c r="AN115" s="16">
        <v>40</v>
      </c>
      <c r="AO115" s="16">
        <v>2604.04</v>
      </c>
      <c r="AP115" s="10">
        <v>195.98199600000001</v>
      </c>
      <c r="AQ115" s="16">
        <v>42.3</v>
      </c>
      <c r="AR115" s="16">
        <v>2604.04</v>
      </c>
      <c r="AS115" s="10">
        <v>7.85</v>
      </c>
      <c r="AT115" s="13">
        <v>0</v>
      </c>
      <c r="AU115" s="10">
        <v>6.73</v>
      </c>
      <c r="AV115" s="17">
        <f t="shared" si="24"/>
        <v>64851.628488542352</v>
      </c>
      <c r="AW115" s="17">
        <v>27294.68859501537</v>
      </c>
      <c r="AX115" s="17">
        <v>24729.146460020933</v>
      </c>
      <c r="AY115" s="17">
        <v>12827.793433506051</v>
      </c>
      <c r="BA115" s="18"/>
      <c r="BC115" s="19"/>
      <c r="BD115" s="19"/>
      <c r="BE115" s="19"/>
      <c r="BF115" s="19"/>
      <c r="BG115" s="19"/>
      <c r="BI115" s="16">
        <f t="shared" si="16"/>
        <v>0</v>
      </c>
      <c r="BJ115" s="16">
        <f t="shared" si="17"/>
        <v>3374</v>
      </c>
      <c r="BK115" s="16">
        <f t="shared" si="18"/>
        <v>3374</v>
      </c>
      <c r="BL115" s="16">
        <f t="shared" si="19"/>
        <v>3374</v>
      </c>
      <c r="BM115" s="16">
        <f t="shared" si="20"/>
        <v>3374</v>
      </c>
      <c r="BN115" s="16">
        <f t="shared" si="21"/>
        <v>3374</v>
      </c>
      <c r="BO115" s="16">
        <f t="shared" si="22"/>
        <v>3374</v>
      </c>
      <c r="BP115" s="16">
        <f t="shared" si="23"/>
        <v>0</v>
      </c>
    </row>
    <row r="116" spans="1:68" ht="12" customHeight="1" x14ac:dyDescent="0.25">
      <c r="A116" s="5">
        <f t="shared" si="25"/>
        <v>112</v>
      </c>
      <c r="B116" s="6" t="s">
        <v>196</v>
      </c>
      <c r="C116" s="7">
        <f t="shared" si="15"/>
        <v>3025.3999999999996</v>
      </c>
      <c r="D116" s="8">
        <v>2989.7</v>
      </c>
      <c r="E116" s="8">
        <v>35.700000000000003</v>
      </c>
      <c r="F116" s="8">
        <v>325.35000000000002</v>
      </c>
      <c r="G116" s="9">
        <v>1</v>
      </c>
      <c r="H116" s="9">
        <v>0</v>
      </c>
      <c r="I116" s="9">
        <v>400</v>
      </c>
      <c r="J116" s="9">
        <v>0</v>
      </c>
      <c r="K116" s="9" t="s">
        <v>83</v>
      </c>
      <c r="L116" s="10" t="s">
        <v>71</v>
      </c>
      <c r="M116" s="10">
        <v>0</v>
      </c>
      <c r="N116" s="10" t="s">
        <v>72</v>
      </c>
      <c r="O116" s="10" t="s">
        <v>72</v>
      </c>
      <c r="P116" s="5" t="s">
        <v>143</v>
      </c>
      <c r="Q116" s="11">
        <v>3</v>
      </c>
      <c r="R116" s="12">
        <v>41.34</v>
      </c>
      <c r="S116" s="10">
        <v>4.68</v>
      </c>
      <c r="T116" s="10">
        <v>7.92</v>
      </c>
      <c r="U116" s="10">
        <v>12.32</v>
      </c>
      <c r="V116" s="10">
        <v>6.34</v>
      </c>
      <c r="W116" s="10">
        <v>2.89</v>
      </c>
      <c r="X116" s="10">
        <v>1.66</v>
      </c>
      <c r="Y116" s="10">
        <v>5.29</v>
      </c>
      <c r="Z116" s="10">
        <v>0.24</v>
      </c>
      <c r="AA116" s="13">
        <v>1.2E-2</v>
      </c>
      <c r="AB116" s="13">
        <v>1.2E-2</v>
      </c>
      <c r="AC116" s="14">
        <f t="shared" si="27"/>
        <v>7.1880000000000002E-4</v>
      </c>
      <c r="AD116" s="13">
        <f t="shared" si="28"/>
        <v>2.4E-2</v>
      </c>
      <c r="AE116" s="13">
        <v>3.23</v>
      </c>
      <c r="AF116" s="10">
        <v>4.29</v>
      </c>
      <c r="AG116" s="10">
        <v>3.17</v>
      </c>
      <c r="AH116" s="15">
        <v>5.9900000000000002E-2</v>
      </c>
      <c r="AI116" s="10">
        <f t="shared" si="26"/>
        <v>7.46</v>
      </c>
      <c r="AJ116" s="10">
        <v>0.02</v>
      </c>
      <c r="AK116" s="10">
        <v>10</v>
      </c>
      <c r="AL116" s="10">
        <v>0</v>
      </c>
      <c r="AM116" s="16">
        <v>40</v>
      </c>
      <c r="AN116" s="16">
        <v>40</v>
      </c>
      <c r="AO116" s="16">
        <v>2604.04</v>
      </c>
      <c r="AP116" s="10">
        <v>195.98199600000001</v>
      </c>
      <c r="AQ116" s="16">
        <v>42.3</v>
      </c>
      <c r="AR116" s="16">
        <v>2604.04</v>
      </c>
      <c r="AS116" s="10">
        <v>7.85</v>
      </c>
      <c r="AT116" s="13">
        <v>0</v>
      </c>
      <c r="AU116" s="10">
        <v>6.73</v>
      </c>
      <c r="AV116" s="17">
        <f t="shared" si="24"/>
        <v>61796.735142994614</v>
      </c>
      <c r="AW116" s="17">
        <v>26008.952013389146</v>
      </c>
      <c r="AX116" s="17">
        <v>23564.251130879544</v>
      </c>
      <c r="AY116" s="17">
        <v>12223.531998725932</v>
      </c>
      <c r="BA116" s="18"/>
      <c r="BC116" s="19"/>
      <c r="BD116" s="19"/>
      <c r="BE116" s="19"/>
      <c r="BF116" s="19"/>
      <c r="BG116" s="19"/>
      <c r="BI116" s="16">
        <f t="shared" si="16"/>
        <v>0</v>
      </c>
      <c r="BJ116" s="16">
        <f t="shared" si="17"/>
        <v>3025.3999999999996</v>
      </c>
      <c r="BK116" s="16">
        <f t="shared" si="18"/>
        <v>3025.3999999999996</v>
      </c>
      <c r="BL116" s="16">
        <f t="shared" si="19"/>
        <v>3025.3999999999996</v>
      </c>
      <c r="BM116" s="16">
        <f t="shared" si="20"/>
        <v>3025.3999999999996</v>
      </c>
      <c r="BN116" s="16">
        <f t="shared" si="21"/>
        <v>3025.3999999999996</v>
      </c>
      <c r="BO116" s="16">
        <f t="shared" si="22"/>
        <v>3025.3999999999996</v>
      </c>
      <c r="BP116" s="16">
        <f t="shared" si="23"/>
        <v>0</v>
      </c>
    </row>
    <row r="117" spans="1:68" ht="12" customHeight="1" x14ac:dyDescent="0.25">
      <c r="A117" s="5">
        <f t="shared" si="25"/>
        <v>113</v>
      </c>
      <c r="B117" s="6" t="s">
        <v>197</v>
      </c>
      <c r="C117" s="7">
        <f t="shared" si="15"/>
        <v>3054.3</v>
      </c>
      <c r="D117" s="8">
        <v>3054.3</v>
      </c>
      <c r="E117" s="8">
        <v>0</v>
      </c>
      <c r="F117" s="8">
        <v>328.45</v>
      </c>
      <c r="G117" s="9">
        <v>1</v>
      </c>
      <c r="H117" s="9">
        <v>0</v>
      </c>
      <c r="I117" s="9">
        <v>400</v>
      </c>
      <c r="J117" s="9">
        <v>0</v>
      </c>
      <c r="K117" s="9" t="s">
        <v>83</v>
      </c>
      <c r="L117" s="10" t="s">
        <v>71</v>
      </c>
      <c r="M117" s="10">
        <v>0</v>
      </c>
      <c r="N117" s="10" t="s">
        <v>72</v>
      </c>
      <c r="O117" s="10" t="s">
        <v>72</v>
      </c>
      <c r="P117" s="5" t="s">
        <v>143</v>
      </c>
      <c r="Q117" s="11">
        <v>3</v>
      </c>
      <c r="R117" s="12">
        <v>41.34</v>
      </c>
      <c r="S117" s="10">
        <v>4.68</v>
      </c>
      <c r="T117" s="10">
        <v>7.92</v>
      </c>
      <c r="U117" s="10">
        <v>12.32</v>
      </c>
      <c r="V117" s="10">
        <v>6.34</v>
      </c>
      <c r="W117" s="10">
        <v>2.89</v>
      </c>
      <c r="X117" s="10">
        <v>1.66</v>
      </c>
      <c r="Y117" s="10">
        <v>5.29</v>
      </c>
      <c r="Z117" s="10">
        <v>0.24</v>
      </c>
      <c r="AA117" s="13">
        <v>1.2E-2</v>
      </c>
      <c r="AB117" s="13">
        <v>1.2E-2</v>
      </c>
      <c r="AC117" s="14">
        <f t="shared" si="27"/>
        <v>7.1880000000000002E-4</v>
      </c>
      <c r="AD117" s="13">
        <f t="shared" si="28"/>
        <v>2.4E-2</v>
      </c>
      <c r="AE117" s="13">
        <v>3.23</v>
      </c>
      <c r="AF117" s="10">
        <v>4.29</v>
      </c>
      <c r="AG117" s="10">
        <v>3.17</v>
      </c>
      <c r="AH117" s="15">
        <v>5.9900000000000002E-2</v>
      </c>
      <c r="AI117" s="10">
        <f t="shared" si="26"/>
        <v>7.46</v>
      </c>
      <c r="AJ117" s="10">
        <v>0.02</v>
      </c>
      <c r="AK117" s="10">
        <v>10</v>
      </c>
      <c r="AL117" s="10">
        <v>0</v>
      </c>
      <c r="AM117" s="16">
        <v>40</v>
      </c>
      <c r="AN117" s="16">
        <v>40</v>
      </c>
      <c r="AO117" s="16">
        <v>2604.04</v>
      </c>
      <c r="AP117" s="10">
        <v>195.98199600000001</v>
      </c>
      <c r="AQ117" s="16">
        <v>42.3</v>
      </c>
      <c r="AR117" s="16">
        <v>2604.04</v>
      </c>
      <c r="AS117" s="10">
        <v>7.85</v>
      </c>
      <c r="AT117" s="13">
        <v>0</v>
      </c>
      <c r="AU117" s="10">
        <v>6.73</v>
      </c>
      <c r="AV117" s="17">
        <f t="shared" si="24"/>
        <v>61796.735142994614</v>
      </c>
      <c r="AW117" s="17">
        <v>26008.952013389146</v>
      </c>
      <c r="AX117" s="17">
        <v>23564.251130879544</v>
      </c>
      <c r="AY117" s="17">
        <v>12223.531998725932</v>
      </c>
      <c r="BA117" s="18"/>
      <c r="BC117" s="19"/>
      <c r="BD117" s="19"/>
      <c r="BE117" s="19"/>
      <c r="BF117" s="19"/>
      <c r="BG117" s="19"/>
      <c r="BI117" s="16">
        <f t="shared" si="16"/>
        <v>0</v>
      </c>
      <c r="BJ117" s="16">
        <f t="shared" si="17"/>
        <v>3054.3</v>
      </c>
      <c r="BK117" s="16">
        <f t="shared" si="18"/>
        <v>3054.3</v>
      </c>
      <c r="BL117" s="16">
        <f t="shared" si="19"/>
        <v>3054.3</v>
      </c>
      <c r="BM117" s="16">
        <f t="shared" si="20"/>
        <v>3054.3</v>
      </c>
      <c r="BN117" s="16">
        <f t="shared" si="21"/>
        <v>3054.3</v>
      </c>
      <c r="BO117" s="16">
        <f t="shared" si="22"/>
        <v>3054.3</v>
      </c>
      <c r="BP117" s="16">
        <f t="shared" si="23"/>
        <v>0</v>
      </c>
    </row>
    <row r="118" spans="1:68" ht="12" customHeight="1" x14ac:dyDescent="0.25">
      <c r="A118" s="5">
        <f t="shared" si="25"/>
        <v>114</v>
      </c>
      <c r="B118" s="6" t="s">
        <v>198</v>
      </c>
      <c r="C118" s="7">
        <f t="shared" si="15"/>
        <v>7564.7</v>
      </c>
      <c r="D118" s="8">
        <v>6815.8</v>
      </c>
      <c r="E118" s="8">
        <v>748.9</v>
      </c>
      <c r="F118" s="8">
        <v>613.20000000000005</v>
      </c>
      <c r="G118" s="9">
        <v>4</v>
      </c>
      <c r="H118" s="9">
        <v>0</v>
      </c>
      <c r="I118" s="9">
        <v>400</v>
      </c>
      <c r="J118" s="9">
        <v>0</v>
      </c>
      <c r="K118" s="9" t="s">
        <v>83</v>
      </c>
      <c r="L118" s="10" t="s">
        <v>71</v>
      </c>
      <c r="M118" s="10">
        <v>0</v>
      </c>
      <c r="N118" s="10" t="s">
        <v>72</v>
      </c>
      <c r="O118" s="10" t="s">
        <v>72</v>
      </c>
      <c r="P118" s="5" t="s">
        <v>143</v>
      </c>
      <c r="Q118" s="11">
        <v>3</v>
      </c>
      <c r="R118" s="12">
        <v>41.34</v>
      </c>
      <c r="S118" s="10">
        <v>4.68</v>
      </c>
      <c r="T118" s="10">
        <v>7.92</v>
      </c>
      <c r="U118" s="10">
        <v>12.32</v>
      </c>
      <c r="V118" s="10">
        <v>6.34</v>
      </c>
      <c r="W118" s="10">
        <v>2.89</v>
      </c>
      <c r="X118" s="10">
        <v>1.66</v>
      </c>
      <c r="Y118" s="10">
        <v>5.29</v>
      </c>
      <c r="Z118" s="10">
        <v>0.24</v>
      </c>
      <c r="AA118" s="13">
        <v>1.2E-2</v>
      </c>
      <c r="AB118" s="13">
        <v>1.2E-2</v>
      </c>
      <c r="AC118" s="14">
        <f t="shared" si="27"/>
        <v>7.1880000000000002E-4</v>
      </c>
      <c r="AD118" s="13">
        <f t="shared" si="28"/>
        <v>2.4E-2</v>
      </c>
      <c r="AE118" s="13">
        <v>3.23</v>
      </c>
      <c r="AF118" s="10">
        <v>4.29</v>
      </c>
      <c r="AG118" s="10">
        <v>3.17</v>
      </c>
      <c r="AH118" s="15">
        <v>5.9900000000000002E-2</v>
      </c>
      <c r="AI118" s="10">
        <f t="shared" si="26"/>
        <v>7.46</v>
      </c>
      <c r="AJ118" s="10">
        <v>0.02</v>
      </c>
      <c r="AK118" s="10">
        <v>10</v>
      </c>
      <c r="AL118" s="10">
        <v>0</v>
      </c>
      <c r="AM118" s="16">
        <v>40</v>
      </c>
      <c r="AN118" s="16">
        <v>40</v>
      </c>
      <c r="AO118" s="16">
        <v>2604.04</v>
      </c>
      <c r="AP118" s="10">
        <v>195.98199600000001</v>
      </c>
      <c r="AQ118" s="16">
        <v>42.3</v>
      </c>
      <c r="AR118" s="16">
        <v>2604.04</v>
      </c>
      <c r="AS118" s="10">
        <v>7.85</v>
      </c>
      <c r="AT118" s="13">
        <v>0</v>
      </c>
      <c r="AU118" s="10">
        <v>6.73</v>
      </c>
      <c r="AV118" s="17">
        <f t="shared" si="24"/>
        <v>77090.581160739137</v>
      </c>
      <c r="AW118" s="17">
        <v>32445.81422328077</v>
      </c>
      <c r="AX118" s="17">
        <v>29396.079493008612</v>
      </c>
      <c r="AY118" s="17">
        <v>15248.687444449748</v>
      </c>
      <c r="BA118" s="18"/>
      <c r="BC118" s="19"/>
      <c r="BD118" s="19"/>
      <c r="BE118" s="19"/>
      <c r="BF118" s="19"/>
      <c r="BG118" s="19"/>
      <c r="BI118" s="16">
        <f t="shared" si="16"/>
        <v>0</v>
      </c>
      <c r="BJ118" s="16">
        <f t="shared" si="17"/>
        <v>7564.7</v>
      </c>
      <c r="BK118" s="16">
        <f t="shared" si="18"/>
        <v>7564.7</v>
      </c>
      <c r="BL118" s="16">
        <f t="shared" si="19"/>
        <v>7564.7</v>
      </c>
      <c r="BM118" s="16">
        <f t="shared" si="20"/>
        <v>7564.7</v>
      </c>
      <c r="BN118" s="16">
        <f t="shared" si="21"/>
        <v>7564.7</v>
      </c>
      <c r="BO118" s="16">
        <f t="shared" si="22"/>
        <v>7564.7</v>
      </c>
      <c r="BP118" s="16">
        <f t="shared" si="23"/>
        <v>0</v>
      </c>
    </row>
    <row r="119" spans="1:68" ht="12" customHeight="1" x14ac:dyDescent="0.25">
      <c r="A119" s="5">
        <f t="shared" si="25"/>
        <v>115</v>
      </c>
      <c r="B119" s="6" t="s">
        <v>199</v>
      </c>
      <c r="C119" s="7">
        <f t="shared" si="15"/>
        <v>3463.8</v>
      </c>
      <c r="D119" s="8">
        <v>3463.8</v>
      </c>
      <c r="E119" s="8">
        <v>0</v>
      </c>
      <c r="F119" s="8">
        <v>299.2</v>
      </c>
      <c r="G119" s="9">
        <v>0</v>
      </c>
      <c r="H119" s="9">
        <v>0</v>
      </c>
      <c r="I119" s="9">
        <v>0</v>
      </c>
      <c r="J119" s="9">
        <v>0</v>
      </c>
      <c r="K119" s="9" t="s">
        <v>83</v>
      </c>
      <c r="L119" s="10" t="s">
        <v>71</v>
      </c>
      <c r="M119" s="10">
        <v>0</v>
      </c>
      <c r="N119" s="10" t="s">
        <v>72</v>
      </c>
      <c r="O119" s="10" t="s">
        <v>72</v>
      </c>
      <c r="P119" s="5" t="s">
        <v>143</v>
      </c>
      <c r="Q119" s="11">
        <v>7</v>
      </c>
      <c r="R119" s="12">
        <v>28.44</v>
      </c>
      <c r="S119" s="10">
        <v>4.68</v>
      </c>
      <c r="T119" s="10">
        <v>6.05</v>
      </c>
      <c r="U119" s="10">
        <v>8.24</v>
      </c>
      <c r="V119" s="10">
        <v>6.34</v>
      </c>
      <c r="W119" s="10">
        <v>2.89</v>
      </c>
      <c r="X119" s="10">
        <v>0</v>
      </c>
      <c r="Y119" s="10">
        <v>0</v>
      </c>
      <c r="Z119" s="10">
        <v>0.24</v>
      </c>
      <c r="AA119" s="13">
        <v>1.2999999999999999E-2</v>
      </c>
      <c r="AB119" s="13">
        <v>1.2999999999999999E-2</v>
      </c>
      <c r="AC119" s="14">
        <f t="shared" si="27"/>
        <v>7.7870000000000001E-4</v>
      </c>
      <c r="AD119" s="13">
        <f t="shared" si="28"/>
        <v>2.5999999999999999E-2</v>
      </c>
      <c r="AE119" s="13">
        <v>0.68300000000000005</v>
      </c>
      <c r="AF119" s="10">
        <v>4.29</v>
      </c>
      <c r="AG119" s="10">
        <v>3.17</v>
      </c>
      <c r="AH119" s="15">
        <v>5.9900000000000002E-2</v>
      </c>
      <c r="AI119" s="10">
        <f t="shared" si="26"/>
        <v>7.46</v>
      </c>
      <c r="AJ119" s="10">
        <v>0.02</v>
      </c>
      <c r="AK119" s="10">
        <v>10</v>
      </c>
      <c r="AL119" s="10">
        <v>0</v>
      </c>
      <c r="AM119" s="16">
        <v>40</v>
      </c>
      <c r="AN119" s="16">
        <v>40</v>
      </c>
      <c r="AO119" s="16">
        <v>2604.04</v>
      </c>
      <c r="AP119" s="10">
        <v>195.98199600000001</v>
      </c>
      <c r="AQ119" s="16">
        <v>42.3</v>
      </c>
      <c r="AR119" s="16">
        <v>2604.04</v>
      </c>
      <c r="AS119" s="10">
        <v>7.85</v>
      </c>
      <c r="AT119" s="13">
        <v>0</v>
      </c>
      <c r="AU119" s="10">
        <v>6.73</v>
      </c>
      <c r="AV119" s="17">
        <f t="shared" si="24"/>
        <v>28347.501283169215</v>
      </c>
      <c r="AW119" s="17">
        <v>14872.729218336353</v>
      </c>
      <c r="AX119" s="17">
        <v>13474.772064832863</v>
      </c>
      <c r="AY119" s="17">
        <v>0</v>
      </c>
      <c r="BA119" s="18"/>
      <c r="BC119" s="19"/>
      <c r="BD119" s="19"/>
      <c r="BE119" s="19"/>
      <c r="BF119" s="19"/>
      <c r="BG119" s="19"/>
      <c r="BI119" s="16">
        <f t="shared" si="16"/>
        <v>0</v>
      </c>
      <c r="BJ119" s="16">
        <f t="shared" si="17"/>
        <v>0</v>
      </c>
      <c r="BK119" s="16">
        <f t="shared" si="18"/>
        <v>3463.8</v>
      </c>
      <c r="BL119" s="16">
        <f t="shared" si="19"/>
        <v>3463.8</v>
      </c>
      <c r="BM119" s="16">
        <f t="shared" si="20"/>
        <v>3463.8</v>
      </c>
      <c r="BN119" s="16">
        <f t="shared" si="21"/>
        <v>3463.8</v>
      </c>
      <c r="BO119" s="16">
        <f t="shared" si="22"/>
        <v>3463.8</v>
      </c>
      <c r="BP119" s="16">
        <f t="shared" si="23"/>
        <v>0</v>
      </c>
    </row>
    <row r="120" spans="1:68" ht="12" customHeight="1" x14ac:dyDescent="0.25">
      <c r="A120" s="5">
        <f t="shared" si="25"/>
        <v>116</v>
      </c>
      <c r="B120" s="6" t="s">
        <v>200</v>
      </c>
      <c r="C120" s="7">
        <f t="shared" si="15"/>
        <v>3497.98</v>
      </c>
      <c r="D120" s="8">
        <v>3497.98</v>
      </c>
      <c r="E120" s="8">
        <v>0</v>
      </c>
      <c r="F120" s="8">
        <v>483</v>
      </c>
      <c r="G120" s="9">
        <v>0</v>
      </c>
      <c r="H120" s="9">
        <v>0</v>
      </c>
      <c r="I120" s="9">
        <v>0</v>
      </c>
      <c r="J120" s="9">
        <v>0</v>
      </c>
      <c r="K120" s="9" t="s">
        <v>83</v>
      </c>
      <c r="L120" s="10" t="s">
        <v>71</v>
      </c>
      <c r="M120" s="10">
        <v>0</v>
      </c>
      <c r="N120" s="10" t="s">
        <v>72</v>
      </c>
      <c r="O120" s="10" t="s">
        <v>72</v>
      </c>
      <c r="P120" s="5" t="s">
        <v>143</v>
      </c>
      <c r="Q120" s="11">
        <v>7</v>
      </c>
      <c r="R120" s="12">
        <v>28.44</v>
      </c>
      <c r="S120" s="10">
        <v>4.68</v>
      </c>
      <c r="T120" s="10">
        <v>6.05</v>
      </c>
      <c r="U120" s="10">
        <v>8.24</v>
      </c>
      <c r="V120" s="10">
        <v>6.34</v>
      </c>
      <c r="W120" s="10">
        <v>2.89</v>
      </c>
      <c r="X120" s="10">
        <v>0</v>
      </c>
      <c r="Y120" s="10">
        <v>0</v>
      </c>
      <c r="Z120" s="10">
        <v>0.24</v>
      </c>
      <c r="AA120" s="13">
        <v>1.2999999999999999E-2</v>
      </c>
      <c r="AB120" s="13">
        <v>1.2999999999999999E-2</v>
      </c>
      <c r="AC120" s="14">
        <f t="shared" si="27"/>
        <v>7.7870000000000001E-4</v>
      </c>
      <c r="AD120" s="13">
        <f t="shared" si="28"/>
        <v>2.5999999999999999E-2</v>
      </c>
      <c r="AE120" s="13">
        <v>0.68300000000000005</v>
      </c>
      <c r="AF120" s="10">
        <v>4.29</v>
      </c>
      <c r="AG120" s="10">
        <v>3.17</v>
      </c>
      <c r="AH120" s="15">
        <v>5.9900000000000002E-2</v>
      </c>
      <c r="AI120" s="10">
        <f t="shared" si="26"/>
        <v>7.46</v>
      </c>
      <c r="AJ120" s="10">
        <v>0.02</v>
      </c>
      <c r="AK120" s="10">
        <v>10</v>
      </c>
      <c r="AL120" s="10">
        <v>0</v>
      </c>
      <c r="AM120" s="16">
        <v>40</v>
      </c>
      <c r="AN120" s="16">
        <v>40</v>
      </c>
      <c r="AO120" s="16">
        <v>2604.04</v>
      </c>
      <c r="AP120" s="10">
        <v>195.98199600000001</v>
      </c>
      <c r="AQ120" s="16">
        <v>42.3</v>
      </c>
      <c r="AR120" s="16">
        <v>2604.04</v>
      </c>
      <c r="AS120" s="10">
        <v>7.85</v>
      </c>
      <c r="AT120" s="13">
        <v>0</v>
      </c>
      <c r="AU120" s="10">
        <v>6.73</v>
      </c>
      <c r="AV120" s="17">
        <f t="shared" si="24"/>
        <v>28600.645845074752</v>
      </c>
      <c r="AW120" s="17">
        <v>15005.542872049013</v>
      </c>
      <c r="AX120" s="17">
        <v>13595.102973025738</v>
      </c>
      <c r="AY120" s="17">
        <v>0</v>
      </c>
      <c r="BA120" s="18"/>
      <c r="BC120" s="19"/>
      <c r="BD120" s="19"/>
      <c r="BE120" s="19"/>
      <c r="BF120" s="19"/>
      <c r="BG120" s="19"/>
      <c r="BI120" s="16">
        <f t="shared" si="16"/>
        <v>0</v>
      </c>
      <c r="BJ120" s="16">
        <f t="shared" si="17"/>
        <v>0</v>
      </c>
      <c r="BK120" s="16">
        <f t="shared" si="18"/>
        <v>3497.98</v>
      </c>
      <c r="BL120" s="16">
        <f t="shared" si="19"/>
        <v>3497.98</v>
      </c>
      <c r="BM120" s="16">
        <f t="shared" si="20"/>
        <v>3497.98</v>
      </c>
      <c r="BN120" s="16">
        <f t="shared" si="21"/>
        <v>3497.98</v>
      </c>
      <c r="BO120" s="16">
        <f t="shared" si="22"/>
        <v>3497.98</v>
      </c>
      <c r="BP120" s="16">
        <f t="shared" si="23"/>
        <v>0</v>
      </c>
    </row>
    <row r="121" spans="1:68" ht="12" customHeight="1" x14ac:dyDescent="0.25">
      <c r="A121" s="5">
        <f t="shared" si="25"/>
        <v>117</v>
      </c>
      <c r="B121" s="6" t="s">
        <v>201</v>
      </c>
      <c r="C121" s="7">
        <f t="shared" si="15"/>
        <v>7018.23</v>
      </c>
      <c r="D121" s="8">
        <v>7018.23</v>
      </c>
      <c r="E121" s="8">
        <v>0</v>
      </c>
      <c r="F121" s="8">
        <v>983.6</v>
      </c>
      <c r="G121" s="9">
        <v>0</v>
      </c>
      <c r="H121" s="9">
        <v>0</v>
      </c>
      <c r="I121" s="9">
        <v>0</v>
      </c>
      <c r="J121" s="9">
        <v>0</v>
      </c>
      <c r="K121" s="9" t="s">
        <v>71</v>
      </c>
      <c r="L121" s="10" t="s">
        <v>71</v>
      </c>
      <c r="M121" s="10">
        <v>0</v>
      </c>
      <c r="N121" s="10" t="s">
        <v>72</v>
      </c>
      <c r="O121" s="10" t="s">
        <v>72</v>
      </c>
      <c r="P121" s="5" t="s">
        <v>143</v>
      </c>
      <c r="Q121" s="11">
        <v>7</v>
      </c>
      <c r="R121" s="12">
        <v>28.44</v>
      </c>
      <c r="S121" s="10">
        <v>4.68</v>
      </c>
      <c r="T121" s="10">
        <v>6.05</v>
      </c>
      <c r="U121" s="10">
        <v>8.24</v>
      </c>
      <c r="V121" s="10">
        <v>6.34</v>
      </c>
      <c r="W121" s="10">
        <v>2.89</v>
      </c>
      <c r="X121" s="10">
        <v>0</v>
      </c>
      <c r="Y121" s="10">
        <v>0</v>
      </c>
      <c r="Z121" s="10">
        <v>0.24</v>
      </c>
      <c r="AA121" s="13">
        <v>1.2999999999999999E-2</v>
      </c>
      <c r="AB121" s="13">
        <v>1.2999999999999999E-2</v>
      </c>
      <c r="AC121" s="14">
        <f t="shared" si="27"/>
        <v>7.7870000000000001E-4</v>
      </c>
      <c r="AD121" s="13">
        <f t="shared" si="28"/>
        <v>2.5999999999999999E-2</v>
      </c>
      <c r="AE121" s="13">
        <v>0.68300000000000005</v>
      </c>
      <c r="AF121" s="10">
        <v>4.29</v>
      </c>
      <c r="AG121" s="10">
        <v>3.17</v>
      </c>
      <c r="AH121" s="15">
        <v>5.9900000000000002E-2</v>
      </c>
      <c r="AI121" s="10">
        <f t="shared" si="26"/>
        <v>7.46</v>
      </c>
      <c r="AJ121" s="10">
        <v>0.02</v>
      </c>
      <c r="AK121" s="10">
        <v>10</v>
      </c>
      <c r="AL121" s="10">
        <v>0</v>
      </c>
      <c r="AM121" s="16">
        <v>40</v>
      </c>
      <c r="AN121" s="16">
        <v>40</v>
      </c>
      <c r="AO121" s="16">
        <v>2604.04</v>
      </c>
      <c r="AP121" s="10">
        <v>195.98199600000001</v>
      </c>
      <c r="AQ121" s="16">
        <v>42.3</v>
      </c>
      <c r="AR121" s="16">
        <v>2604.04</v>
      </c>
      <c r="AS121" s="10">
        <v>7.85</v>
      </c>
      <c r="AT121" s="13">
        <v>0</v>
      </c>
      <c r="AU121" s="10">
        <v>6.73</v>
      </c>
      <c r="AV121" s="17">
        <f t="shared" si="24"/>
        <v>57361.981176674832</v>
      </c>
      <c r="AW121" s="17">
        <v>30095.402896984659</v>
      </c>
      <c r="AX121" s="17">
        <v>27266.578279690169</v>
      </c>
      <c r="AY121" s="17">
        <v>0</v>
      </c>
      <c r="BA121" s="18"/>
      <c r="BC121" s="19"/>
      <c r="BD121" s="19"/>
      <c r="BE121" s="19"/>
      <c r="BF121" s="19"/>
      <c r="BG121" s="19"/>
      <c r="BI121" s="16">
        <f t="shared" si="16"/>
        <v>0</v>
      </c>
      <c r="BJ121" s="16">
        <f t="shared" si="17"/>
        <v>0</v>
      </c>
      <c r="BK121" s="16">
        <f t="shared" si="18"/>
        <v>7018.23</v>
      </c>
      <c r="BL121" s="16">
        <f t="shared" si="19"/>
        <v>7018.23</v>
      </c>
      <c r="BM121" s="16">
        <f t="shared" si="20"/>
        <v>7018.23</v>
      </c>
      <c r="BN121" s="16">
        <f t="shared" si="21"/>
        <v>7018.23</v>
      </c>
      <c r="BO121" s="16">
        <f t="shared" si="22"/>
        <v>7018.23</v>
      </c>
      <c r="BP121" s="16">
        <f t="shared" si="23"/>
        <v>0</v>
      </c>
    </row>
    <row r="122" spans="1:68" ht="12" customHeight="1" x14ac:dyDescent="0.25">
      <c r="A122" s="5">
        <f t="shared" si="25"/>
        <v>118</v>
      </c>
      <c r="B122" s="6" t="s">
        <v>202</v>
      </c>
      <c r="C122" s="7">
        <f t="shared" si="15"/>
        <v>3521.8</v>
      </c>
      <c r="D122" s="8">
        <v>3521.8</v>
      </c>
      <c r="E122" s="8">
        <v>0</v>
      </c>
      <c r="F122" s="8">
        <v>491.8</v>
      </c>
      <c r="G122" s="9">
        <v>0</v>
      </c>
      <c r="H122" s="9">
        <v>0</v>
      </c>
      <c r="I122" s="9">
        <v>0</v>
      </c>
      <c r="J122" s="9">
        <v>0</v>
      </c>
      <c r="K122" s="9" t="s">
        <v>83</v>
      </c>
      <c r="L122" s="10" t="s">
        <v>71</v>
      </c>
      <c r="M122" s="10">
        <v>0</v>
      </c>
      <c r="N122" s="10" t="s">
        <v>72</v>
      </c>
      <c r="O122" s="10" t="s">
        <v>72</v>
      </c>
      <c r="P122" s="5" t="s">
        <v>143</v>
      </c>
      <c r="Q122" s="11">
        <v>7</v>
      </c>
      <c r="R122" s="12">
        <v>28.44</v>
      </c>
      <c r="S122" s="10">
        <v>4.68</v>
      </c>
      <c r="T122" s="10">
        <v>6.05</v>
      </c>
      <c r="U122" s="10">
        <v>8.24</v>
      </c>
      <c r="V122" s="10">
        <v>6.34</v>
      </c>
      <c r="W122" s="10">
        <v>2.89</v>
      </c>
      <c r="X122" s="10">
        <v>0</v>
      </c>
      <c r="Y122" s="10">
        <v>0</v>
      </c>
      <c r="Z122" s="10">
        <v>0.24</v>
      </c>
      <c r="AA122" s="13">
        <v>1.2999999999999999E-2</v>
      </c>
      <c r="AB122" s="13">
        <v>1.2999999999999999E-2</v>
      </c>
      <c r="AC122" s="14">
        <f t="shared" si="27"/>
        <v>7.7870000000000001E-4</v>
      </c>
      <c r="AD122" s="13">
        <f t="shared" si="28"/>
        <v>2.5999999999999999E-2</v>
      </c>
      <c r="AE122" s="13">
        <v>0.68300000000000005</v>
      </c>
      <c r="AF122" s="10">
        <v>4.29</v>
      </c>
      <c r="AG122" s="10">
        <v>3.17</v>
      </c>
      <c r="AH122" s="15">
        <v>5.9900000000000002E-2</v>
      </c>
      <c r="AI122" s="10">
        <f t="shared" si="26"/>
        <v>7.46</v>
      </c>
      <c r="AJ122" s="10">
        <v>0.02</v>
      </c>
      <c r="AK122" s="10">
        <v>10</v>
      </c>
      <c r="AL122" s="10">
        <v>0</v>
      </c>
      <c r="AM122" s="16">
        <v>40</v>
      </c>
      <c r="AN122" s="16">
        <v>40</v>
      </c>
      <c r="AO122" s="16">
        <v>2604.04</v>
      </c>
      <c r="AP122" s="10">
        <v>195.98199600000001</v>
      </c>
      <c r="AQ122" s="16">
        <v>42.3</v>
      </c>
      <c r="AR122" s="16">
        <v>2604.04</v>
      </c>
      <c r="AS122" s="10">
        <v>7.85</v>
      </c>
      <c r="AT122" s="13">
        <v>0</v>
      </c>
      <c r="AU122" s="10">
        <v>6.73</v>
      </c>
      <c r="AV122" s="17">
        <f t="shared" si="24"/>
        <v>28785.459444212342</v>
      </c>
      <c r="AW122" s="17">
        <v>15102.508287523098</v>
      </c>
      <c r="AX122" s="17">
        <v>13682.951156689245</v>
      </c>
      <c r="AY122" s="17">
        <v>0</v>
      </c>
      <c r="BA122" s="18"/>
      <c r="BC122" s="19"/>
      <c r="BD122" s="19"/>
      <c r="BE122" s="19"/>
      <c r="BF122" s="19"/>
      <c r="BG122" s="19"/>
      <c r="BI122" s="16">
        <f t="shared" si="16"/>
        <v>0</v>
      </c>
      <c r="BJ122" s="16">
        <f t="shared" si="17"/>
        <v>0</v>
      </c>
      <c r="BK122" s="16">
        <f t="shared" si="18"/>
        <v>3521.8</v>
      </c>
      <c r="BL122" s="16">
        <f t="shared" si="19"/>
        <v>3521.8</v>
      </c>
      <c r="BM122" s="16">
        <f t="shared" si="20"/>
        <v>3521.8</v>
      </c>
      <c r="BN122" s="16">
        <f t="shared" si="21"/>
        <v>3521.8</v>
      </c>
      <c r="BO122" s="16">
        <f t="shared" si="22"/>
        <v>3521.8</v>
      </c>
      <c r="BP122" s="16">
        <f t="shared" si="23"/>
        <v>0</v>
      </c>
    </row>
    <row r="123" spans="1:68" ht="12" customHeight="1" x14ac:dyDescent="0.25">
      <c r="A123" s="5">
        <f t="shared" si="25"/>
        <v>119</v>
      </c>
      <c r="B123" s="6" t="s">
        <v>203</v>
      </c>
      <c r="C123" s="7">
        <f t="shared" si="15"/>
        <v>3540.1</v>
      </c>
      <c r="D123" s="8">
        <v>3540.1</v>
      </c>
      <c r="E123" s="8">
        <v>0</v>
      </c>
      <c r="F123" s="8">
        <v>317.60000000000002</v>
      </c>
      <c r="G123" s="9">
        <v>0</v>
      </c>
      <c r="H123" s="9">
        <v>0</v>
      </c>
      <c r="I123" s="9">
        <v>0</v>
      </c>
      <c r="J123" s="9">
        <v>0</v>
      </c>
      <c r="K123" s="9" t="s">
        <v>83</v>
      </c>
      <c r="L123" s="10" t="s">
        <v>71</v>
      </c>
      <c r="M123" s="10">
        <v>0</v>
      </c>
      <c r="N123" s="10" t="s">
        <v>72</v>
      </c>
      <c r="O123" s="10" t="s">
        <v>72</v>
      </c>
      <c r="P123" s="5" t="s">
        <v>143</v>
      </c>
      <c r="Q123" s="11">
        <v>7</v>
      </c>
      <c r="R123" s="12">
        <v>28.44</v>
      </c>
      <c r="S123" s="10">
        <v>4.68</v>
      </c>
      <c r="T123" s="10">
        <v>6.05</v>
      </c>
      <c r="U123" s="10">
        <v>8.24</v>
      </c>
      <c r="V123" s="10">
        <v>6.34</v>
      </c>
      <c r="W123" s="10">
        <v>2.89</v>
      </c>
      <c r="X123" s="10">
        <v>0</v>
      </c>
      <c r="Y123" s="10">
        <v>0</v>
      </c>
      <c r="Z123" s="10">
        <v>0.24</v>
      </c>
      <c r="AA123" s="13">
        <v>1.2999999999999999E-2</v>
      </c>
      <c r="AB123" s="13">
        <v>1.2999999999999999E-2</v>
      </c>
      <c r="AC123" s="14">
        <f t="shared" si="27"/>
        <v>7.7870000000000001E-4</v>
      </c>
      <c r="AD123" s="13">
        <f t="shared" si="28"/>
        <v>2.5999999999999999E-2</v>
      </c>
      <c r="AE123" s="13">
        <v>0.68300000000000005</v>
      </c>
      <c r="AF123" s="10">
        <v>4.29</v>
      </c>
      <c r="AG123" s="10">
        <v>3.17</v>
      </c>
      <c r="AH123" s="15">
        <v>5.9900000000000002E-2</v>
      </c>
      <c r="AI123" s="10">
        <f t="shared" si="26"/>
        <v>7.46</v>
      </c>
      <c r="AJ123" s="10">
        <v>0.02</v>
      </c>
      <c r="AK123" s="10">
        <v>10</v>
      </c>
      <c r="AL123" s="10">
        <v>0</v>
      </c>
      <c r="AM123" s="16">
        <v>40</v>
      </c>
      <c r="AN123" s="16">
        <v>40</v>
      </c>
      <c r="AO123" s="16">
        <v>2604.04</v>
      </c>
      <c r="AP123" s="10">
        <v>195.98199600000001</v>
      </c>
      <c r="AQ123" s="16">
        <v>42.3</v>
      </c>
      <c r="AR123" s="16">
        <v>2604.04</v>
      </c>
      <c r="AS123" s="10">
        <v>7.85</v>
      </c>
      <c r="AT123" s="13">
        <v>0</v>
      </c>
      <c r="AU123" s="10">
        <v>6.73</v>
      </c>
      <c r="AV123" s="17">
        <f t="shared" si="24"/>
        <v>28919.47309666557</v>
      </c>
      <c r="AW123" s="17">
        <v>15172.81166201405</v>
      </c>
      <c r="AX123" s="17">
        <v>13746.66143465152</v>
      </c>
      <c r="AY123" s="17">
        <v>0</v>
      </c>
      <c r="BA123" s="18"/>
      <c r="BC123" s="19"/>
      <c r="BD123" s="19"/>
      <c r="BE123" s="19"/>
      <c r="BF123" s="19"/>
      <c r="BG123" s="19"/>
      <c r="BI123" s="16">
        <f t="shared" si="16"/>
        <v>0</v>
      </c>
      <c r="BJ123" s="16">
        <f t="shared" si="17"/>
        <v>0</v>
      </c>
      <c r="BK123" s="16">
        <f t="shared" si="18"/>
        <v>3540.1</v>
      </c>
      <c r="BL123" s="16">
        <f t="shared" si="19"/>
        <v>3540.1</v>
      </c>
      <c r="BM123" s="16">
        <f t="shared" si="20"/>
        <v>3540.1</v>
      </c>
      <c r="BN123" s="16">
        <f t="shared" si="21"/>
        <v>3540.1</v>
      </c>
      <c r="BO123" s="16">
        <f t="shared" si="22"/>
        <v>3540.1</v>
      </c>
      <c r="BP123" s="16">
        <f t="shared" si="23"/>
        <v>0</v>
      </c>
    </row>
    <row r="124" spans="1:68" ht="12" customHeight="1" x14ac:dyDescent="0.25">
      <c r="A124" s="5">
        <f t="shared" si="25"/>
        <v>120</v>
      </c>
      <c r="B124" s="6" t="s">
        <v>204</v>
      </c>
      <c r="C124" s="7">
        <f t="shared" si="15"/>
        <v>3334.9</v>
      </c>
      <c r="D124" s="8">
        <v>3334.9</v>
      </c>
      <c r="E124" s="8">
        <v>0</v>
      </c>
      <c r="F124" s="8">
        <v>327.10000000000002</v>
      </c>
      <c r="G124" s="9">
        <v>0</v>
      </c>
      <c r="H124" s="9">
        <v>0</v>
      </c>
      <c r="I124" s="9">
        <v>0</v>
      </c>
      <c r="J124" s="9">
        <v>0</v>
      </c>
      <c r="K124" s="9" t="s">
        <v>83</v>
      </c>
      <c r="L124" s="10" t="s">
        <v>71</v>
      </c>
      <c r="M124" s="10">
        <v>0</v>
      </c>
      <c r="N124" s="10" t="s">
        <v>72</v>
      </c>
      <c r="O124" s="10" t="s">
        <v>72</v>
      </c>
      <c r="P124" s="5" t="s">
        <v>143</v>
      </c>
      <c r="Q124" s="11">
        <v>7</v>
      </c>
      <c r="R124" s="12">
        <v>28.44</v>
      </c>
      <c r="S124" s="10">
        <v>4.68</v>
      </c>
      <c r="T124" s="10">
        <v>6.05</v>
      </c>
      <c r="U124" s="10">
        <v>8.24</v>
      </c>
      <c r="V124" s="10">
        <v>6.34</v>
      </c>
      <c r="W124" s="10">
        <v>2.89</v>
      </c>
      <c r="X124" s="10">
        <v>0</v>
      </c>
      <c r="Y124" s="10">
        <v>0</v>
      </c>
      <c r="Z124" s="10">
        <v>0.24</v>
      </c>
      <c r="AA124" s="13">
        <v>1.2999999999999999E-2</v>
      </c>
      <c r="AB124" s="13">
        <v>1.2999999999999999E-2</v>
      </c>
      <c r="AC124" s="14">
        <f t="shared" si="27"/>
        <v>7.7870000000000001E-4</v>
      </c>
      <c r="AD124" s="13">
        <f t="shared" si="28"/>
        <v>2.5999999999999999E-2</v>
      </c>
      <c r="AE124" s="13">
        <v>0.68300000000000005</v>
      </c>
      <c r="AF124" s="10">
        <v>4.29</v>
      </c>
      <c r="AG124" s="10">
        <v>3.17</v>
      </c>
      <c r="AH124" s="15">
        <v>5.9900000000000002E-2</v>
      </c>
      <c r="AI124" s="10">
        <f t="shared" si="26"/>
        <v>7.46</v>
      </c>
      <c r="AJ124" s="10">
        <v>0.02</v>
      </c>
      <c r="AK124" s="10">
        <v>10</v>
      </c>
      <c r="AL124" s="10">
        <v>0</v>
      </c>
      <c r="AM124" s="16">
        <v>40</v>
      </c>
      <c r="AN124" s="16">
        <v>40</v>
      </c>
      <c r="AO124" s="16">
        <v>2604.04</v>
      </c>
      <c r="AP124" s="10">
        <v>195.98199600000001</v>
      </c>
      <c r="AQ124" s="16">
        <v>42.3</v>
      </c>
      <c r="AR124" s="16">
        <v>2604.04</v>
      </c>
      <c r="AS124" s="10">
        <v>7.85</v>
      </c>
      <c r="AT124" s="13">
        <v>0</v>
      </c>
      <c r="AU124" s="10">
        <v>6.73</v>
      </c>
      <c r="AV124" s="17">
        <f t="shared" si="24"/>
        <v>27226.440390781267</v>
      </c>
      <c r="AW124" s="17">
        <v>14284.550525297742</v>
      </c>
      <c r="AX124" s="17">
        <v>12941.889865483523</v>
      </c>
      <c r="AY124" s="17">
        <v>0</v>
      </c>
      <c r="BA124" s="18"/>
      <c r="BC124" s="19"/>
      <c r="BD124" s="19"/>
      <c r="BE124" s="19"/>
      <c r="BF124" s="19"/>
      <c r="BG124" s="19"/>
      <c r="BI124" s="16">
        <f t="shared" si="16"/>
        <v>0</v>
      </c>
      <c r="BJ124" s="16">
        <f t="shared" si="17"/>
        <v>0</v>
      </c>
      <c r="BK124" s="16">
        <f t="shared" si="18"/>
        <v>3334.9</v>
      </c>
      <c r="BL124" s="16">
        <f t="shared" si="19"/>
        <v>3334.9</v>
      </c>
      <c r="BM124" s="16">
        <f t="shared" si="20"/>
        <v>3334.9</v>
      </c>
      <c r="BN124" s="16">
        <f t="shared" si="21"/>
        <v>3334.9</v>
      </c>
      <c r="BO124" s="16">
        <f t="shared" si="22"/>
        <v>3334.9</v>
      </c>
      <c r="BP124" s="16">
        <f t="shared" si="23"/>
        <v>0</v>
      </c>
    </row>
    <row r="125" spans="1:68" ht="12" customHeight="1" x14ac:dyDescent="0.25">
      <c r="A125" s="5">
        <f t="shared" si="25"/>
        <v>121</v>
      </c>
      <c r="B125" s="6" t="s">
        <v>205</v>
      </c>
      <c r="C125" s="7">
        <f t="shared" si="15"/>
        <v>3185.2</v>
      </c>
      <c r="D125" s="8">
        <v>3185.2</v>
      </c>
      <c r="E125" s="8">
        <v>0</v>
      </c>
      <c r="F125" s="8">
        <v>255.5</v>
      </c>
      <c r="G125" s="9">
        <v>0</v>
      </c>
      <c r="H125" s="9">
        <v>0</v>
      </c>
      <c r="I125" s="9">
        <v>0</v>
      </c>
      <c r="J125" s="9">
        <v>0</v>
      </c>
      <c r="K125" s="9" t="s">
        <v>83</v>
      </c>
      <c r="L125" s="10" t="s">
        <v>71</v>
      </c>
      <c r="M125" s="10">
        <v>0</v>
      </c>
      <c r="N125" s="10" t="s">
        <v>72</v>
      </c>
      <c r="O125" s="10" t="s">
        <v>72</v>
      </c>
      <c r="P125" s="5" t="s">
        <v>143</v>
      </c>
      <c r="Q125" s="11">
        <v>7</v>
      </c>
      <c r="R125" s="12">
        <v>28.44</v>
      </c>
      <c r="S125" s="10">
        <v>4.68</v>
      </c>
      <c r="T125" s="10">
        <v>6.05</v>
      </c>
      <c r="U125" s="10">
        <v>8.24</v>
      </c>
      <c r="V125" s="10">
        <v>6.34</v>
      </c>
      <c r="W125" s="10">
        <v>2.89</v>
      </c>
      <c r="X125" s="10">
        <v>0</v>
      </c>
      <c r="Y125" s="10">
        <v>0</v>
      </c>
      <c r="Z125" s="10">
        <v>0.24</v>
      </c>
      <c r="AA125" s="13">
        <v>1.2999999999999999E-2</v>
      </c>
      <c r="AB125" s="13">
        <v>1.2999999999999999E-2</v>
      </c>
      <c r="AC125" s="14">
        <f t="shared" si="27"/>
        <v>7.7870000000000001E-4</v>
      </c>
      <c r="AD125" s="13">
        <f t="shared" si="28"/>
        <v>2.5999999999999999E-2</v>
      </c>
      <c r="AE125" s="13">
        <v>0.68300000000000005</v>
      </c>
      <c r="AF125" s="10">
        <v>4.29</v>
      </c>
      <c r="AG125" s="10">
        <v>3.17</v>
      </c>
      <c r="AH125" s="15">
        <v>5.9900000000000002E-2</v>
      </c>
      <c r="AI125" s="10">
        <f t="shared" si="26"/>
        <v>7.46</v>
      </c>
      <c r="AJ125" s="10">
        <v>0.02</v>
      </c>
      <c r="AK125" s="10">
        <v>10</v>
      </c>
      <c r="AL125" s="10">
        <v>0</v>
      </c>
      <c r="AM125" s="16">
        <v>40</v>
      </c>
      <c r="AN125" s="16">
        <v>40</v>
      </c>
      <c r="AO125" s="16">
        <v>2604.04</v>
      </c>
      <c r="AP125" s="10">
        <v>195.98199600000001</v>
      </c>
      <c r="AQ125" s="16">
        <v>42.3</v>
      </c>
      <c r="AR125" s="16">
        <v>2604.04</v>
      </c>
      <c r="AS125" s="10">
        <v>7.85</v>
      </c>
      <c r="AT125" s="13">
        <v>0</v>
      </c>
      <c r="AU125" s="10">
        <v>6.73</v>
      </c>
      <c r="AV125" s="17">
        <f t="shared" si="24"/>
        <v>26008.965806478111</v>
      </c>
      <c r="AW125" s="17">
        <v>13645.806368087293</v>
      </c>
      <c r="AX125" s="17">
        <v>12363.15943839082</v>
      </c>
      <c r="AY125" s="17">
        <v>0</v>
      </c>
      <c r="BA125" s="18"/>
      <c r="BC125" s="19"/>
      <c r="BD125" s="19"/>
      <c r="BE125" s="19"/>
      <c r="BF125" s="19"/>
      <c r="BG125" s="19"/>
      <c r="BI125" s="16">
        <f t="shared" si="16"/>
        <v>0</v>
      </c>
      <c r="BJ125" s="16">
        <f t="shared" si="17"/>
        <v>0</v>
      </c>
      <c r="BK125" s="16">
        <f t="shared" si="18"/>
        <v>3185.2</v>
      </c>
      <c r="BL125" s="16">
        <f t="shared" si="19"/>
        <v>3185.2</v>
      </c>
      <c r="BM125" s="16">
        <f t="shared" si="20"/>
        <v>3185.2</v>
      </c>
      <c r="BN125" s="16">
        <f t="shared" si="21"/>
        <v>3185.2</v>
      </c>
      <c r="BO125" s="16">
        <f t="shared" si="22"/>
        <v>3185.2</v>
      </c>
      <c r="BP125" s="16">
        <f t="shared" si="23"/>
        <v>0</v>
      </c>
    </row>
    <row r="126" spans="1:68" ht="12" customHeight="1" x14ac:dyDescent="0.25">
      <c r="A126" s="5">
        <f t="shared" si="25"/>
        <v>122</v>
      </c>
      <c r="B126" s="6" t="s">
        <v>206</v>
      </c>
      <c r="C126" s="7">
        <f t="shared" si="15"/>
        <v>6130.9800000000005</v>
      </c>
      <c r="D126" s="8">
        <v>5060.8</v>
      </c>
      <c r="E126" s="8">
        <v>1070.18</v>
      </c>
      <c r="F126" s="8">
        <v>1137.2</v>
      </c>
      <c r="G126" s="9">
        <v>1</v>
      </c>
      <c r="H126" s="9">
        <v>1</v>
      </c>
      <c r="I126" s="9">
        <v>400</v>
      </c>
      <c r="J126" s="9">
        <v>630</v>
      </c>
      <c r="K126" s="9" t="s">
        <v>83</v>
      </c>
      <c r="L126" s="10" t="s">
        <v>71</v>
      </c>
      <c r="M126" s="10">
        <v>0</v>
      </c>
      <c r="N126" s="10" t="s">
        <v>72</v>
      </c>
      <c r="O126" s="10" t="s">
        <v>72</v>
      </c>
      <c r="P126" s="5" t="s">
        <v>143</v>
      </c>
      <c r="Q126" s="11">
        <v>1</v>
      </c>
      <c r="R126" s="12">
        <v>41.1</v>
      </c>
      <c r="S126" s="10">
        <v>4.68</v>
      </c>
      <c r="T126" s="10">
        <v>7.92</v>
      </c>
      <c r="U126" s="10">
        <v>12.32</v>
      </c>
      <c r="V126" s="10">
        <v>6.34</v>
      </c>
      <c r="W126" s="10">
        <v>2.89</v>
      </c>
      <c r="X126" s="10">
        <v>1.66</v>
      </c>
      <c r="Y126" s="10">
        <v>5.29</v>
      </c>
      <c r="Z126" s="10">
        <v>0</v>
      </c>
      <c r="AA126" s="13">
        <v>7.0000000000000001E-3</v>
      </c>
      <c r="AB126" s="13">
        <v>7.0000000000000001E-3</v>
      </c>
      <c r="AC126" s="14">
        <f t="shared" si="27"/>
        <v>4.193E-4</v>
      </c>
      <c r="AD126" s="13">
        <f t="shared" si="28"/>
        <v>1.4E-2</v>
      </c>
      <c r="AE126" s="13">
        <v>3.23</v>
      </c>
      <c r="AF126" s="10">
        <v>4.29</v>
      </c>
      <c r="AG126" s="10">
        <v>3.17</v>
      </c>
      <c r="AH126" s="15">
        <v>5.9900000000000002E-2</v>
      </c>
      <c r="AI126" s="10">
        <f t="shared" si="26"/>
        <v>7.46</v>
      </c>
      <c r="AJ126" s="10">
        <v>0.02</v>
      </c>
      <c r="AK126" s="13">
        <v>0</v>
      </c>
      <c r="AL126" s="10">
        <v>0</v>
      </c>
      <c r="AM126" s="16">
        <v>40</v>
      </c>
      <c r="AN126" s="16">
        <v>40</v>
      </c>
      <c r="AO126" s="16">
        <v>2604.04</v>
      </c>
      <c r="AP126" s="10">
        <v>195.98199600000001</v>
      </c>
      <c r="AQ126" s="16">
        <v>42.3</v>
      </c>
      <c r="AR126" s="16">
        <v>2604.04</v>
      </c>
      <c r="AS126" s="10">
        <v>0</v>
      </c>
      <c r="AT126" s="13">
        <v>0</v>
      </c>
      <c r="AU126" s="10">
        <v>5.05</v>
      </c>
      <c r="AV126" s="17">
        <f t="shared" si="24"/>
        <v>62632.761851773474</v>
      </c>
      <c r="AW126" s="17">
        <v>26360.827506157195</v>
      </c>
      <c r="AX126" s="17">
        <v>23883.037003203459</v>
      </c>
      <c r="AY126" s="17">
        <v>12388.89734241282</v>
      </c>
      <c r="BA126" s="18"/>
      <c r="BC126" s="19"/>
      <c r="BD126" s="19"/>
      <c r="BE126" s="19"/>
      <c r="BF126" s="19"/>
      <c r="BG126" s="19"/>
      <c r="BI126" s="16">
        <f t="shared" si="16"/>
        <v>6130.9800000000005</v>
      </c>
      <c r="BJ126" s="16">
        <f t="shared" si="17"/>
        <v>0</v>
      </c>
      <c r="BK126" s="16">
        <f t="shared" si="18"/>
        <v>6130.9800000000005</v>
      </c>
      <c r="BL126" s="16">
        <f t="shared" si="19"/>
        <v>6130.9800000000005</v>
      </c>
      <c r="BM126" s="16">
        <f t="shared" si="20"/>
        <v>6130.9800000000005</v>
      </c>
      <c r="BN126" s="16">
        <f t="shared" si="21"/>
        <v>6130.9800000000005</v>
      </c>
      <c r="BO126" s="16">
        <f t="shared" si="22"/>
        <v>0</v>
      </c>
      <c r="BP126" s="16">
        <f t="shared" si="23"/>
        <v>6130.9800000000005</v>
      </c>
    </row>
    <row r="127" spans="1:68" ht="12" customHeight="1" x14ac:dyDescent="0.25">
      <c r="A127" s="5">
        <f t="shared" si="25"/>
        <v>123</v>
      </c>
      <c r="B127" s="6" t="s">
        <v>207</v>
      </c>
      <c r="C127" s="7">
        <f t="shared" si="15"/>
        <v>3498.95</v>
      </c>
      <c r="D127" s="8">
        <v>3498.95</v>
      </c>
      <c r="E127" s="8">
        <v>0</v>
      </c>
      <c r="F127" s="8">
        <v>384</v>
      </c>
      <c r="G127" s="9">
        <v>0</v>
      </c>
      <c r="H127" s="9">
        <v>0</v>
      </c>
      <c r="I127" s="9">
        <v>0</v>
      </c>
      <c r="J127" s="9">
        <v>0</v>
      </c>
      <c r="K127" s="9" t="s">
        <v>71</v>
      </c>
      <c r="L127" s="10" t="s">
        <v>71</v>
      </c>
      <c r="M127" s="10">
        <v>0</v>
      </c>
      <c r="N127" s="10" t="s">
        <v>72</v>
      </c>
      <c r="O127" s="10" t="s">
        <v>72</v>
      </c>
      <c r="P127" s="5" t="s">
        <v>143</v>
      </c>
      <c r="Q127" s="11">
        <v>7</v>
      </c>
      <c r="R127" s="12">
        <v>28.44</v>
      </c>
      <c r="S127" s="10">
        <v>4.68</v>
      </c>
      <c r="T127" s="10">
        <v>6.05</v>
      </c>
      <c r="U127" s="10">
        <v>8.24</v>
      </c>
      <c r="V127" s="10">
        <v>6.34</v>
      </c>
      <c r="W127" s="10">
        <v>2.89</v>
      </c>
      <c r="X127" s="10">
        <v>0</v>
      </c>
      <c r="Y127" s="10">
        <v>0</v>
      </c>
      <c r="Z127" s="10">
        <v>0.24</v>
      </c>
      <c r="AA127" s="13">
        <v>1.2999999999999999E-2</v>
      </c>
      <c r="AB127" s="13">
        <v>1.2999999999999999E-2</v>
      </c>
      <c r="AC127" s="14">
        <f t="shared" si="27"/>
        <v>7.7870000000000001E-4</v>
      </c>
      <c r="AD127" s="13">
        <f t="shared" si="28"/>
        <v>2.5999999999999999E-2</v>
      </c>
      <c r="AE127" s="13">
        <v>0.68300000000000005</v>
      </c>
      <c r="AF127" s="10">
        <v>4.29</v>
      </c>
      <c r="AG127" s="10">
        <v>3.17</v>
      </c>
      <c r="AH127" s="15">
        <v>5.9900000000000002E-2</v>
      </c>
      <c r="AI127" s="10">
        <f t="shared" si="26"/>
        <v>7.46</v>
      </c>
      <c r="AJ127" s="10">
        <v>0.02</v>
      </c>
      <c r="AK127" s="10">
        <v>10</v>
      </c>
      <c r="AL127" s="10">
        <v>0</v>
      </c>
      <c r="AM127" s="16">
        <v>40</v>
      </c>
      <c r="AN127" s="16">
        <v>40</v>
      </c>
      <c r="AO127" s="16">
        <v>2604.04</v>
      </c>
      <c r="AP127" s="10">
        <v>195.98199600000001</v>
      </c>
      <c r="AQ127" s="16">
        <v>42.3</v>
      </c>
      <c r="AR127" s="16">
        <v>2604.04</v>
      </c>
      <c r="AS127" s="10">
        <v>7.85</v>
      </c>
      <c r="AT127" s="13">
        <v>0</v>
      </c>
      <c r="AU127" s="10">
        <v>6.73</v>
      </c>
      <c r="AV127" s="17">
        <f t="shared" si="24"/>
        <v>28589.763097875737</v>
      </c>
      <c r="AW127" s="17">
        <v>14999.846326303519</v>
      </c>
      <c r="AX127" s="17">
        <v>13589.916771572218</v>
      </c>
      <c r="AY127" s="17">
        <v>0</v>
      </c>
      <c r="BA127" s="18"/>
      <c r="BC127" s="19"/>
      <c r="BD127" s="19"/>
      <c r="BE127" s="19"/>
      <c r="BF127" s="19"/>
      <c r="BG127" s="19"/>
      <c r="BI127" s="16">
        <f t="shared" si="16"/>
        <v>0</v>
      </c>
      <c r="BJ127" s="16">
        <f t="shared" si="17"/>
        <v>0</v>
      </c>
      <c r="BK127" s="16">
        <f t="shared" si="18"/>
        <v>3498.95</v>
      </c>
      <c r="BL127" s="16">
        <f t="shared" si="19"/>
        <v>3498.95</v>
      </c>
      <c r="BM127" s="16">
        <f t="shared" si="20"/>
        <v>3498.95</v>
      </c>
      <c r="BN127" s="16">
        <f t="shared" si="21"/>
        <v>3498.95</v>
      </c>
      <c r="BO127" s="16">
        <f t="shared" si="22"/>
        <v>3498.95</v>
      </c>
      <c r="BP127" s="16">
        <f t="shared" si="23"/>
        <v>0</v>
      </c>
    </row>
    <row r="128" spans="1:68" ht="12" customHeight="1" x14ac:dyDescent="0.25">
      <c r="A128" s="5">
        <f t="shared" si="25"/>
        <v>124</v>
      </c>
      <c r="B128" s="6" t="s">
        <v>208</v>
      </c>
      <c r="C128" s="7">
        <f t="shared" si="15"/>
        <v>3162.6</v>
      </c>
      <c r="D128" s="8">
        <v>3162.6</v>
      </c>
      <c r="E128" s="8">
        <v>0</v>
      </c>
      <c r="F128" s="8">
        <v>297.60000000000002</v>
      </c>
      <c r="G128" s="9">
        <v>0</v>
      </c>
      <c r="H128" s="9">
        <v>0</v>
      </c>
      <c r="I128" s="9">
        <v>0</v>
      </c>
      <c r="J128" s="9">
        <v>0</v>
      </c>
      <c r="K128" s="9" t="s">
        <v>71</v>
      </c>
      <c r="L128" s="10" t="s">
        <v>71</v>
      </c>
      <c r="M128" s="10">
        <v>0</v>
      </c>
      <c r="N128" s="10" t="s">
        <v>72</v>
      </c>
      <c r="O128" s="10" t="s">
        <v>72</v>
      </c>
      <c r="P128" s="5" t="s">
        <v>143</v>
      </c>
      <c r="Q128" s="11">
        <v>7</v>
      </c>
      <c r="R128" s="12">
        <v>28.44</v>
      </c>
      <c r="S128" s="10">
        <v>4.68</v>
      </c>
      <c r="T128" s="10">
        <v>6.05</v>
      </c>
      <c r="U128" s="10">
        <v>8.24</v>
      </c>
      <c r="V128" s="10">
        <v>6.34</v>
      </c>
      <c r="W128" s="10">
        <v>2.89</v>
      </c>
      <c r="X128" s="10">
        <v>0</v>
      </c>
      <c r="Y128" s="10">
        <v>0</v>
      </c>
      <c r="Z128" s="10">
        <v>0.24</v>
      </c>
      <c r="AA128" s="13">
        <v>1.2999999999999999E-2</v>
      </c>
      <c r="AB128" s="13">
        <v>1.2999999999999999E-2</v>
      </c>
      <c r="AC128" s="14">
        <f t="shared" si="27"/>
        <v>7.7870000000000001E-4</v>
      </c>
      <c r="AD128" s="13">
        <f t="shared" si="28"/>
        <v>2.5999999999999999E-2</v>
      </c>
      <c r="AE128" s="13">
        <v>0.68300000000000005</v>
      </c>
      <c r="AF128" s="10">
        <v>4.29</v>
      </c>
      <c r="AG128" s="10">
        <v>3.17</v>
      </c>
      <c r="AH128" s="15">
        <v>5.9900000000000002E-2</v>
      </c>
      <c r="AI128" s="10">
        <f t="shared" si="26"/>
        <v>7.46</v>
      </c>
      <c r="AJ128" s="10">
        <v>0.02</v>
      </c>
      <c r="AK128" s="10">
        <v>10</v>
      </c>
      <c r="AL128" s="10">
        <v>0</v>
      </c>
      <c r="AM128" s="16">
        <v>40</v>
      </c>
      <c r="AN128" s="16">
        <v>40</v>
      </c>
      <c r="AO128" s="16">
        <v>2604.04</v>
      </c>
      <c r="AP128" s="10">
        <v>195.98199600000001</v>
      </c>
      <c r="AQ128" s="16">
        <v>42.3</v>
      </c>
      <c r="AR128" s="16">
        <v>2604.04</v>
      </c>
      <c r="AS128" s="10">
        <v>7.85</v>
      </c>
      <c r="AT128" s="13">
        <v>0</v>
      </c>
      <c r="AU128" s="10">
        <v>6.73</v>
      </c>
      <c r="AV128" s="17">
        <f t="shared" si="24"/>
        <v>25820.221176983461</v>
      </c>
      <c r="AW128" s="17">
        <v>13546.771989267387</v>
      </c>
      <c r="AX128" s="17">
        <v>12273.449187716076</v>
      </c>
      <c r="AY128" s="17">
        <v>0</v>
      </c>
      <c r="BA128" s="18"/>
      <c r="BC128" s="19"/>
      <c r="BD128" s="19"/>
      <c r="BE128" s="19"/>
      <c r="BF128" s="19"/>
      <c r="BG128" s="19"/>
      <c r="BI128" s="16">
        <f t="shared" si="16"/>
        <v>0</v>
      </c>
      <c r="BJ128" s="16">
        <f t="shared" si="17"/>
        <v>0</v>
      </c>
      <c r="BK128" s="16">
        <f t="shared" si="18"/>
        <v>3162.6</v>
      </c>
      <c r="BL128" s="16">
        <f t="shared" si="19"/>
        <v>3162.6</v>
      </c>
      <c r="BM128" s="16">
        <f t="shared" si="20"/>
        <v>3162.6</v>
      </c>
      <c r="BN128" s="16">
        <f t="shared" si="21"/>
        <v>3162.6</v>
      </c>
      <c r="BO128" s="16">
        <f t="shared" si="22"/>
        <v>3162.6</v>
      </c>
      <c r="BP128" s="16">
        <f t="shared" si="23"/>
        <v>0</v>
      </c>
    </row>
    <row r="129" spans="1:68" ht="12" customHeight="1" x14ac:dyDescent="0.25">
      <c r="A129" s="5">
        <f t="shared" si="25"/>
        <v>125</v>
      </c>
      <c r="B129" s="6" t="s">
        <v>209</v>
      </c>
      <c r="C129" s="7">
        <f t="shared" si="15"/>
        <v>3544.3</v>
      </c>
      <c r="D129" s="8">
        <v>3544.3</v>
      </c>
      <c r="E129" s="8">
        <v>0</v>
      </c>
      <c r="F129" s="8">
        <v>310</v>
      </c>
      <c r="G129" s="9">
        <v>0</v>
      </c>
      <c r="H129" s="9">
        <v>0</v>
      </c>
      <c r="I129" s="9">
        <v>0</v>
      </c>
      <c r="J129" s="9">
        <v>0</v>
      </c>
      <c r="K129" s="9" t="s">
        <v>71</v>
      </c>
      <c r="L129" s="10" t="s">
        <v>71</v>
      </c>
      <c r="M129" s="10">
        <v>0</v>
      </c>
      <c r="N129" s="10" t="s">
        <v>72</v>
      </c>
      <c r="O129" s="10" t="s">
        <v>72</v>
      </c>
      <c r="P129" s="5" t="s">
        <v>143</v>
      </c>
      <c r="Q129" s="11">
        <v>7</v>
      </c>
      <c r="R129" s="12">
        <v>28.44</v>
      </c>
      <c r="S129" s="10">
        <v>4.68</v>
      </c>
      <c r="T129" s="10">
        <v>6.05</v>
      </c>
      <c r="U129" s="10">
        <v>8.24</v>
      </c>
      <c r="V129" s="10">
        <v>6.34</v>
      </c>
      <c r="W129" s="10">
        <v>2.89</v>
      </c>
      <c r="X129" s="10">
        <v>0</v>
      </c>
      <c r="Y129" s="10">
        <v>0</v>
      </c>
      <c r="Z129" s="10">
        <v>0.24</v>
      </c>
      <c r="AA129" s="13">
        <v>1.2999999999999999E-2</v>
      </c>
      <c r="AB129" s="13">
        <v>1.2999999999999999E-2</v>
      </c>
      <c r="AC129" s="14">
        <f t="shared" si="27"/>
        <v>7.7870000000000001E-4</v>
      </c>
      <c r="AD129" s="13">
        <f t="shared" si="28"/>
        <v>2.5999999999999999E-2</v>
      </c>
      <c r="AE129" s="13">
        <v>0.68300000000000005</v>
      </c>
      <c r="AF129" s="10">
        <v>4.29</v>
      </c>
      <c r="AG129" s="10">
        <v>3.17</v>
      </c>
      <c r="AH129" s="15">
        <v>5.9900000000000002E-2</v>
      </c>
      <c r="AI129" s="10">
        <f t="shared" si="26"/>
        <v>7.46</v>
      </c>
      <c r="AJ129" s="10">
        <v>0.02</v>
      </c>
      <c r="AK129" s="10">
        <v>10</v>
      </c>
      <c r="AL129" s="10">
        <v>0</v>
      </c>
      <c r="AM129" s="16">
        <v>40</v>
      </c>
      <c r="AN129" s="16">
        <v>40</v>
      </c>
      <c r="AO129" s="16">
        <v>2604.04</v>
      </c>
      <c r="AP129" s="10">
        <v>195.98199600000001</v>
      </c>
      <c r="AQ129" s="16">
        <v>42.3</v>
      </c>
      <c r="AR129" s="16">
        <v>2604.04</v>
      </c>
      <c r="AS129" s="10">
        <v>7.85</v>
      </c>
      <c r="AT129" s="13">
        <v>0</v>
      </c>
      <c r="AU129" s="10">
        <v>6.73</v>
      </c>
      <c r="AV129" s="17">
        <f t="shared" si="24"/>
        <v>28818.962857325649</v>
      </c>
      <c r="AW129" s="17">
        <v>15120.080682873591</v>
      </c>
      <c r="AX129" s="17">
        <v>13698.882174452056</v>
      </c>
      <c r="AY129" s="17">
        <v>0</v>
      </c>
      <c r="BA129" s="18"/>
      <c r="BC129" s="19"/>
      <c r="BD129" s="19"/>
      <c r="BE129" s="19"/>
      <c r="BF129" s="19"/>
      <c r="BG129" s="19"/>
      <c r="BI129" s="16">
        <f t="shared" si="16"/>
        <v>0</v>
      </c>
      <c r="BJ129" s="16">
        <f t="shared" si="17"/>
        <v>0</v>
      </c>
      <c r="BK129" s="16">
        <f t="shared" si="18"/>
        <v>3544.3</v>
      </c>
      <c r="BL129" s="16">
        <f t="shared" si="19"/>
        <v>3544.3</v>
      </c>
      <c r="BM129" s="16">
        <f t="shared" si="20"/>
        <v>3544.3</v>
      </c>
      <c r="BN129" s="16">
        <f t="shared" si="21"/>
        <v>3544.3</v>
      </c>
      <c r="BO129" s="16">
        <f t="shared" si="22"/>
        <v>3544.3</v>
      </c>
      <c r="BP129" s="16">
        <f t="shared" si="23"/>
        <v>0</v>
      </c>
    </row>
    <row r="130" spans="1:68" ht="12" customHeight="1" x14ac:dyDescent="0.25">
      <c r="A130" s="5">
        <f t="shared" si="25"/>
        <v>126</v>
      </c>
      <c r="B130" s="6" t="s">
        <v>210</v>
      </c>
      <c r="C130" s="7">
        <f t="shared" si="15"/>
        <v>3332.0000000000005</v>
      </c>
      <c r="D130" s="8">
        <v>3332.0000000000005</v>
      </c>
      <c r="E130" s="8">
        <v>0</v>
      </c>
      <c r="F130" s="8">
        <v>246</v>
      </c>
      <c r="G130" s="9">
        <v>0</v>
      </c>
      <c r="H130" s="9">
        <v>0</v>
      </c>
      <c r="I130" s="9">
        <v>0</v>
      </c>
      <c r="J130" s="9">
        <v>0</v>
      </c>
      <c r="K130" s="9" t="s">
        <v>83</v>
      </c>
      <c r="L130" s="10" t="s">
        <v>71</v>
      </c>
      <c r="M130" s="10">
        <v>0</v>
      </c>
      <c r="N130" s="10" t="s">
        <v>72</v>
      </c>
      <c r="O130" s="10" t="s">
        <v>72</v>
      </c>
      <c r="P130" s="5" t="s">
        <v>73</v>
      </c>
      <c r="Q130" s="11">
        <v>7</v>
      </c>
      <c r="R130" s="12">
        <v>28.44</v>
      </c>
      <c r="S130" s="10">
        <v>4.68</v>
      </c>
      <c r="T130" s="10">
        <v>6.05</v>
      </c>
      <c r="U130" s="10">
        <v>8.24</v>
      </c>
      <c r="V130" s="10">
        <v>6.34</v>
      </c>
      <c r="W130" s="10">
        <v>2.89</v>
      </c>
      <c r="X130" s="10">
        <v>0</v>
      </c>
      <c r="Y130" s="10">
        <v>0</v>
      </c>
      <c r="Z130" s="10">
        <v>0.24</v>
      </c>
      <c r="AA130" s="13">
        <v>1.2999999999999999E-2</v>
      </c>
      <c r="AB130" s="13">
        <v>1.2999999999999999E-2</v>
      </c>
      <c r="AC130" s="14">
        <f t="shared" si="27"/>
        <v>7.7870000000000001E-4</v>
      </c>
      <c r="AD130" s="13">
        <f t="shared" si="28"/>
        <v>2.5999999999999999E-2</v>
      </c>
      <c r="AE130" s="13">
        <v>0.68300000000000005</v>
      </c>
      <c r="AF130" s="10">
        <v>4.29</v>
      </c>
      <c r="AG130" s="10">
        <v>3.17</v>
      </c>
      <c r="AH130" s="15">
        <v>5.9900000000000002E-2</v>
      </c>
      <c r="AI130" s="10">
        <f t="shared" si="26"/>
        <v>7.46</v>
      </c>
      <c r="AJ130" s="10">
        <v>0.02</v>
      </c>
      <c r="AK130" s="10">
        <v>10</v>
      </c>
      <c r="AL130" s="10">
        <v>0</v>
      </c>
      <c r="AM130" s="16">
        <v>40</v>
      </c>
      <c r="AN130" s="16">
        <v>40</v>
      </c>
      <c r="AO130" s="16">
        <v>2604.04</v>
      </c>
      <c r="AP130" s="10">
        <v>195.98199600000001</v>
      </c>
      <c r="AQ130" s="16">
        <v>42.3</v>
      </c>
      <c r="AR130" s="16">
        <v>2604.04</v>
      </c>
      <c r="AS130" s="10">
        <v>7.85</v>
      </c>
      <c r="AT130" s="13">
        <v>0</v>
      </c>
      <c r="AU130" s="10">
        <v>6.73</v>
      </c>
      <c r="AV130" s="17">
        <f t="shared" si="24"/>
        <v>27229.709352867663</v>
      </c>
      <c r="AW130" s="17">
        <v>14286.274661419258</v>
      </c>
      <c r="AX130" s="17">
        <v>12943.434691448403</v>
      </c>
      <c r="AY130" s="17">
        <v>0</v>
      </c>
      <c r="BA130" s="18"/>
      <c r="BC130" s="19"/>
      <c r="BD130" s="19"/>
      <c r="BE130" s="19"/>
      <c r="BF130" s="19"/>
      <c r="BG130" s="19"/>
      <c r="BI130" s="16">
        <f t="shared" si="16"/>
        <v>0</v>
      </c>
      <c r="BJ130" s="16">
        <f t="shared" si="17"/>
        <v>0</v>
      </c>
      <c r="BK130" s="16">
        <f t="shared" si="18"/>
        <v>3332.0000000000005</v>
      </c>
      <c r="BL130" s="16">
        <f t="shared" si="19"/>
        <v>3332.0000000000005</v>
      </c>
      <c r="BM130" s="16">
        <f t="shared" si="20"/>
        <v>3332.0000000000005</v>
      </c>
      <c r="BN130" s="16">
        <f t="shared" si="21"/>
        <v>3332.0000000000005</v>
      </c>
      <c r="BO130" s="16">
        <f t="shared" si="22"/>
        <v>3332.0000000000005</v>
      </c>
      <c r="BP130" s="16">
        <f t="shared" si="23"/>
        <v>0</v>
      </c>
    </row>
    <row r="131" spans="1:68" ht="12" customHeight="1" x14ac:dyDescent="0.25">
      <c r="A131" s="5">
        <f t="shared" si="25"/>
        <v>127</v>
      </c>
      <c r="B131" s="6" t="s">
        <v>211</v>
      </c>
      <c r="C131" s="7">
        <f t="shared" si="15"/>
        <v>3359.2</v>
      </c>
      <c r="D131" s="8">
        <v>3359.2</v>
      </c>
      <c r="E131" s="8">
        <v>0</v>
      </c>
      <c r="F131" s="8">
        <v>382.8</v>
      </c>
      <c r="G131" s="9">
        <v>0</v>
      </c>
      <c r="H131" s="9">
        <v>0</v>
      </c>
      <c r="I131" s="9">
        <v>0</v>
      </c>
      <c r="J131" s="9">
        <v>0</v>
      </c>
      <c r="K131" s="9" t="s">
        <v>83</v>
      </c>
      <c r="L131" s="10" t="s">
        <v>71</v>
      </c>
      <c r="M131" s="10">
        <v>0</v>
      </c>
      <c r="N131" s="10" t="s">
        <v>72</v>
      </c>
      <c r="O131" s="10" t="s">
        <v>72</v>
      </c>
      <c r="P131" s="5" t="s">
        <v>73</v>
      </c>
      <c r="Q131" s="11">
        <v>7</v>
      </c>
      <c r="R131" s="12">
        <v>28.44</v>
      </c>
      <c r="S131" s="10">
        <v>4.68</v>
      </c>
      <c r="T131" s="10">
        <v>6.05</v>
      </c>
      <c r="U131" s="10">
        <v>8.24</v>
      </c>
      <c r="V131" s="10">
        <v>6.34</v>
      </c>
      <c r="W131" s="10">
        <v>2.89</v>
      </c>
      <c r="X131" s="10">
        <v>0</v>
      </c>
      <c r="Y131" s="10">
        <v>0</v>
      </c>
      <c r="Z131" s="10">
        <v>0.24</v>
      </c>
      <c r="AA131" s="13">
        <v>1.2999999999999999E-2</v>
      </c>
      <c r="AB131" s="13">
        <v>1.2999999999999999E-2</v>
      </c>
      <c r="AC131" s="14">
        <f t="shared" si="27"/>
        <v>7.7870000000000001E-4</v>
      </c>
      <c r="AD131" s="13">
        <f t="shared" si="28"/>
        <v>2.5999999999999999E-2</v>
      </c>
      <c r="AE131" s="13">
        <v>0.68300000000000005</v>
      </c>
      <c r="AF131" s="10">
        <v>4.29</v>
      </c>
      <c r="AG131" s="10">
        <v>3.17</v>
      </c>
      <c r="AH131" s="15">
        <v>5.9900000000000002E-2</v>
      </c>
      <c r="AI131" s="10">
        <f t="shared" si="26"/>
        <v>7.46</v>
      </c>
      <c r="AJ131" s="10">
        <v>0.02</v>
      </c>
      <c r="AK131" s="10">
        <v>10</v>
      </c>
      <c r="AL131" s="10">
        <v>0</v>
      </c>
      <c r="AM131" s="16">
        <v>40</v>
      </c>
      <c r="AN131" s="16">
        <v>40</v>
      </c>
      <c r="AO131" s="16">
        <v>2604.04</v>
      </c>
      <c r="AP131" s="10">
        <v>195.98199600000001</v>
      </c>
      <c r="AQ131" s="16">
        <v>42.3</v>
      </c>
      <c r="AR131" s="16">
        <v>2604.04</v>
      </c>
      <c r="AS131" s="10">
        <v>7.85</v>
      </c>
      <c r="AT131" s="13">
        <v>0</v>
      </c>
      <c r="AU131" s="10">
        <v>6.73</v>
      </c>
      <c r="AV131" s="17">
        <f t="shared" si="24"/>
        <v>27465.033243821199</v>
      </c>
      <c r="AW131" s="17">
        <v>14409.73660080881</v>
      </c>
      <c r="AX131" s="17">
        <v>13055.296643012391</v>
      </c>
      <c r="AY131" s="17">
        <v>0</v>
      </c>
      <c r="BA131" s="18"/>
      <c r="BC131" s="19"/>
      <c r="BD131" s="19"/>
      <c r="BE131" s="19"/>
      <c r="BF131" s="19"/>
      <c r="BG131" s="19"/>
      <c r="BI131" s="16">
        <f t="shared" si="16"/>
        <v>0</v>
      </c>
      <c r="BJ131" s="16">
        <f t="shared" si="17"/>
        <v>0</v>
      </c>
      <c r="BK131" s="16">
        <f t="shared" si="18"/>
        <v>3359.2</v>
      </c>
      <c r="BL131" s="16">
        <f t="shared" si="19"/>
        <v>3359.2</v>
      </c>
      <c r="BM131" s="16">
        <f t="shared" si="20"/>
        <v>3359.2</v>
      </c>
      <c r="BN131" s="16">
        <f t="shared" si="21"/>
        <v>3359.2</v>
      </c>
      <c r="BO131" s="16">
        <f t="shared" si="22"/>
        <v>3359.2</v>
      </c>
      <c r="BP131" s="16">
        <f t="shared" si="23"/>
        <v>0</v>
      </c>
    </row>
    <row r="132" spans="1:68" ht="12" customHeight="1" x14ac:dyDescent="0.25">
      <c r="A132" s="5">
        <f t="shared" si="25"/>
        <v>128</v>
      </c>
      <c r="B132" s="6" t="s">
        <v>212</v>
      </c>
      <c r="C132" s="7">
        <f t="shared" si="15"/>
        <v>6399.3</v>
      </c>
      <c r="D132" s="8">
        <v>6399.3</v>
      </c>
      <c r="E132" s="8">
        <v>0</v>
      </c>
      <c r="F132" s="8">
        <v>1625.4</v>
      </c>
      <c r="G132" s="9">
        <v>2</v>
      </c>
      <c r="H132" s="9">
        <v>0</v>
      </c>
      <c r="I132" s="9">
        <v>400</v>
      </c>
      <c r="J132" s="9">
        <v>0</v>
      </c>
      <c r="K132" s="9" t="s">
        <v>83</v>
      </c>
      <c r="L132" s="10" t="s">
        <v>71</v>
      </c>
      <c r="M132" s="10">
        <v>0</v>
      </c>
      <c r="N132" s="10" t="s">
        <v>72</v>
      </c>
      <c r="O132" s="10" t="s">
        <v>72</v>
      </c>
      <c r="P132" s="5" t="s">
        <v>73</v>
      </c>
      <c r="Q132" s="11">
        <v>3</v>
      </c>
      <c r="R132" s="12">
        <v>41.34</v>
      </c>
      <c r="S132" s="10">
        <v>4.68</v>
      </c>
      <c r="T132" s="10">
        <v>7.92</v>
      </c>
      <c r="U132" s="10">
        <v>12.32</v>
      </c>
      <c r="V132" s="10">
        <v>6.34</v>
      </c>
      <c r="W132" s="10">
        <v>2.89</v>
      </c>
      <c r="X132" s="10">
        <v>1.66</v>
      </c>
      <c r="Y132" s="10">
        <v>5.29</v>
      </c>
      <c r="Z132" s="10">
        <v>0.24</v>
      </c>
      <c r="AA132" s="13">
        <v>1.2E-2</v>
      </c>
      <c r="AB132" s="13">
        <v>1.2E-2</v>
      </c>
      <c r="AC132" s="14">
        <f t="shared" si="27"/>
        <v>7.1880000000000002E-4</v>
      </c>
      <c r="AD132" s="13">
        <f t="shared" si="28"/>
        <v>2.4E-2</v>
      </c>
      <c r="AE132" s="13">
        <v>3.23</v>
      </c>
      <c r="AF132" s="10">
        <v>4.29</v>
      </c>
      <c r="AG132" s="10">
        <v>3.17</v>
      </c>
      <c r="AH132" s="15">
        <v>5.9900000000000002E-2</v>
      </c>
      <c r="AI132" s="10">
        <f t="shared" si="26"/>
        <v>7.46</v>
      </c>
      <c r="AJ132" s="10">
        <v>0.02</v>
      </c>
      <c r="AK132" s="10">
        <v>10</v>
      </c>
      <c r="AL132" s="10">
        <v>0</v>
      </c>
      <c r="AM132" s="16">
        <v>40</v>
      </c>
      <c r="AN132" s="16">
        <v>40</v>
      </c>
      <c r="AO132" s="16">
        <v>2604.04</v>
      </c>
      <c r="AP132" s="10">
        <v>195.98199600000001</v>
      </c>
      <c r="AQ132" s="16">
        <v>42.3</v>
      </c>
      <c r="AR132" s="16">
        <v>2604.04</v>
      </c>
      <c r="AS132" s="10">
        <v>7.85</v>
      </c>
      <c r="AT132" s="13">
        <v>0</v>
      </c>
      <c r="AU132" s="10">
        <v>6.73</v>
      </c>
      <c r="AV132" s="17">
        <f t="shared" si="24"/>
        <v>54989.611252735092</v>
      </c>
      <c r="AW132" s="17">
        <v>23143.975709898692</v>
      </c>
      <c r="AX132" s="17">
        <v>20968.571096480995</v>
      </c>
      <c r="AY132" s="17">
        <v>10877.064446355405</v>
      </c>
      <c r="BA132" s="18"/>
      <c r="BC132" s="19"/>
      <c r="BD132" s="19"/>
      <c r="BE132" s="19"/>
      <c r="BF132" s="19"/>
      <c r="BG132" s="19"/>
      <c r="BI132" s="16">
        <f t="shared" si="16"/>
        <v>0</v>
      </c>
      <c r="BJ132" s="16">
        <f t="shared" si="17"/>
        <v>6399.3</v>
      </c>
      <c r="BK132" s="16">
        <f t="shared" si="18"/>
        <v>6399.3</v>
      </c>
      <c r="BL132" s="16">
        <f t="shared" si="19"/>
        <v>6399.3</v>
      </c>
      <c r="BM132" s="16">
        <f t="shared" si="20"/>
        <v>6399.3</v>
      </c>
      <c r="BN132" s="16">
        <f t="shared" si="21"/>
        <v>6399.3</v>
      </c>
      <c r="BO132" s="16">
        <f t="shared" si="22"/>
        <v>6399.3</v>
      </c>
      <c r="BP132" s="16">
        <f t="shared" si="23"/>
        <v>0</v>
      </c>
    </row>
    <row r="133" spans="1:68" ht="12" customHeight="1" x14ac:dyDescent="0.25">
      <c r="A133" s="5">
        <f t="shared" si="25"/>
        <v>129</v>
      </c>
      <c r="B133" s="6" t="s">
        <v>213</v>
      </c>
      <c r="C133" s="7">
        <f t="shared" si="15"/>
        <v>4686.3</v>
      </c>
      <c r="D133" s="8">
        <v>3481.8</v>
      </c>
      <c r="E133" s="8">
        <v>1204.5</v>
      </c>
      <c r="F133" s="8">
        <v>477.7</v>
      </c>
      <c r="G133" s="9">
        <v>2</v>
      </c>
      <c r="H133" s="9">
        <v>0</v>
      </c>
      <c r="I133" s="9">
        <v>400</v>
      </c>
      <c r="J133" s="9">
        <v>0</v>
      </c>
      <c r="K133" s="9" t="s">
        <v>71</v>
      </c>
      <c r="L133" s="10" t="s">
        <v>71</v>
      </c>
      <c r="M133" s="10">
        <v>0</v>
      </c>
      <c r="N133" s="10" t="s">
        <v>72</v>
      </c>
      <c r="O133" s="10" t="s">
        <v>72</v>
      </c>
      <c r="P133" s="5" t="s">
        <v>73</v>
      </c>
      <c r="Q133" s="11">
        <v>3</v>
      </c>
      <c r="R133" s="12">
        <v>41.34</v>
      </c>
      <c r="S133" s="10">
        <v>4.68</v>
      </c>
      <c r="T133" s="10">
        <v>7.92</v>
      </c>
      <c r="U133" s="10">
        <v>12.32</v>
      </c>
      <c r="V133" s="10">
        <v>6.34</v>
      </c>
      <c r="W133" s="10">
        <v>2.89</v>
      </c>
      <c r="X133" s="10">
        <v>1.66</v>
      </c>
      <c r="Y133" s="10">
        <v>5.29</v>
      </c>
      <c r="Z133" s="10">
        <v>0.24</v>
      </c>
      <c r="AA133" s="13">
        <v>7.0000000000000001E-3</v>
      </c>
      <c r="AB133" s="13">
        <v>7.0000000000000001E-3</v>
      </c>
      <c r="AC133" s="14">
        <f t="shared" si="27"/>
        <v>4.193E-4</v>
      </c>
      <c r="AD133" s="13">
        <f t="shared" si="28"/>
        <v>1.4E-2</v>
      </c>
      <c r="AE133" s="13">
        <v>3.23</v>
      </c>
      <c r="AF133" s="10">
        <v>4.29</v>
      </c>
      <c r="AG133" s="10">
        <v>3.17</v>
      </c>
      <c r="AH133" s="15">
        <v>5.9900000000000002E-2</v>
      </c>
      <c r="AI133" s="10">
        <f t="shared" si="26"/>
        <v>7.46</v>
      </c>
      <c r="AJ133" s="10">
        <v>0.02</v>
      </c>
      <c r="AK133" s="10">
        <v>10</v>
      </c>
      <c r="AL133" s="10">
        <v>0</v>
      </c>
      <c r="AM133" s="16">
        <v>40</v>
      </c>
      <c r="AN133" s="16">
        <v>40</v>
      </c>
      <c r="AO133" s="16">
        <v>2604.04</v>
      </c>
      <c r="AP133" s="10">
        <v>195.98199600000001</v>
      </c>
      <c r="AQ133" s="16">
        <v>42.3</v>
      </c>
      <c r="AR133" s="16">
        <v>2604.04</v>
      </c>
      <c r="AS133" s="10">
        <v>7.85</v>
      </c>
      <c r="AT133" s="13">
        <v>0</v>
      </c>
      <c r="AU133" s="10">
        <v>6.73</v>
      </c>
      <c r="AV133" s="17">
        <f t="shared" si="24"/>
        <v>47725.163704515566</v>
      </c>
      <c r="AW133" s="17">
        <v>20086.530642891117</v>
      </c>
      <c r="AX133" s="17">
        <v>18198.49124511881</v>
      </c>
      <c r="AY133" s="17">
        <v>9440.1418165056402</v>
      </c>
      <c r="BA133" s="18"/>
      <c r="BC133" s="19"/>
      <c r="BD133" s="19"/>
      <c r="BE133" s="19"/>
      <c r="BF133" s="19"/>
      <c r="BG133" s="19"/>
      <c r="BI133" s="16">
        <f t="shared" ref="BI133:BI196" si="29">IF(Q133=1,C133,0)</f>
        <v>0</v>
      </c>
      <c r="BJ133" s="16">
        <f t="shared" ref="BJ133:BJ196" si="30">IF(Q133=3,C133,0)</f>
        <v>4686.3</v>
      </c>
      <c r="BK133" s="16">
        <f t="shared" ref="BK133:BK196" si="31">IF(AF133&gt;0,C133,0)</f>
        <v>4686.3</v>
      </c>
      <c r="BL133" s="16">
        <f t="shared" ref="BL133:BL196" si="32">IF(AG133&gt;0,C133,0)</f>
        <v>4686.3</v>
      </c>
      <c r="BM133" s="16">
        <f t="shared" ref="BM133:BM196" si="33">IF(AI133&gt;0,C133,0)</f>
        <v>4686.3</v>
      </c>
      <c r="BN133" s="16">
        <f t="shared" ref="BN133:BN196" si="34">IF(AJ133&gt;0,C133,0)</f>
        <v>4686.3</v>
      </c>
      <c r="BO133" s="16">
        <f t="shared" ref="BO133:BO196" si="35">IF(AU133=6.73,C133,0)</f>
        <v>4686.3</v>
      </c>
      <c r="BP133" s="16">
        <f t="shared" ref="BP133:BP196" si="36">IF(AU133=5.05,C133,0)</f>
        <v>0</v>
      </c>
    </row>
    <row r="134" spans="1:68" ht="12" customHeight="1" x14ac:dyDescent="0.25">
      <c r="A134" s="5">
        <f t="shared" si="25"/>
        <v>130</v>
      </c>
      <c r="B134" s="6" t="s">
        <v>214</v>
      </c>
      <c r="C134" s="7">
        <f t="shared" si="15"/>
        <v>6395.7</v>
      </c>
      <c r="D134" s="8">
        <v>6395.7</v>
      </c>
      <c r="E134" s="8">
        <v>0</v>
      </c>
      <c r="F134" s="8">
        <v>654.4</v>
      </c>
      <c r="G134" s="9">
        <v>0</v>
      </c>
      <c r="H134" s="9">
        <v>0</v>
      </c>
      <c r="I134" s="9">
        <v>0</v>
      </c>
      <c r="J134" s="9">
        <v>0</v>
      </c>
      <c r="K134" s="9" t="s">
        <v>71</v>
      </c>
      <c r="L134" s="10" t="s">
        <v>71</v>
      </c>
      <c r="M134" s="10">
        <v>0</v>
      </c>
      <c r="N134" s="10" t="s">
        <v>72</v>
      </c>
      <c r="O134" s="10" t="s">
        <v>72</v>
      </c>
      <c r="P134" s="5" t="s">
        <v>73</v>
      </c>
      <c r="Q134" s="11">
        <v>7</v>
      </c>
      <c r="R134" s="12">
        <v>28.44</v>
      </c>
      <c r="S134" s="10">
        <v>4.68</v>
      </c>
      <c r="T134" s="10">
        <v>6.05</v>
      </c>
      <c r="U134" s="10">
        <v>8.24</v>
      </c>
      <c r="V134" s="10">
        <v>6.34</v>
      </c>
      <c r="W134" s="10">
        <v>2.89</v>
      </c>
      <c r="X134" s="10">
        <v>0</v>
      </c>
      <c r="Y134" s="10">
        <v>0</v>
      </c>
      <c r="Z134" s="10">
        <v>0.24</v>
      </c>
      <c r="AA134" s="13">
        <v>1.2999999999999999E-2</v>
      </c>
      <c r="AB134" s="13">
        <v>1.2999999999999999E-2</v>
      </c>
      <c r="AC134" s="14">
        <f t="shared" si="27"/>
        <v>7.7870000000000001E-4</v>
      </c>
      <c r="AD134" s="13">
        <f t="shared" si="28"/>
        <v>2.5999999999999999E-2</v>
      </c>
      <c r="AE134" s="13">
        <v>0.68300000000000005</v>
      </c>
      <c r="AF134" s="10">
        <v>4.29</v>
      </c>
      <c r="AG134" s="10">
        <v>3.17</v>
      </c>
      <c r="AH134" s="15">
        <v>5.9900000000000002E-2</v>
      </c>
      <c r="AI134" s="10">
        <f t="shared" si="26"/>
        <v>7.46</v>
      </c>
      <c r="AJ134" s="10">
        <v>0.02</v>
      </c>
      <c r="AK134" s="10">
        <v>10</v>
      </c>
      <c r="AL134" s="10">
        <v>0</v>
      </c>
      <c r="AM134" s="16">
        <v>40</v>
      </c>
      <c r="AN134" s="16">
        <v>40</v>
      </c>
      <c r="AO134" s="16">
        <v>2604.04</v>
      </c>
      <c r="AP134" s="10">
        <v>195.98199600000001</v>
      </c>
      <c r="AQ134" s="16">
        <v>42.3</v>
      </c>
      <c r="AR134" s="16">
        <v>2604.04</v>
      </c>
      <c r="AS134" s="10">
        <v>7.85</v>
      </c>
      <c r="AT134" s="13">
        <v>0</v>
      </c>
      <c r="AU134" s="10">
        <v>6.73</v>
      </c>
      <c r="AV134" s="17">
        <f t="shared" si="24"/>
        <v>54335.211939541274</v>
      </c>
      <c r="AW134" s="17">
        <v>28507.376977445194</v>
      </c>
      <c r="AX134" s="17">
        <v>25827.83496209608</v>
      </c>
      <c r="AY134" s="17">
        <v>0</v>
      </c>
      <c r="BA134" s="18"/>
      <c r="BC134" s="19"/>
      <c r="BD134" s="19"/>
      <c r="BE134" s="19"/>
      <c r="BF134" s="19"/>
      <c r="BG134" s="19"/>
      <c r="BI134" s="16">
        <f t="shared" si="29"/>
        <v>0</v>
      </c>
      <c r="BJ134" s="16">
        <f t="shared" si="30"/>
        <v>0</v>
      </c>
      <c r="BK134" s="16">
        <f t="shared" si="31"/>
        <v>6395.7</v>
      </c>
      <c r="BL134" s="16">
        <f t="shared" si="32"/>
        <v>6395.7</v>
      </c>
      <c r="BM134" s="16">
        <f t="shared" si="33"/>
        <v>6395.7</v>
      </c>
      <c r="BN134" s="16">
        <f t="shared" si="34"/>
        <v>6395.7</v>
      </c>
      <c r="BO134" s="16">
        <f t="shared" si="35"/>
        <v>6395.7</v>
      </c>
      <c r="BP134" s="16">
        <f t="shared" si="36"/>
        <v>0</v>
      </c>
    </row>
    <row r="135" spans="1:68" ht="12" customHeight="1" x14ac:dyDescent="0.25">
      <c r="A135" s="5">
        <f t="shared" ref="A135:A198" si="37">A134+1</f>
        <v>131</v>
      </c>
      <c r="B135" s="6" t="s">
        <v>215</v>
      </c>
      <c r="C135" s="7">
        <f t="shared" si="15"/>
        <v>4049.3</v>
      </c>
      <c r="D135" s="8">
        <v>3428</v>
      </c>
      <c r="E135" s="8">
        <v>621.29999999999995</v>
      </c>
      <c r="F135" s="8">
        <v>540.6</v>
      </c>
      <c r="G135" s="9">
        <v>2</v>
      </c>
      <c r="H135" s="9">
        <v>0</v>
      </c>
      <c r="I135" s="9">
        <v>400</v>
      </c>
      <c r="J135" s="9">
        <v>0</v>
      </c>
      <c r="K135" s="9" t="s">
        <v>71</v>
      </c>
      <c r="L135" s="10" t="s">
        <v>71</v>
      </c>
      <c r="M135" s="10">
        <v>0</v>
      </c>
      <c r="N135" s="10" t="s">
        <v>72</v>
      </c>
      <c r="O135" s="10" t="s">
        <v>72</v>
      </c>
      <c r="P135" s="5" t="s">
        <v>73</v>
      </c>
      <c r="Q135" s="11">
        <v>3</v>
      </c>
      <c r="R135" s="12">
        <v>41.34</v>
      </c>
      <c r="S135" s="10">
        <v>4.68</v>
      </c>
      <c r="T135" s="10">
        <v>7.92</v>
      </c>
      <c r="U135" s="10">
        <v>12.32</v>
      </c>
      <c r="V135" s="10">
        <v>6.34</v>
      </c>
      <c r="W135" s="10">
        <v>2.89</v>
      </c>
      <c r="X135" s="10">
        <v>1.66</v>
      </c>
      <c r="Y135" s="10">
        <v>5.29</v>
      </c>
      <c r="Z135" s="10">
        <v>0.24</v>
      </c>
      <c r="AA135" s="13">
        <v>7.0000000000000001E-3</v>
      </c>
      <c r="AB135" s="13">
        <v>7.0000000000000001E-3</v>
      </c>
      <c r="AC135" s="14">
        <f t="shared" si="27"/>
        <v>4.193E-4</v>
      </c>
      <c r="AD135" s="13">
        <f t="shared" si="28"/>
        <v>1.4E-2</v>
      </c>
      <c r="AE135" s="13">
        <v>3.23</v>
      </c>
      <c r="AF135" s="10">
        <v>4.29</v>
      </c>
      <c r="AG135" s="10">
        <v>3.17</v>
      </c>
      <c r="AH135" s="15">
        <v>5.9900000000000002E-2</v>
      </c>
      <c r="AI135" s="10">
        <f t="shared" si="26"/>
        <v>7.46</v>
      </c>
      <c r="AJ135" s="10">
        <v>0.02</v>
      </c>
      <c r="AK135" s="10">
        <v>10</v>
      </c>
      <c r="AL135" s="10">
        <v>0</v>
      </c>
      <c r="AM135" s="16">
        <v>40</v>
      </c>
      <c r="AN135" s="16">
        <v>40</v>
      </c>
      <c r="AO135" s="16">
        <v>2604.04</v>
      </c>
      <c r="AP135" s="10">
        <v>195.98199600000001</v>
      </c>
      <c r="AQ135" s="16">
        <v>42.3</v>
      </c>
      <c r="AR135" s="16">
        <v>2604.04</v>
      </c>
      <c r="AS135" s="10">
        <v>7.85</v>
      </c>
      <c r="AT135" s="13">
        <v>0</v>
      </c>
      <c r="AU135" s="10">
        <v>6.73</v>
      </c>
      <c r="AV135" s="17">
        <f t="shared" si="24"/>
        <v>41218.522257513934</v>
      </c>
      <c r="AW135" s="17">
        <v>17348.00937909717</v>
      </c>
      <c r="AX135" s="17">
        <v>15717.404193900729</v>
      </c>
      <c r="AY135" s="17">
        <v>8153.1086845160307</v>
      </c>
      <c r="BA135" s="18"/>
      <c r="BC135" s="19"/>
      <c r="BD135" s="19"/>
      <c r="BE135" s="19"/>
      <c r="BF135" s="19"/>
      <c r="BG135" s="19"/>
      <c r="BI135" s="16">
        <f t="shared" si="29"/>
        <v>0</v>
      </c>
      <c r="BJ135" s="16">
        <f t="shared" si="30"/>
        <v>4049.3</v>
      </c>
      <c r="BK135" s="16">
        <f t="shared" si="31"/>
        <v>4049.3</v>
      </c>
      <c r="BL135" s="16">
        <f t="shared" si="32"/>
        <v>4049.3</v>
      </c>
      <c r="BM135" s="16">
        <f t="shared" si="33"/>
        <v>4049.3</v>
      </c>
      <c r="BN135" s="16">
        <f t="shared" si="34"/>
        <v>4049.3</v>
      </c>
      <c r="BO135" s="16">
        <f t="shared" si="35"/>
        <v>4049.3</v>
      </c>
      <c r="BP135" s="16">
        <f t="shared" si="36"/>
        <v>0</v>
      </c>
    </row>
    <row r="136" spans="1:68" ht="12" customHeight="1" x14ac:dyDescent="0.25">
      <c r="A136" s="5">
        <f t="shared" si="37"/>
        <v>132</v>
      </c>
      <c r="B136" s="6" t="s">
        <v>216</v>
      </c>
      <c r="C136" s="7">
        <f t="shared" si="15"/>
        <v>3494.8</v>
      </c>
      <c r="D136" s="8">
        <v>3494.8</v>
      </c>
      <c r="E136" s="8">
        <v>0</v>
      </c>
      <c r="F136" s="8">
        <v>393.2</v>
      </c>
      <c r="G136" s="9">
        <v>0</v>
      </c>
      <c r="H136" s="9">
        <v>0</v>
      </c>
      <c r="I136" s="9">
        <v>0</v>
      </c>
      <c r="J136" s="9">
        <v>0</v>
      </c>
      <c r="K136" s="9" t="s">
        <v>71</v>
      </c>
      <c r="L136" s="10" t="s">
        <v>71</v>
      </c>
      <c r="M136" s="10">
        <v>0</v>
      </c>
      <c r="N136" s="10" t="s">
        <v>72</v>
      </c>
      <c r="O136" s="10" t="s">
        <v>72</v>
      </c>
      <c r="P136" s="5" t="s">
        <v>143</v>
      </c>
      <c r="Q136" s="11">
        <v>7</v>
      </c>
      <c r="R136" s="12">
        <v>28.44</v>
      </c>
      <c r="S136" s="10">
        <v>4.68</v>
      </c>
      <c r="T136" s="10">
        <v>6.05</v>
      </c>
      <c r="U136" s="10">
        <v>8.24</v>
      </c>
      <c r="V136" s="10">
        <v>6.34</v>
      </c>
      <c r="W136" s="10">
        <v>2.89</v>
      </c>
      <c r="X136" s="10">
        <v>0</v>
      </c>
      <c r="Y136" s="10">
        <v>0</v>
      </c>
      <c r="Z136" s="10">
        <v>0.24</v>
      </c>
      <c r="AA136" s="13">
        <v>1.2999999999999999E-2</v>
      </c>
      <c r="AB136" s="13">
        <v>1.2999999999999999E-2</v>
      </c>
      <c r="AC136" s="14">
        <f t="shared" si="27"/>
        <v>7.7870000000000001E-4</v>
      </c>
      <c r="AD136" s="13">
        <f t="shared" si="28"/>
        <v>2.5999999999999999E-2</v>
      </c>
      <c r="AE136" s="13">
        <v>0.68300000000000005</v>
      </c>
      <c r="AF136" s="10">
        <v>4.29</v>
      </c>
      <c r="AG136" s="10">
        <v>3.17</v>
      </c>
      <c r="AH136" s="15">
        <v>5.9900000000000002E-2</v>
      </c>
      <c r="AI136" s="10">
        <f t="shared" si="26"/>
        <v>7.46</v>
      </c>
      <c r="AJ136" s="10">
        <v>0.02</v>
      </c>
      <c r="AK136" s="10">
        <v>10</v>
      </c>
      <c r="AL136" s="10">
        <v>0</v>
      </c>
      <c r="AM136" s="16">
        <v>40</v>
      </c>
      <c r="AN136" s="16">
        <v>40</v>
      </c>
      <c r="AO136" s="16">
        <v>2604.04</v>
      </c>
      <c r="AP136" s="10">
        <v>195.98199600000001</v>
      </c>
      <c r="AQ136" s="16">
        <v>42.3</v>
      </c>
      <c r="AR136" s="16">
        <v>2604.04</v>
      </c>
      <c r="AS136" s="10">
        <v>7.85</v>
      </c>
      <c r="AT136" s="13">
        <v>0</v>
      </c>
      <c r="AU136" s="10">
        <v>6.73</v>
      </c>
      <c r="AV136" s="17">
        <f t="shared" si="24"/>
        <v>28544.425214424336</v>
      </c>
      <c r="AW136" s="17">
        <v>14976.03945473762</v>
      </c>
      <c r="AX136" s="17">
        <v>13568.385759686718</v>
      </c>
      <c r="AY136" s="17">
        <v>0</v>
      </c>
      <c r="BA136" s="18"/>
      <c r="BC136" s="19"/>
      <c r="BD136" s="19"/>
      <c r="BE136" s="19"/>
      <c r="BF136" s="19"/>
      <c r="BG136" s="19"/>
      <c r="BI136" s="16">
        <f t="shared" si="29"/>
        <v>0</v>
      </c>
      <c r="BJ136" s="16">
        <f t="shared" si="30"/>
        <v>0</v>
      </c>
      <c r="BK136" s="16">
        <f t="shared" si="31"/>
        <v>3494.8</v>
      </c>
      <c r="BL136" s="16">
        <f t="shared" si="32"/>
        <v>3494.8</v>
      </c>
      <c r="BM136" s="16">
        <f t="shared" si="33"/>
        <v>3494.8</v>
      </c>
      <c r="BN136" s="16">
        <f t="shared" si="34"/>
        <v>3494.8</v>
      </c>
      <c r="BO136" s="16">
        <f t="shared" si="35"/>
        <v>3494.8</v>
      </c>
      <c r="BP136" s="16">
        <f t="shared" si="36"/>
        <v>0</v>
      </c>
    </row>
    <row r="137" spans="1:68" ht="12" customHeight="1" x14ac:dyDescent="0.25">
      <c r="A137" s="5">
        <f t="shared" si="37"/>
        <v>133</v>
      </c>
      <c r="B137" s="6" t="s">
        <v>217</v>
      </c>
      <c r="C137" s="7">
        <f t="shared" si="15"/>
        <v>7614.56</v>
      </c>
      <c r="D137" s="8">
        <v>7614.56</v>
      </c>
      <c r="E137" s="8">
        <v>0</v>
      </c>
      <c r="F137" s="8">
        <v>1937.4</v>
      </c>
      <c r="G137" s="9">
        <v>2</v>
      </c>
      <c r="H137" s="9">
        <v>2</v>
      </c>
      <c r="I137" s="9">
        <v>400</v>
      </c>
      <c r="J137" s="9">
        <v>630</v>
      </c>
      <c r="K137" s="9" t="s">
        <v>83</v>
      </c>
      <c r="L137" s="10" t="s">
        <v>71</v>
      </c>
      <c r="M137" s="10">
        <v>0</v>
      </c>
      <c r="N137" s="10" t="s">
        <v>72</v>
      </c>
      <c r="O137" s="10" t="s">
        <v>72</v>
      </c>
      <c r="P137" s="5" t="s">
        <v>73</v>
      </c>
      <c r="Q137" s="11">
        <v>3</v>
      </c>
      <c r="R137" s="12">
        <v>41.34</v>
      </c>
      <c r="S137" s="10">
        <v>4.68</v>
      </c>
      <c r="T137" s="10">
        <v>7.92</v>
      </c>
      <c r="U137" s="10">
        <v>12.32</v>
      </c>
      <c r="V137" s="10">
        <v>6.34</v>
      </c>
      <c r="W137" s="10">
        <v>2.89</v>
      </c>
      <c r="X137" s="10">
        <v>1.66</v>
      </c>
      <c r="Y137" s="10">
        <v>5.29</v>
      </c>
      <c r="Z137" s="10">
        <v>0.24</v>
      </c>
      <c r="AA137" s="13">
        <v>7.0000000000000001E-3</v>
      </c>
      <c r="AB137" s="13">
        <v>7.0000000000000001E-3</v>
      </c>
      <c r="AC137" s="14">
        <f t="shared" si="27"/>
        <v>4.193E-4</v>
      </c>
      <c r="AD137" s="13">
        <f t="shared" si="28"/>
        <v>1.4E-2</v>
      </c>
      <c r="AE137" s="13">
        <v>3.23</v>
      </c>
      <c r="AF137" s="10">
        <v>4.29</v>
      </c>
      <c r="AG137" s="10">
        <v>3.17</v>
      </c>
      <c r="AH137" s="15">
        <v>5.9900000000000002E-2</v>
      </c>
      <c r="AI137" s="10">
        <f t="shared" si="26"/>
        <v>7.46</v>
      </c>
      <c r="AJ137" s="10">
        <v>0.02</v>
      </c>
      <c r="AK137" s="10">
        <v>10</v>
      </c>
      <c r="AL137" s="10">
        <v>0</v>
      </c>
      <c r="AM137" s="16">
        <v>40</v>
      </c>
      <c r="AN137" s="16">
        <v>40</v>
      </c>
      <c r="AO137" s="16">
        <v>2604.04</v>
      </c>
      <c r="AP137" s="10">
        <v>195.98199600000001</v>
      </c>
      <c r="AQ137" s="16">
        <v>42.3</v>
      </c>
      <c r="AR137" s="16">
        <v>2604.04</v>
      </c>
      <c r="AS137" s="10">
        <v>7.85</v>
      </c>
      <c r="AT137" s="13">
        <v>0</v>
      </c>
      <c r="AU137" s="10">
        <v>6.73</v>
      </c>
      <c r="AV137" s="17">
        <f t="shared" si="24"/>
        <v>57004.960861720174</v>
      </c>
      <c r="AW137" s="17">
        <v>23992.195509328903</v>
      </c>
      <c r="AX137" s="17">
        <v>21737.053048563313</v>
      </c>
      <c r="AY137" s="17">
        <v>11275.712303827955</v>
      </c>
      <c r="BA137" s="18"/>
      <c r="BC137" s="19"/>
      <c r="BD137" s="19"/>
      <c r="BE137" s="19"/>
      <c r="BF137" s="19"/>
      <c r="BG137" s="19"/>
      <c r="BI137" s="16">
        <f t="shared" si="29"/>
        <v>0</v>
      </c>
      <c r="BJ137" s="16">
        <f t="shared" si="30"/>
        <v>7614.56</v>
      </c>
      <c r="BK137" s="16">
        <f t="shared" si="31"/>
        <v>7614.56</v>
      </c>
      <c r="BL137" s="16">
        <f t="shared" si="32"/>
        <v>7614.56</v>
      </c>
      <c r="BM137" s="16">
        <f t="shared" si="33"/>
        <v>7614.56</v>
      </c>
      <c r="BN137" s="16">
        <f t="shared" si="34"/>
        <v>7614.56</v>
      </c>
      <c r="BO137" s="16">
        <f t="shared" si="35"/>
        <v>7614.56</v>
      </c>
      <c r="BP137" s="16">
        <f t="shared" si="36"/>
        <v>0</v>
      </c>
    </row>
    <row r="138" spans="1:68" ht="12" customHeight="1" x14ac:dyDescent="0.25">
      <c r="A138" s="5">
        <f t="shared" si="37"/>
        <v>134</v>
      </c>
      <c r="B138" s="6" t="s">
        <v>218</v>
      </c>
      <c r="C138" s="7">
        <f t="shared" si="15"/>
        <v>5017.28</v>
      </c>
      <c r="D138" s="8">
        <v>5017.28</v>
      </c>
      <c r="E138" s="8">
        <v>0</v>
      </c>
      <c r="F138" s="8">
        <v>860.8</v>
      </c>
      <c r="G138" s="9">
        <v>4</v>
      </c>
      <c r="H138" s="9">
        <v>0</v>
      </c>
      <c r="I138" s="9">
        <v>400</v>
      </c>
      <c r="J138" s="9">
        <v>0</v>
      </c>
      <c r="K138" s="9" t="s">
        <v>71</v>
      </c>
      <c r="L138" s="10" t="s">
        <v>71</v>
      </c>
      <c r="M138" s="10">
        <v>0</v>
      </c>
      <c r="N138" s="10" t="s">
        <v>72</v>
      </c>
      <c r="O138" s="10" t="s">
        <v>72</v>
      </c>
      <c r="P138" s="5" t="s">
        <v>73</v>
      </c>
      <c r="Q138" s="11">
        <v>1</v>
      </c>
      <c r="R138" s="12">
        <v>41.1</v>
      </c>
      <c r="S138" s="10">
        <v>4.68</v>
      </c>
      <c r="T138" s="10">
        <v>7.92</v>
      </c>
      <c r="U138" s="10">
        <v>12.32</v>
      </c>
      <c r="V138" s="10">
        <v>6.34</v>
      </c>
      <c r="W138" s="10">
        <v>2.89</v>
      </c>
      <c r="X138" s="10">
        <v>1.66</v>
      </c>
      <c r="Y138" s="10">
        <v>5.29</v>
      </c>
      <c r="Z138" s="10">
        <v>0</v>
      </c>
      <c r="AA138" s="13">
        <v>7.0000000000000001E-3</v>
      </c>
      <c r="AB138" s="13">
        <v>7.0000000000000001E-3</v>
      </c>
      <c r="AC138" s="14">
        <f t="shared" si="27"/>
        <v>4.193E-4</v>
      </c>
      <c r="AD138" s="13">
        <f t="shared" si="28"/>
        <v>1.4E-2</v>
      </c>
      <c r="AE138" s="13">
        <v>3.23</v>
      </c>
      <c r="AF138" s="10">
        <v>4.29</v>
      </c>
      <c r="AG138" s="10">
        <v>3.17</v>
      </c>
      <c r="AH138" s="15">
        <v>5.9900000000000002E-2</v>
      </c>
      <c r="AI138" s="10">
        <f t="shared" si="26"/>
        <v>7.46</v>
      </c>
      <c r="AJ138" s="10">
        <v>0.02</v>
      </c>
      <c r="AK138" s="13">
        <v>0</v>
      </c>
      <c r="AL138" s="10">
        <v>0</v>
      </c>
      <c r="AM138" s="16">
        <v>40</v>
      </c>
      <c r="AN138" s="16">
        <v>40</v>
      </c>
      <c r="AO138" s="16">
        <v>2604.04</v>
      </c>
      <c r="AP138" s="10">
        <v>195.98199600000001</v>
      </c>
      <c r="AQ138" s="16">
        <v>42.3</v>
      </c>
      <c r="AR138" s="16">
        <v>2604.04</v>
      </c>
      <c r="AS138" s="10">
        <v>0</v>
      </c>
      <c r="AT138" s="13">
        <v>0</v>
      </c>
      <c r="AU138" s="10">
        <v>5.05</v>
      </c>
      <c r="AV138" s="17">
        <f t="shared" si="24"/>
        <v>51148.373904886132</v>
      </c>
      <c r="AW138" s="17">
        <v>21527.287751475134</v>
      </c>
      <c r="AX138" s="17">
        <v>19503.827806174439</v>
      </c>
      <c r="AY138" s="17">
        <v>10117.258347236559</v>
      </c>
      <c r="BA138" s="18"/>
      <c r="BC138" s="19"/>
      <c r="BD138" s="19"/>
      <c r="BE138" s="19"/>
      <c r="BF138" s="19"/>
      <c r="BG138" s="19"/>
      <c r="BI138" s="16">
        <f t="shared" si="29"/>
        <v>5017.28</v>
      </c>
      <c r="BJ138" s="16">
        <f t="shared" si="30"/>
        <v>0</v>
      </c>
      <c r="BK138" s="16">
        <f t="shared" si="31"/>
        <v>5017.28</v>
      </c>
      <c r="BL138" s="16">
        <f t="shared" si="32"/>
        <v>5017.28</v>
      </c>
      <c r="BM138" s="16">
        <f t="shared" si="33"/>
        <v>5017.28</v>
      </c>
      <c r="BN138" s="16">
        <f t="shared" si="34"/>
        <v>5017.28</v>
      </c>
      <c r="BO138" s="16">
        <f t="shared" si="35"/>
        <v>0</v>
      </c>
      <c r="BP138" s="16">
        <f t="shared" si="36"/>
        <v>5017.28</v>
      </c>
    </row>
    <row r="139" spans="1:68" ht="12" customHeight="1" x14ac:dyDescent="0.25">
      <c r="A139" s="5">
        <f t="shared" si="37"/>
        <v>135</v>
      </c>
      <c r="B139" s="6" t="s">
        <v>219</v>
      </c>
      <c r="C139" s="7">
        <f t="shared" si="15"/>
        <v>9584.2799999999916</v>
      </c>
      <c r="D139" s="8">
        <v>9508.9799999999923</v>
      </c>
      <c r="E139" s="8">
        <v>75.3</v>
      </c>
      <c r="F139" s="8">
        <v>1379.8</v>
      </c>
      <c r="G139" s="9">
        <v>1</v>
      </c>
      <c r="H139" s="9">
        <v>7</v>
      </c>
      <c r="I139" s="9">
        <v>400</v>
      </c>
      <c r="J139" s="9">
        <v>630</v>
      </c>
      <c r="K139" s="9" t="s">
        <v>71</v>
      </c>
      <c r="L139" s="10" t="s">
        <v>71</v>
      </c>
      <c r="M139" s="10">
        <v>0</v>
      </c>
      <c r="N139" s="10" t="s">
        <v>72</v>
      </c>
      <c r="O139" s="10" t="s">
        <v>72</v>
      </c>
      <c r="P139" s="5" t="s">
        <v>73</v>
      </c>
      <c r="Q139" s="11">
        <v>3</v>
      </c>
      <c r="R139" s="12">
        <v>41.34</v>
      </c>
      <c r="S139" s="10">
        <v>4.68</v>
      </c>
      <c r="T139" s="10">
        <v>7.92</v>
      </c>
      <c r="U139" s="10">
        <v>12.32</v>
      </c>
      <c r="V139" s="10">
        <v>6.34</v>
      </c>
      <c r="W139" s="10">
        <v>2.89</v>
      </c>
      <c r="X139" s="10">
        <v>1.66</v>
      </c>
      <c r="Y139" s="10">
        <v>5.29</v>
      </c>
      <c r="Z139" s="10">
        <v>0.24</v>
      </c>
      <c r="AA139" s="13">
        <v>7.0000000000000001E-3</v>
      </c>
      <c r="AB139" s="13">
        <v>7.0000000000000001E-3</v>
      </c>
      <c r="AC139" s="14">
        <f t="shared" si="27"/>
        <v>4.193E-4</v>
      </c>
      <c r="AD139" s="13">
        <f t="shared" si="28"/>
        <v>1.4E-2</v>
      </c>
      <c r="AE139" s="13">
        <v>3.23</v>
      </c>
      <c r="AF139" s="10">
        <v>4.29</v>
      </c>
      <c r="AG139" s="10">
        <v>3.17</v>
      </c>
      <c r="AH139" s="15">
        <v>5.9900000000000002E-2</v>
      </c>
      <c r="AI139" s="10">
        <f t="shared" si="26"/>
        <v>7.46</v>
      </c>
      <c r="AJ139" s="10">
        <v>0.02</v>
      </c>
      <c r="AK139" s="10">
        <v>10</v>
      </c>
      <c r="AL139" s="10">
        <v>0</v>
      </c>
      <c r="AM139" s="16">
        <v>40</v>
      </c>
      <c r="AN139" s="16">
        <v>40</v>
      </c>
      <c r="AO139" s="16">
        <v>2604.04</v>
      </c>
      <c r="AP139" s="10">
        <v>195.98199600000001</v>
      </c>
      <c r="AQ139" s="16">
        <v>42.3</v>
      </c>
      <c r="AR139" s="16">
        <v>2604.04</v>
      </c>
      <c r="AS139" s="10">
        <v>7.85</v>
      </c>
      <c r="AT139" s="13">
        <v>0</v>
      </c>
      <c r="AU139" s="10">
        <v>6.73</v>
      </c>
      <c r="AV139" s="17">
        <f t="shared" si="24"/>
        <v>97524.9321282405</v>
      </c>
      <c r="AW139" s="17">
        <v>41046.205196985087</v>
      </c>
      <c r="AX139" s="17">
        <v>37188.085108234234</v>
      </c>
      <c r="AY139" s="17">
        <v>19290.641823021171</v>
      </c>
      <c r="BA139" s="18"/>
      <c r="BC139" s="19"/>
      <c r="BD139" s="19"/>
      <c r="BE139" s="19"/>
      <c r="BF139" s="19"/>
      <c r="BG139" s="19"/>
      <c r="BI139" s="16">
        <f t="shared" si="29"/>
        <v>0</v>
      </c>
      <c r="BJ139" s="16">
        <f t="shared" si="30"/>
        <v>9584.2799999999916</v>
      </c>
      <c r="BK139" s="16">
        <f t="shared" si="31"/>
        <v>9584.2799999999916</v>
      </c>
      <c r="BL139" s="16">
        <f t="shared" si="32"/>
        <v>9584.2799999999916</v>
      </c>
      <c r="BM139" s="16">
        <f t="shared" si="33"/>
        <v>9584.2799999999916</v>
      </c>
      <c r="BN139" s="16">
        <f t="shared" si="34"/>
        <v>9584.2799999999916</v>
      </c>
      <c r="BO139" s="16">
        <f t="shared" si="35"/>
        <v>9584.2799999999916</v>
      </c>
      <c r="BP139" s="16">
        <f t="shared" si="36"/>
        <v>0</v>
      </c>
    </row>
    <row r="140" spans="1:68" ht="12" customHeight="1" x14ac:dyDescent="0.25">
      <c r="A140" s="5">
        <f t="shared" si="37"/>
        <v>136</v>
      </c>
      <c r="B140" s="6" t="s">
        <v>220</v>
      </c>
      <c r="C140" s="7">
        <f t="shared" ref="C140:C204" si="38">SUM(D140:E140)</f>
        <v>3036.2</v>
      </c>
      <c r="D140" s="8">
        <v>3036.2</v>
      </c>
      <c r="E140" s="8">
        <v>0</v>
      </c>
      <c r="F140" s="8">
        <v>498</v>
      </c>
      <c r="G140" s="9">
        <v>1</v>
      </c>
      <c r="H140" s="9">
        <v>0</v>
      </c>
      <c r="I140" s="9">
        <v>400</v>
      </c>
      <c r="J140" s="9">
        <v>0</v>
      </c>
      <c r="K140" s="9" t="s">
        <v>83</v>
      </c>
      <c r="L140" s="10" t="s">
        <v>71</v>
      </c>
      <c r="M140" s="10">
        <v>0</v>
      </c>
      <c r="N140" s="10" t="s">
        <v>72</v>
      </c>
      <c r="O140" s="10" t="s">
        <v>72</v>
      </c>
      <c r="P140" s="5" t="s">
        <v>73</v>
      </c>
      <c r="Q140" s="11">
        <v>3</v>
      </c>
      <c r="R140" s="12">
        <v>41.34</v>
      </c>
      <c r="S140" s="10">
        <v>4.68</v>
      </c>
      <c r="T140" s="10">
        <v>7.92</v>
      </c>
      <c r="U140" s="10">
        <v>12.32</v>
      </c>
      <c r="V140" s="10">
        <v>6.34</v>
      </c>
      <c r="W140" s="10">
        <v>2.89</v>
      </c>
      <c r="X140" s="10">
        <v>1.66</v>
      </c>
      <c r="Y140" s="10">
        <v>5.29</v>
      </c>
      <c r="Z140" s="10">
        <v>0.24</v>
      </c>
      <c r="AA140" s="13">
        <v>1.2E-2</v>
      </c>
      <c r="AB140" s="13">
        <v>1.2E-2</v>
      </c>
      <c r="AC140" s="14">
        <f t="shared" si="27"/>
        <v>7.1880000000000002E-4</v>
      </c>
      <c r="AD140" s="13">
        <f t="shared" si="28"/>
        <v>2.4E-2</v>
      </c>
      <c r="AE140" s="13">
        <v>3.23</v>
      </c>
      <c r="AF140" s="10">
        <v>4.29</v>
      </c>
      <c r="AG140" s="10">
        <v>3.17</v>
      </c>
      <c r="AH140" s="15">
        <v>5.9900000000000002E-2</v>
      </c>
      <c r="AI140" s="10">
        <f t="shared" si="26"/>
        <v>7.46</v>
      </c>
      <c r="AJ140" s="10">
        <v>0.02</v>
      </c>
      <c r="AK140" s="10">
        <v>10</v>
      </c>
      <c r="AL140" s="10">
        <v>0</v>
      </c>
      <c r="AM140" s="16">
        <v>40</v>
      </c>
      <c r="AN140" s="16">
        <v>40</v>
      </c>
      <c r="AO140" s="16">
        <v>2604.04</v>
      </c>
      <c r="AP140" s="10">
        <v>195.98199600000001</v>
      </c>
      <c r="AQ140" s="16">
        <v>42.3</v>
      </c>
      <c r="AR140" s="16">
        <v>2604.04</v>
      </c>
      <c r="AS140" s="10">
        <v>7.85</v>
      </c>
      <c r="AT140" s="13">
        <v>0</v>
      </c>
      <c r="AU140" s="10">
        <v>6.73</v>
      </c>
      <c r="AV140" s="17">
        <f t="shared" si="24"/>
        <v>30915.691691246313</v>
      </c>
      <c r="AW140" s="17">
        <v>13011.765654216344</v>
      </c>
      <c r="AX140" s="17">
        <v>11788.732455057425</v>
      </c>
      <c r="AY140" s="17">
        <v>6115.1935819725422</v>
      </c>
      <c r="BA140" s="18"/>
      <c r="BC140" s="19"/>
      <c r="BD140" s="19"/>
      <c r="BE140" s="19"/>
      <c r="BF140" s="19"/>
      <c r="BG140" s="19"/>
      <c r="BI140" s="16">
        <f t="shared" si="29"/>
        <v>0</v>
      </c>
      <c r="BJ140" s="16">
        <f t="shared" si="30"/>
        <v>3036.2</v>
      </c>
      <c r="BK140" s="16">
        <f t="shared" si="31"/>
        <v>3036.2</v>
      </c>
      <c r="BL140" s="16">
        <f t="shared" si="32"/>
        <v>3036.2</v>
      </c>
      <c r="BM140" s="16">
        <f t="shared" si="33"/>
        <v>3036.2</v>
      </c>
      <c r="BN140" s="16">
        <f t="shared" si="34"/>
        <v>3036.2</v>
      </c>
      <c r="BO140" s="16">
        <f t="shared" si="35"/>
        <v>3036.2</v>
      </c>
      <c r="BP140" s="16">
        <f t="shared" si="36"/>
        <v>0</v>
      </c>
    </row>
    <row r="141" spans="1:68" ht="12" customHeight="1" x14ac:dyDescent="0.25">
      <c r="A141" s="5">
        <f t="shared" si="37"/>
        <v>137</v>
      </c>
      <c r="B141" s="6" t="s">
        <v>221</v>
      </c>
      <c r="C141" s="7">
        <f t="shared" si="38"/>
        <v>3037.3</v>
      </c>
      <c r="D141" s="8">
        <v>3037.3</v>
      </c>
      <c r="E141" s="8">
        <v>0</v>
      </c>
      <c r="F141" s="8">
        <v>489.8</v>
      </c>
      <c r="G141" s="9">
        <v>1</v>
      </c>
      <c r="H141" s="9">
        <v>0</v>
      </c>
      <c r="I141" s="9">
        <v>400</v>
      </c>
      <c r="J141" s="9">
        <v>0</v>
      </c>
      <c r="K141" s="9" t="s">
        <v>83</v>
      </c>
      <c r="L141" s="10" t="s">
        <v>71</v>
      </c>
      <c r="M141" s="10">
        <v>0</v>
      </c>
      <c r="N141" s="10" t="s">
        <v>72</v>
      </c>
      <c r="O141" s="10" t="s">
        <v>72</v>
      </c>
      <c r="P141" s="5" t="s">
        <v>73</v>
      </c>
      <c r="Q141" s="11">
        <v>3</v>
      </c>
      <c r="R141" s="12">
        <v>41.34</v>
      </c>
      <c r="S141" s="10">
        <v>4.68</v>
      </c>
      <c r="T141" s="10">
        <v>7.92</v>
      </c>
      <c r="U141" s="10">
        <v>12.32</v>
      </c>
      <c r="V141" s="10">
        <v>6.34</v>
      </c>
      <c r="W141" s="10">
        <v>2.89</v>
      </c>
      <c r="X141" s="10">
        <v>1.66</v>
      </c>
      <c r="Y141" s="10">
        <v>5.29</v>
      </c>
      <c r="Z141" s="10">
        <v>0.24</v>
      </c>
      <c r="AA141" s="13">
        <v>1.2E-2</v>
      </c>
      <c r="AB141" s="13">
        <v>1.2E-2</v>
      </c>
      <c r="AC141" s="14">
        <f t="shared" si="27"/>
        <v>7.1880000000000002E-4</v>
      </c>
      <c r="AD141" s="13">
        <f t="shared" si="28"/>
        <v>2.4E-2</v>
      </c>
      <c r="AE141" s="13">
        <v>3.23</v>
      </c>
      <c r="AF141" s="10">
        <v>4.29</v>
      </c>
      <c r="AG141" s="10">
        <v>3.17</v>
      </c>
      <c r="AH141" s="15">
        <v>5.9900000000000002E-2</v>
      </c>
      <c r="AI141" s="10">
        <f t="shared" si="26"/>
        <v>7.46</v>
      </c>
      <c r="AJ141" s="10">
        <v>0.02</v>
      </c>
      <c r="AK141" s="10">
        <v>10</v>
      </c>
      <c r="AL141" s="10">
        <v>0</v>
      </c>
      <c r="AM141" s="16">
        <v>40</v>
      </c>
      <c r="AN141" s="16">
        <v>40</v>
      </c>
      <c r="AO141" s="16">
        <v>2604.04</v>
      </c>
      <c r="AP141" s="10">
        <v>195.98199600000001</v>
      </c>
      <c r="AQ141" s="16">
        <v>42.3</v>
      </c>
      <c r="AR141" s="16">
        <v>2604.04</v>
      </c>
      <c r="AS141" s="10">
        <v>7.85</v>
      </c>
      <c r="AT141" s="13">
        <v>0</v>
      </c>
      <c r="AU141" s="10">
        <v>6.73</v>
      </c>
      <c r="AV141" s="17">
        <f t="shared" ref="AV141:AV205" si="39">SUM(AW141:AY141)</f>
        <v>30970.670943889229</v>
      </c>
      <c r="AW141" s="17">
        <v>13034.910457511582</v>
      </c>
      <c r="AX141" s="17">
        <v>11809.697950295065</v>
      </c>
      <c r="AY141" s="17">
        <v>6126.0625360825798</v>
      </c>
      <c r="BA141" s="18"/>
      <c r="BC141" s="19"/>
      <c r="BD141" s="19"/>
      <c r="BE141" s="19"/>
      <c r="BF141" s="19"/>
      <c r="BG141" s="19"/>
      <c r="BI141" s="16">
        <f t="shared" si="29"/>
        <v>0</v>
      </c>
      <c r="BJ141" s="16">
        <f t="shared" si="30"/>
        <v>3037.3</v>
      </c>
      <c r="BK141" s="16">
        <f t="shared" si="31"/>
        <v>3037.3</v>
      </c>
      <c r="BL141" s="16">
        <f t="shared" si="32"/>
        <v>3037.3</v>
      </c>
      <c r="BM141" s="16">
        <f t="shared" si="33"/>
        <v>3037.3</v>
      </c>
      <c r="BN141" s="16">
        <f t="shared" si="34"/>
        <v>3037.3</v>
      </c>
      <c r="BO141" s="16">
        <f t="shared" si="35"/>
        <v>3037.3</v>
      </c>
      <c r="BP141" s="16">
        <f t="shared" si="36"/>
        <v>0</v>
      </c>
    </row>
    <row r="142" spans="1:68" ht="12" customHeight="1" x14ac:dyDescent="0.25">
      <c r="A142" s="5">
        <f t="shared" si="37"/>
        <v>138</v>
      </c>
      <c r="B142" s="6" t="s">
        <v>222</v>
      </c>
      <c r="C142" s="7">
        <f t="shared" si="38"/>
        <v>2735.7</v>
      </c>
      <c r="D142" s="8">
        <v>2735.7</v>
      </c>
      <c r="E142" s="8">
        <v>0</v>
      </c>
      <c r="F142" s="8">
        <v>362.6</v>
      </c>
      <c r="G142" s="9">
        <v>0</v>
      </c>
      <c r="H142" s="9">
        <v>0</v>
      </c>
      <c r="I142" s="9">
        <v>0</v>
      </c>
      <c r="J142" s="9">
        <v>0</v>
      </c>
      <c r="K142" s="9" t="s">
        <v>83</v>
      </c>
      <c r="L142" s="10" t="s">
        <v>71</v>
      </c>
      <c r="M142" s="10">
        <v>0</v>
      </c>
      <c r="N142" s="10" t="s">
        <v>72</v>
      </c>
      <c r="O142" s="10" t="s">
        <v>72</v>
      </c>
      <c r="P142" s="5" t="s">
        <v>73</v>
      </c>
      <c r="Q142" s="11">
        <v>7</v>
      </c>
      <c r="R142" s="12">
        <v>28.44</v>
      </c>
      <c r="S142" s="10">
        <v>4.68</v>
      </c>
      <c r="T142" s="10">
        <v>6.05</v>
      </c>
      <c r="U142" s="10">
        <v>8.24</v>
      </c>
      <c r="V142" s="10">
        <v>6.34</v>
      </c>
      <c r="W142" s="10">
        <v>2.89</v>
      </c>
      <c r="X142" s="10">
        <v>0</v>
      </c>
      <c r="Y142" s="10">
        <v>0</v>
      </c>
      <c r="Z142" s="10">
        <v>0.24</v>
      </c>
      <c r="AA142" s="13">
        <v>1.2999999999999999E-2</v>
      </c>
      <c r="AB142" s="13">
        <v>1.2999999999999999E-2</v>
      </c>
      <c r="AC142" s="14">
        <f t="shared" si="27"/>
        <v>7.7870000000000001E-4</v>
      </c>
      <c r="AD142" s="13">
        <f t="shared" si="28"/>
        <v>2.5999999999999999E-2</v>
      </c>
      <c r="AE142" s="13">
        <v>0.68300000000000005</v>
      </c>
      <c r="AF142" s="10">
        <v>4.29</v>
      </c>
      <c r="AG142" s="10">
        <v>3.17</v>
      </c>
      <c r="AH142" s="15">
        <v>5.9900000000000002E-2</v>
      </c>
      <c r="AI142" s="10">
        <f t="shared" ref="AI142:AI206" si="40">SUM(AF142:AG142)</f>
        <v>7.46</v>
      </c>
      <c r="AJ142" s="10">
        <v>0.02</v>
      </c>
      <c r="AK142" s="10">
        <v>10</v>
      </c>
      <c r="AL142" s="10">
        <v>0</v>
      </c>
      <c r="AM142" s="16">
        <v>40</v>
      </c>
      <c r="AN142" s="16">
        <v>40</v>
      </c>
      <c r="AO142" s="16">
        <v>2604.04</v>
      </c>
      <c r="AP142" s="10">
        <v>195.98199600000001</v>
      </c>
      <c r="AQ142" s="16">
        <v>42.3</v>
      </c>
      <c r="AR142" s="16">
        <v>2604.04</v>
      </c>
      <c r="AS142" s="10">
        <v>7.85</v>
      </c>
      <c r="AT142" s="13">
        <v>0</v>
      </c>
      <c r="AU142" s="10">
        <v>6.73</v>
      </c>
      <c r="AV142" s="17">
        <f t="shared" si="39"/>
        <v>22370.431694163599</v>
      </c>
      <c r="AW142" s="17">
        <v>11736.81526816632</v>
      </c>
      <c r="AX142" s="17">
        <v>10633.616425997281</v>
      </c>
      <c r="AY142" s="17">
        <v>0</v>
      </c>
      <c r="BA142" s="18"/>
      <c r="BC142" s="19"/>
      <c r="BD142" s="19"/>
      <c r="BE142" s="19"/>
      <c r="BF142" s="19"/>
      <c r="BG142" s="19"/>
      <c r="BI142" s="16">
        <f t="shared" si="29"/>
        <v>0</v>
      </c>
      <c r="BJ142" s="16">
        <f t="shared" si="30"/>
        <v>0</v>
      </c>
      <c r="BK142" s="16">
        <f t="shared" si="31"/>
        <v>2735.7</v>
      </c>
      <c r="BL142" s="16">
        <f t="shared" si="32"/>
        <v>2735.7</v>
      </c>
      <c r="BM142" s="16">
        <f t="shared" si="33"/>
        <v>2735.7</v>
      </c>
      <c r="BN142" s="16">
        <f t="shared" si="34"/>
        <v>2735.7</v>
      </c>
      <c r="BO142" s="16">
        <f t="shared" si="35"/>
        <v>2735.7</v>
      </c>
      <c r="BP142" s="16">
        <f t="shared" si="36"/>
        <v>0</v>
      </c>
    </row>
    <row r="143" spans="1:68" ht="12" customHeight="1" x14ac:dyDescent="0.25">
      <c r="A143" s="5">
        <f t="shared" si="37"/>
        <v>139</v>
      </c>
      <c r="B143" s="6" t="s">
        <v>223</v>
      </c>
      <c r="C143" s="7">
        <f t="shared" si="38"/>
        <v>3002.9</v>
      </c>
      <c r="D143" s="8">
        <v>3002.9</v>
      </c>
      <c r="E143" s="8">
        <v>0</v>
      </c>
      <c r="F143" s="8">
        <v>516.70000000000005</v>
      </c>
      <c r="G143" s="9">
        <v>1</v>
      </c>
      <c r="H143" s="9">
        <v>0</v>
      </c>
      <c r="I143" s="9">
        <v>400</v>
      </c>
      <c r="J143" s="9">
        <v>0</v>
      </c>
      <c r="K143" s="9" t="s">
        <v>83</v>
      </c>
      <c r="L143" s="10" t="s">
        <v>71</v>
      </c>
      <c r="M143" s="10">
        <v>0</v>
      </c>
      <c r="N143" s="10" t="s">
        <v>72</v>
      </c>
      <c r="O143" s="10" t="s">
        <v>72</v>
      </c>
      <c r="P143" s="5" t="s">
        <v>73</v>
      </c>
      <c r="Q143" s="11">
        <v>3</v>
      </c>
      <c r="R143" s="12">
        <v>41.34</v>
      </c>
      <c r="S143" s="10">
        <v>4.68</v>
      </c>
      <c r="T143" s="10">
        <v>7.92</v>
      </c>
      <c r="U143" s="10">
        <v>12.32</v>
      </c>
      <c r="V143" s="10">
        <v>6.34</v>
      </c>
      <c r="W143" s="10">
        <v>2.89</v>
      </c>
      <c r="X143" s="10">
        <v>1.66</v>
      </c>
      <c r="Y143" s="10">
        <v>5.29</v>
      </c>
      <c r="Z143" s="10">
        <v>0.24</v>
      </c>
      <c r="AA143" s="13">
        <v>1.2E-2</v>
      </c>
      <c r="AB143" s="13">
        <v>1.2E-2</v>
      </c>
      <c r="AC143" s="14">
        <f t="shared" ref="AC143:AC208" si="41">AB143*0.0599</f>
        <v>7.1880000000000002E-4</v>
      </c>
      <c r="AD143" s="13">
        <f t="shared" ref="AD143:AD208" si="42">SUM(AA143:AB143)</f>
        <v>2.4E-2</v>
      </c>
      <c r="AE143" s="13">
        <v>3.23</v>
      </c>
      <c r="AF143" s="10">
        <v>4.29</v>
      </c>
      <c r="AG143" s="10">
        <v>3.17</v>
      </c>
      <c r="AH143" s="15">
        <v>5.9900000000000002E-2</v>
      </c>
      <c r="AI143" s="10">
        <f t="shared" si="40"/>
        <v>7.46</v>
      </c>
      <c r="AJ143" s="10">
        <v>0.02</v>
      </c>
      <c r="AK143" s="10">
        <v>10</v>
      </c>
      <c r="AL143" s="10">
        <v>0</v>
      </c>
      <c r="AM143" s="16">
        <v>40</v>
      </c>
      <c r="AN143" s="16">
        <v>40</v>
      </c>
      <c r="AO143" s="16">
        <v>2604.04</v>
      </c>
      <c r="AP143" s="10">
        <v>195.98199600000001</v>
      </c>
      <c r="AQ143" s="16">
        <v>42.3</v>
      </c>
      <c r="AR143" s="16">
        <v>2604.04</v>
      </c>
      <c r="AS143" s="10">
        <v>7.85</v>
      </c>
      <c r="AT143" s="13">
        <v>0</v>
      </c>
      <c r="AU143" s="10">
        <v>6.73</v>
      </c>
      <c r="AV143" s="17">
        <f t="shared" si="39"/>
        <v>30570.395501917963</v>
      </c>
      <c r="AW143" s="17">
        <v>12866.441668805965</v>
      </c>
      <c r="AX143" s="17">
        <v>11657.063627729456</v>
      </c>
      <c r="AY143" s="17">
        <v>6046.8902053825441</v>
      </c>
      <c r="BA143" s="18"/>
      <c r="BC143" s="19"/>
      <c r="BD143" s="19"/>
      <c r="BE143" s="19"/>
      <c r="BF143" s="19"/>
      <c r="BG143" s="19"/>
      <c r="BI143" s="16">
        <f t="shared" si="29"/>
        <v>0</v>
      </c>
      <c r="BJ143" s="16">
        <f t="shared" si="30"/>
        <v>3002.9</v>
      </c>
      <c r="BK143" s="16">
        <f t="shared" si="31"/>
        <v>3002.9</v>
      </c>
      <c r="BL143" s="16">
        <f t="shared" si="32"/>
        <v>3002.9</v>
      </c>
      <c r="BM143" s="16">
        <f t="shared" si="33"/>
        <v>3002.9</v>
      </c>
      <c r="BN143" s="16">
        <f t="shared" si="34"/>
        <v>3002.9</v>
      </c>
      <c r="BO143" s="16">
        <f t="shared" si="35"/>
        <v>3002.9</v>
      </c>
      <c r="BP143" s="16">
        <f t="shared" si="36"/>
        <v>0</v>
      </c>
    </row>
    <row r="144" spans="1:68" ht="12" customHeight="1" x14ac:dyDescent="0.25">
      <c r="A144" s="5">
        <f t="shared" si="37"/>
        <v>140</v>
      </c>
      <c r="B144" s="6" t="s">
        <v>224</v>
      </c>
      <c r="C144" s="7">
        <f t="shared" si="38"/>
        <v>6958.9</v>
      </c>
      <c r="D144" s="8">
        <v>6930.2</v>
      </c>
      <c r="E144" s="8">
        <v>28.7</v>
      </c>
      <c r="F144" s="8">
        <v>1296.2</v>
      </c>
      <c r="G144" s="9">
        <v>4</v>
      </c>
      <c r="H144" s="9">
        <v>0</v>
      </c>
      <c r="I144" s="9">
        <v>400</v>
      </c>
      <c r="J144" s="9">
        <v>0</v>
      </c>
      <c r="K144" s="9" t="s">
        <v>83</v>
      </c>
      <c r="L144" s="10" t="s">
        <v>71</v>
      </c>
      <c r="M144" s="10">
        <v>0</v>
      </c>
      <c r="N144" s="10" t="s">
        <v>72</v>
      </c>
      <c r="O144" s="10" t="s">
        <v>72</v>
      </c>
      <c r="P144" s="5" t="s">
        <v>73</v>
      </c>
      <c r="Q144" s="11">
        <v>3</v>
      </c>
      <c r="R144" s="12">
        <v>41.34</v>
      </c>
      <c r="S144" s="10">
        <v>4.68</v>
      </c>
      <c r="T144" s="10">
        <v>7.92</v>
      </c>
      <c r="U144" s="10">
        <v>12.32</v>
      </c>
      <c r="V144" s="10">
        <v>6.34</v>
      </c>
      <c r="W144" s="10">
        <v>2.89</v>
      </c>
      <c r="X144" s="10">
        <v>1.66</v>
      </c>
      <c r="Y144" s="10">
        <v>5.29</v>
      </c>
      <c r="Z144" s="10">
        <v>0.24</v>
      </c>
      <c r="AA144" s="13">
        <v>1.2E-2</v>
      </c>
      <c r="AB144" s="13">
        <v>1.2E-2</v>
      </c>
      <c r="AC144" s="14">
        <f t="shared" si="41"/>
        <v>7.1880000000000002E-4</v>
      </c>
      <c r="AD144" s="13">
        <f t="shared" si="42"/>
        <v>2.4E-2</v>
      </c>
      <c r="AE144" s="13">
        <v>3.23</v>
      </c>
      <c r="AF144" s="10">
        <v>4.29</v>
      </c>
      <c r="AG144" s="10">
        <v>3.17</v>
      </c>
      <c r="AH144" s="15">
        <v>5.9900000000000002E-2</v>
      </c>
      <c r="AI144" s="10">
        <f t="shared" si="40"/>
        <v>7.46</v>
      </c>
      <c r="AJ144" s="10">
        <v>0.02</v>
      </c>
      <c r="AK144" s="10">
        <v>10</v>
      </c>
      <c r="AL144" s="10">
        <v>0</v>
      </c>
      <c r="AM144" s="16">
        <v>40</v>
      </c>
      <c r="AN144" s="16">
        <v>40</v>
      </c>
      <c r="AO144" s="16">
        <v>2604.04</v>
      </c>
      <c r="AP144" s="10">
        <v>195.98199600000001</v>
      </c>
      <c r="AQ144" s="16">
        <v>42.3</v>
      </c>
      <c r="AR144" s="16">
        <v>2604.04</v>
      </c>
      <c r="AS144" s="10">
        <v>7.85</v>
      </c>
      <c r="AT144" s="13">
        <v>0</v>
      </c>
      <c r="AU144" s="10">
        <v>6.73</v>
      </c>
      <c r="AV144" s="17">
        <f t="shared" si="39"/>
        <v>70888.491118242164</v>
      </c>
      <c r="AW144" s="17">
        <v>29835.485928393813</v>
      </c>
      <c r="AX144" s="17">
        <v>27031.102664757938</v>
      </c>
      <c r="AY144" s="17">
        <v>14021.902525090409</v>
      </c>
      <c r="BA144" s="18"/>
      <c r="BC144" s="19"/>
      <c r="BD144" s="19"/>
      <c r="BE144" s="19"/>
      <c r="BF144" s="19"/>
      <c r="BG144" s="19"/>
      <c r="BI144" s="16">
        <f t="shared" si="29"/>
        <v>0</v>
      </c>
      <c r="BJ144" s="16">
        <f t="shared" si="30"/>
        <v>6958.9</v>
      </c>
      <c r="BK144" s="16">
        <f t="shared" si="31"/>
        <v>6958.9</v>
      </c>
      <c r="BL144" s="16">
        <f t="shared" si="32"/>
        <v>6958.9</v>
      </c>
      <c r="BM144" s="16">
        <f t="shared" si="33"/>
        <v>6958.9</v>
      </c>
      <c r="BN144" s="16">
        <f t="shared" si="34"/>
        <v>6958.9</v>
      </c>
      <c r="BO144" s="16">
        <f t="shared" si="35"/>
        <v>6958.9</v>
      </c>
      <c r="BP144" s="16">
        <f t="shared" si="36"/>
        <v>0</v>
      </c>
    </row>
    <row r="145" spans="1:68" ht="12" customHeight="1" x14ac:dyDescent="0.25">
      <c r="A145" s="5">
        <f t="shared" si="37"/>
        <v>141</v>
      </c>
      <c r="B145" s="6" t="s">
        <v>225</v>
      </c>
      <c r="C145" s="7">
        <f t="shared" si="38"/>
        <v>3314.2</v>
      </c>
      <c r="D145" s="8">
        <v>3314.2</v>
      </c>
      <c r="E145" s="8">
        <v>0</v>
      </c>
      <c r="F145" s="8">
        <v>845.1</v>
      </c>
      <c r="G145" s="9">
        <v>1</v>
      </c>
      <c r="H145" s="9">
        <v>1</v>
      </c>
      <c r="I145" s="9">
        <v>400</v>
      </c>
      <c r="J145" s="9">
        <v>630</v>
      </c>
      <c r="K145" s="9" t="s">
        <v>83</v>
      </c>
      <c r="L145" s="10" t="s">
        <v>71</v>
      </c>
      <c r="M145" s="10">
        <v>0</v>
      </c>
      <c r="N145" s="10" t="s">
        <v>72</v>
      </c>
      <c r="O145" s="10" t="s">
        <v>72</v>
      </c>
      <c r="P145" s="5" t="s">
        <v>73</v>
      </c>
      <c r="Q145" s="11">
        <v>3</v>
      </c>
      <c r="R145" s="12">
        <v>41.34</v>
      </c>
      <c r="S145" s="10">
        <v>4.68</v>
      </c>
      <c r="T145" s="10">
        <v>7.92</v>
      </c>
      <c r="U145" s="10">
        <v>12.32</v>
      </c>
      <c r="V145" s="10">
        <v>6.34</v>
      </c>
      <c r="W145" s="10">
        <v>2.89</v>
      </c>
      <c r="X145" s="10">
        <v>1.66</v>
      </c>
      <c r="Y145" s="10">
        <v>5.29</v>
      </c>
      <c r="Z145" s="10">
        <v>0.24</v>
      </c>
      <c r="AA145" s="13">
        <v>7.0000000000000001E-3</v>
      </c>
      <c r="AB145" s="13">
        <v>7.0000000000000001E-3</v>
      </c>
      <c r="AC145" s="14">
        <f t="shared" si="41"/>
        <v>4.193E-4</v>
      </c>
      <c r="AD145" s="13">
        <f t="shared" si="42"/>
        <v>1.4E-2</v>
      </c>
      <c r="AE145" s="13">
        <v>3.23</v>
      </c>
      <c r="AF145" s="10">
        <v>4.29</v>
      </c>
      <c r="AG145" s="10">
        <v>3.17</v>
      </c>
      <c r="AH145" s="15">
        <v>5.9900000000000002E-2</v>
      </c>
      <c r="AI145" s="10">
        <f t="shared" si="40"/>
        <v>7.46</v>
      </c>
      <c r="AJ145" s="10">
        <v>0.02</v>
      </c>
      <c r="AK145" s="10">
        <v>10</v>
      </c>
      <c r="AL145" s="10">
        <v>0</v>
      </c>
      <c r="AM145" s="16">
        <v>40</v>
      </c>
      <c r="AN145" s="16">
        <v>40</v>
      </c>
      <c r="AO145" s="16">
        <v>2604.04</v>
      </c>
      <c r="AP145" s="10">
        <v>195.98199600000001</v>
      </c>
      <c r="AQ145" s="16">
        <v>42.3</v>
      </c>
      <c r="AR145" s="16">
        <v>2604.04</v>
      </c>
      <c r="AS145" s="10">
        <v>7.85</v>
      </c>
      <c r="AT145" s="13">
        <v>0</v>
      </c>
      <c r="AU145" s="10">
        <v>6.73</v>
      </c>
      <c r="AV145" s="17">
        <f t="shared" si="39"/>
        <v>33814.516235074363</v>
      </c>
      <c r="AW145" s="17">
        <v>14231.819546157281</v>
      </c>
      <c r="AX145" s="17">
        <v>12894.110605284059</v>
      </c>
      <c r="AY145" s="17">
        <v>6688.5860836330276</v>
      </c>
      <c r="BA145" s="18"/>
      <c r="BC145" s="19"/>
      <c r="BD145" s="19"/>
      <c r="BE145" s="19"/>
      <c r="BF145" s="19"/>
      <c r="BG145" s="19"/>
      <c r="BI145" s="16">
        <f t="shared" si="29"/>
        <v>0</v>
      </c>
      <c r="BJ145" s="16">
        <f t="shared" si="30"/>
        <v>3314.2</v>
      </c>
      <c r="BK145" s="16">
        <f t="shared" si="31"/>
        <v>3314.2</v>
      </c>
      <c r="BL145" s="16">
        <f t="shared" si="32"/>
        <v>3314.2</v>
      </c>
      <c r="BM145" s="16">
        <f t="shared" si="33"/>
        <v>3314.2</v>
      </c>
      <c r="BN145" s="16">
        <f t="shared" si="34"/>
        <v>3314.2</v>
      </c>
      <c r="BO145" s="16">
        <f t="shared" si="35"/>
        <v>3314.2</v>
      </c>
      <c r="BP145" s="16">
        <f t="shared" si="36"/>
        <v>0</v>
      </c>
    </row>
    <row r="146" spans="1:68" ht="12" customHeight="1" x14ac:dyDescent="0.25">
      <c r="A146" s="5">
        <f t="shared" si="37"/>
        <v>142</v>
      </c>
      <c r="B146" s="6" t="s">
        <v>226</v>
      </c>
      <c r="C146" s="7">
        <f t="shared" si="38"/>
        <v>7068.4</v>
      </c>
      <c r="D146" s="8">
        <v>7068.4</v>
      </c>
      <c r="E146" s="8">
        <v>0</v>
      </c>
      <c r="F146" s="8">
        <v>1732.7</v>
      </c>
      <c r="G146" s="9">
        <v>4</v>
      </c>
      <c r="H146" s="9">
        <v>0</v>
      </c>
      <c r="I146" s="9">
        <v>400</v>
      </c>
      <c r="J146" s="9">
        <v>0</v>
      </c>
      <c r="K146" s="9" t="s">
        <v>83</v>
      </c>
      <c r="L146" s="10" t="s">
        <v>71</v>
      </c>
      <c r="M146" s="10">
        <v>0</v>
      </c>
      <c r="N146" s="10" t="s">
        <v>72</v>
      </c>
      <c r="O146" s="10" t="s">
        <v>72</v>
      </c>
      <c r="P146" s="5" t="s">
        <v>73</v>
      </c>
      <c r="Q146" s="11">
        <v>3</v>
      </c>
      <c r="R146" s="12">
        <v>41.34</v>
      </c>
      <c r="S146" s="10">
        <v>4.68</v>
      </c>
      <c r="T146" s="10">
        <v>7.92</v>
      </c>
      <c r="U146" s="10">
        <v>12.32</v>
      </c>
      <c r="V146" s="10">
        <v>6.34</v>
      </c>
      <c r="W146" s="10">
        <v>2.89</v>
      </c>
      <c r="X146" s="10">
        <v>1.66</v>
      </c>
      <c r="Y146" s="10">
        <v>5.29</v>
      </c>
      <c r="Z146" s="10">
        <v>0.24</v>
      </c>
      <c r="AA146" s="13">
        <v>1.2E-2</v>
      </c>
      <c r="AB146" s="13">
        <v>1.2E-2</v>
      </c>
      <c r="AC146" s="14">
        <f t="shared" si="41"/>
        <v>7.1880000000000002E-4</v>
      </c>
      <c r="AD146" s="13">
        <f t="shared" si="42"/>
        <v>2.4E-2</v>
      </c>
      <c r="AE146" s="13">
        <v>3.23</v>
      </c>
      <c r="AF146" s="10">
        <v>4.29</v>
      </c>
      <c r="AG146" s="10">
        <v>3.17</v>
      </c>
      <c r="AH146" s="15">
        <v>5.9900000000000002E-2</v>
      </c>
      <c r="AI146" s="10">
        <f t="shared" si="40"/>
        <v>7.46</v>
      </c>
      <c r="AJ146" s="10">
        <v>0.02</v>
      </c>
      <c r="AK146" s="10">
        <v>10</v>
      </c>
      <c r="AL146" s="10">
        <v>0</v>
      </c>
      <c r="AM146" s="16">
        <v>40</v>
      </c>
      <c r="AN146" s="16">
        <v>40</v>
      </c>
      <c r="AO146" s="16">
        <v>2604.04</v>
      </c>
      <c r="AP146" s="10">
        <v>195.98199600000001</v>
      </c>
      <c r="AQ146" s="16">
        <v>42.3</v>
      </c>
      <c r="AR146" s="16">
        <v>2604.04</v>
      </c>
      <c r="AS146" s="10">
        <v>7.85</v>
      </c>
      <c r="AT146" s="13">
        <v>0</v>
      </c>
      <c r="AU146" s="10">
        <v>6.73</v>
      </c>
      <c r="AV146" s="17">
        <f t="shared" si="39"/>
        <v>72112.793281586506</v>
      </c>
      <c r="AW146" s="17">
        <v>30350.768146214712</v>
      </c>
      <c r="AX146" s="17">
        <v>27497.957347197673</v>
      </c>
      <c r="AY146" s="17">
        <v>14264.067788174123</v>
      </c>
      <c r="BA146" s="18"/>
      <c r="BC146" s="19"/>
      <c r="BD146" s="19"/>
      <c r="BE146" s="19"/>
      <c r="BF146" s="19"/>
      <c r="BG146" s="19"/>
      <c r="BI146" s="16">
        <f t="shared" si="29"/>
        <v>0</v>
      </c>
      <c r="BJ146" s="16">
        <f t="shared" si="30"/>
        <v>7068.4</v>
      </c>
      <c r="BK146" s="16">
        <f t="shared" si="31"/>
        <v>7068.4</v>
      </c>
      <c r="BL146" s="16">
        <f t="shared" si="32"/>
        <v>7068.4</v>
      </c>
      <c r="BM146" s="16">
        <f t="shared" si="33"/>
        <v>7068.4</v>
      </c>
      <c r="BN146" s="16">
        <f t="shared" si="34"/>
        <v>7068.4</v>
      </c>
      <c r="BO146" s="16">
        <f t="shared" si="35"/>
        <v>7068.4</v>
      </c>
      <c r="BP146" s="16">
        <f t="shared" si="36"/>
        <v>0</v>
      </c>
    </row>
    <row r="147" spans="1:68" ht="12" customHeight="1" x14ac:dyDescent="0.25">
      <c r="A147" s="5">
        <f t="shared" si="37"/>
        <v>143</v>
      </c>
      <c r="B147" s="6" t="s">
        <v>227</v>
      </c>
      <c r="C147" s="7">
        <f t="shared" si="38"/>
        <v>6953.13</v>
      </c>
      <c r="D147" s="8">
        <v>6953.13</v>
      </c>
      <c r="E147" s="8">
        <v>0</v>
      </c>
      <c r="F147" s="8">
        <v>1296.2</v>
      </c>
      <c r="G147" s="9">
        <v>4</v>
      </c>
      <c r="H147" s="9">
        <v>0</v>
      </c>
      <c r="I147" s="9">
        <v>400</v>
      </c>
      <c r="J147" s="9">
        <v>0</v>
      </c>
      <c r="K147" s="9" t="s">
        <v>83</v>
      </c>
      <c r="L147" s="10" t="s">
        <v>71</v>
      </c>
      <c r="M147" s="10">
        <v>0</v>
      </c>
      <c r="N147" s="10" t="s">
        <v>72</v>
      </c>
      <c r="O147" s="10" t="s">
        <v>72</v>
      </c>
      <c r="P147" s="5" t="s">
        <v>73</v>
      </c>
      <c r="Q147" s="11">
        <v>3</v>
      </c>
      <c r="R147" s="12">
        <v>41.34</v>
      </c>
      <c r="S147" s="10">
        <v>4.68</v>
      </c>
      <c r="T147" s="10">
        <v>7.92</v>
      </c>
      <c r="U147" s="10">
        <v>12.32</v>
      </c>
      <c r="V147" s="10">
        <v>6.34</v>
      </c>
      <c r="W147" s="10">
        <v>2.89</v>
      </c>
      <c r="X147" s="10">
        <v>1.66</v>
      </c>
      <c r="Y147" s="10">
        <v>5.29</v>
      </c>
      <c r="Z147" s="10">
        <v>0.24</v>
      </c>
      <c r="AA147" s="13">
        <v>1.2E-2</v>
      </c>
      <c r="AB147" s="13">
        <v>1.2E-2</v>
      </c>
      <c r="AC147" s="14">
        <f t="shared" si="41"/>
        <v>7.1880000000000002E-4</v>
      </c>
      <c r="AD147" s="13">
        <f t="shared" si="42"/>
        <v>2.4E-2</v>
      </c>
      <c r="AE147" s="13">
        <v>3.23</v>
      </c>
      <c r="AF147" s="10">
        <v>4.29</v>
      </c>
      <c r="AG147" s="10">
        <v>3.17</v>
      </c>
      <c r="AH147" s="15">
        <v>5.9900000000000002E-2</v>
      </c>
      <c r="AI147" s="10">
        <f t="shared" si="40"/>
        <v>7.46</v>
      </c>
      <c r="AJ147" s="10">
        <v>0.02</v>
      </c>
      <c r="AK147" s="10">
        <v>10</v>
      </c>
      <c r="AL147" s="10">
        <v>0</v>
      </c>
      <c r="AM147" s="16">
        <v>40</v>
      </c>
      <c r="AN147" s="16">
        <v>40</v>
      </c>
      <c r="AO147" s="16">
        <v>2604.04</v>
      </c>
      <c r="AP147" s="10">
        <v>195.98199600000001</v>
      </c>
      <c r="AQ147" s="16">
        <v>42.3</v>
      </c>
      <c r="AR147" s="16">
        <v>2604.04</v>
      </c>
      <c r="AS147" s="10">
        <v>7.85</v>
      </c>
      <c r="AT147" s="13">
        <v>0</v>
      </c>
      <c r="AU147" s="10">
        <v>6.73</v>
      </c>
      <c r="AV147" s="17">
        <f t="shared" si="39"/>
        <v>70882.79457249667</v>
      </c>
      <c r="AW147" s="17">
        <v>29833.085930912661</v>
      </c>
      <c r="AX147" s="17">
        <v>27028.937149789312</v>
      </c>
      <c r="AY147" s="17">
        <v>14020.771491794694</v>
      </c>
      <c r="BA147" s="18"/>
      <c r="BC147" s="19"/>
      <c r="BD147" s="19"/>
      <c r="BE147" s="19"/>
      <c r="BF147" s="19"/>
      <c r="BG147" s="19"/>
      <c r="BI147" s="16">
        <f t="shared" si="29"/>
        <v>0</v>
      </c>
      <c r="BJ147" s="16">
        <f t="shared" si="30"/>
        <v>6953.13</v>
      </c>
      <c r="BK147" s="16">
        <f t="shared" si="31"/>
        <v>6953.13</v>
      </c>
      <c r="BL147" s="16">
        <f t="shared" si="32"/>
        <v>6953.13</v>
      </c>
      <c r="BM147" s="16">
        <f t="shared" si="33"/>
        <v>6953.13</v>
      </c>
      <c r="BN147" s="16">
        <f t="shared" si="34"/>
        <v>6953.13</v>
      </c>
      <c r="BO147" s="16">
        <f t="shared" si="35"/>
        <v>6953.13</v>
      </c>
      <c r="BP147" s="16">
        <f t="shared" si="36"/>
        <v>0</v>
      </c>
    </row>
    <row r="148" spans="1:68" ht="12" customHeight="1" x14ac:dyDescent="0.25">
      <c r="A148" s="5">
        <f t="shared" si="37"/>
        <v>144</v>
      </c>
      <c r="B148" s="6" t="s">
        <v>228</v>
      </c>
      <c r="C148" s="7">
        <f t="shared" si="38"/>
        <v>2231.3000000000002</v>
      </c>
      <c r="D148" s="8">
        <v>2231.3000000000002</v>
      </c>
      <c r="E148" s="8">
        <v>0</v>
      </c>
      <c r="F148" s="8">
        <v>485.7</v>
      </c>
      <c r="G148" s="9">
        <v>1</v>
      </c>
      <c r="H148" s="9">
        <v>0</v>
      </c>
      <c r="I148" s="9">
        <v>400</v>
      </c>
      <c r="J148" s="9">
        <v>0</v>
      </c>
      <c r="K148" s="9" t="s">
        <v>83</v>
      </c>
      <c r="L148" s="10" t="s">
        <v>71</v>
      </c>
      <c r="M148" s="10">
        <v>0</v>
      </c>
      <c r="N148" s="10" t="s">
        <v>72</v>
      </c>
      <c r="O148" s="10" t="s">
        <v>72</v>
      </c>
      <c r="P148" s="5" t="s">
        <v>73</v>
      </c>
      <c r="Q148" s="11">
        <v>3</v>
      </c>
      <c r="R148" s="21">
        <v>39.75</v>
      </c>
      <c r="S148" s="10">
        <v>4.49</v>
      </c>
      <c r="T148" s="10">
        <v>7.61</v>
      </c>
      <c r="U148" s="10">
        <v>11.85</v>
      </c>
      <c r="V148" s="10">
        <v>6.1</v>
      </c>
      <c r="W148" s="10">
        <v>2.78</v>
      </c>
      <c r="X148" s="10">
        <v>1.6</v>
      </c>
      <c r="Y148" s="10">
        <v>5.09</v>
      </c>
      <c r="Z148" s="10">
        <v>0.23</v>
      </c>
      <c r="AA148" s="13">
        <v>1.2E-2</v>
      </c>
      <c r="AB148" s="13">
        <v>1.2E-2</v>
      </c>
      <c r="AC148" s="14">
        <f t="shared" si="41"/>
        <v>7.1880000000000002E-4</v>
      </c>
      <c r="AD148" s="13">
        <f t="shared" si="42"/>
        <v>2.4E-2</v>
      </c>
      <c r="AE148" s="13">
        <v>3.23</v>
      </c>
      <c r="AF148" s="10">
        <v>4.29</v>
      </c>
      <c r="AG148" s="10">
        <v>3.17</v>
      </c>
      <c r="AH148" s="15">
        <v>5.9900000000000002E-2</v>
      </c>
      <c r="AI148" s="10">
        <f t="shared" si="40"/>
        <v>7.46</v>
      </c>
      <c r="AJ148" s="10">
        <v>0.02</v>
      </c>
      <c r="AK148" s="10">
        <v>10</v>
      </c>
      <c r="AL148" s="10">
        <v>0</v>
      </c>
      <c r="AM148" s="16">
        <v>40</v>
      </c>
      <c r="AN148" s="16">
        <v>40</v>
      </c>
      <c r="AO148" s="16">
        <v>2604.04</v>
      </c>
      <c r="AP148" s="10">
        <v>195.98199600000001</v>
      </c>
      <c r="AQ148" s="16">
        <v>42.3</v>
      </c>
      <c r="AR148" s="16">
        <v>2604.04</v>
      </c>
      <c r="AS148" s="10">
        <v>7.85</v>
      </c>
      <c r="AT148" s="13">
        <v>0</v>
      </c>
      <c r="AU148" s="10">
        <v>6.73</v>
      </c>
      <c r="AV148" s="17">
        <f t="shared" si="39"/>
        <v>22730.445109425207</v>
      </c>
      <c r="AW148" s="17">
        <v>9566.7623732698084</v>
      </c>
      <c r="AX148" s="17">
        <v>8667.5495239096253</v>
      </c>
      <c r="AY148" s="17">
        <v>4496.1332122457761</v>
      </c>
      <c r="BA148" s="18"/>
      <c r="BC148" s="19"/>
      <c r="BD148" s="19"/>
      <c r="BE148" s="19"/>
      <c r="BF148" s="19"/>
      <c r="BG148" s="19"/>
      <c r="BI148" s="16">
        <f t="shared" si="29"/>
        <v>0</v>
      </c>
      <c r="BJ148" s="16">
        <f t="shared" si="30"/>
        <v>2231.3000000000002</v>
      </c>
      <c r="BK148" s="16">
        <f t="shared" si="31"/>
        <v>2231.3000000000002</v>
      </c>
      <c r="BL148" s="16">
        <f t="shared" si="32"/>
        <v>2231.3000000000002</v>
      </c>
      <c r="BM148" s="16">
        <f t="shared" si="33"/>
        <v>2231.3000000000002</v>
      </c>
      <c r="BN148" s="16">
        <f t="shared" si="34"/>
        <v>2231.3000000000002</v>
      </c>
      <c r="BO148" s="16">
        <f t="shared" si="35"/>
        <v>2231.3000000000002</v>
      </c>
      <c r="BP148" s="16">
        <f t="shared" si="36"/>
        <v>0</v>
      </c>
    </row>
    <row r="149" spans="1:68" ht="12" customHeight="1" x14ac:dyDescent="0.25">
      <c r="A149" s="5">
        <f t="shared" si="37"/>
        <v>145</v>
      </c>
      <c r="B149" s="6" t="s">
        <v>229</v>
      </c>
      <c r="C149" s="7">
        <f t="shared" si="38"/>
        <v>3500.1</v>
      </c>
      <c r="D149" s="8">
        <v>3454.1</v>
      </c>
      <c r="E149" s="8">
        <v>46</v>
      </c>
      <c r="F149" s="8">
        <v>221.6</v>
      </c>
      <c r="G149" s="9">
        <v>0</v>
      </c>
      <c r="H149" s="9">
        <v>0</v>
      </c>
      <c r="I149" s="9">
        <v>0</v>
      </c>
      <c r="J149" s="9">
        <v>0</v>
      </c>
      <c r="K149" s="9" t="s">
        <v>83</v>
      </c>
      <c r="L149" s="10" t="s">
        <v>71</v>
      </c>
      <c r="M149" s="10">
        <v>0</v>
      </c>
      <c r="N149" s="10" t="s">
        <v>72</v>
      </c>
      <c r="O149" s="10" t="s">
        <v>72</v>
      </c>
      <c r="P149" s="5" t="s">
        <v>73</v>
      </c>
      <c r="Q149" s="11">
        <v>7</v>
      </c>
      <c r="R149" s="12">
        <v>28.44</v>
      </c>
      <c r="S149" s="10">
        <v>4.68</v>
      </c>
      <c r="T149" s="10">
        <v>6.05</v>
      </c>
      <c r="U149" s="10">
        <v>8.24</v>
      </c>
      <c r="V149" s="10">
        <v>6.34</v>
      </c>
      <c r="W149" s="10">
        <v>2.89</v>
      </c>
      <c r="X149" s="10">
        <v>0</v>
      </c>
      <c r="Y149" s="10">
        <v>0</v>
      </c>
      <c r="Z149" s="10">
        <v>0.24</v>
      </c>
      <c r="AA149" s="13">
        <v>1.2999999999999999E-2</v>
      </c>
      <c r="AB149" s="13">
        <v>1.2999999999999999E-2</v>
      </c>
      <c r="AC149" s="14">
        <f t="shared" si="41"/>
        <v>7.7870000000000001E-4</v>
      </c>
      <c r="AD149" s="13">
        <f t="shared" si="42"/>
        <v>2.5999999999999999E-2</v>
      </c>
      <c r="AE149" s="13">
        <v>0.68300000000000005</v>
      </c>
      <c r="AF149" s="10">
        <v>4.29</v>
      </c>
      <c r="AG149" s="10">
        <v>3.17</v>
      </c>
      <c r="AH149" s="15">
        <v>5.9900000000000002E-2</v>
      </c>
      <c r="AI149" s="10">
        <f t="shared" si="40"/>
        <v>7.46</v>
      </c>
      <c r="AJ149" s="10">
        <v>0.02</v>
      </c>
      <c r="AK149" s="10">
        <v>10</v>
      </c>
      <c r="AL149" s="10">
        <v>0</v>
      </c>
      <c r="AM149" s="16">
        <v>40</v>
      </c>
      <c r="AN149" s="16">
        <v>40</v>
      </c>
      <c r="AO149" s="16">
        <v>2604.04</v>
      </c>
      <c r="AP149" s="10">
        <v>195.98199600000001</v>
      </c>
      <c r="AQ149" s="16">
        <v>42.3</v>
      </c>
      <c r="AR149" s="16">
        <v>2604.04</v>
      </c>
      <c r="AS149" s="10">
        <v>7.85</v>
      </c>
      <c r="AT149" s="13">
        <v>0</v>
      </c>
      <c r="AU149" s="10">
        <v>6.73</v>
      </c>
      <c r="AV149" s="17">
        <f t="shared" si="39"/>
        <v>28262.535855100883</v>
      </c>
      <c r="AW149" s="17">
        <v>14828.149954778424</v>
      </c>
      <c r="AX149" s="17">
        <v>13434.385900322457</v>
      </c>
      <c r="AY149" s="17">
        <v>0</v>
      </c>
      <c r="BA149" s="18"/>
      <c r="BC149" s="19"/>
      <c r="BD149" s="19"/>
      <c r="BE149" s="19"/>
      <c r="BF149" s="19"/>
      <c r="BG149" s="19"/>
      <c r="BI149" s="16">
        <f t="shared" si="29"/>
        <v>0</v>
      </c>
      <c r="BJ149" s="16">
        <f t="shared" si="30"/>
        <v>0</v>
      </c>
      <c r="BK149" s="16">
        <f t="shared" si="31"/>
        <v>3500.1</v>
      </c>
      <c r="BL149" s="16">
        <f t="shared" si="32"/>
        <v>3500.1</v>
      </c>
      <c r="BM149" s="16">
        <f t="shared" si="33"/>
        <v>3500.1</v>
      </c>
      <c r="BN149" s="16">
        <f t="shared" si="34"/>
        <v>3500.1</v>
      </c>
      <c r="BO149" s="16">
        <f t="shared" si="35"/>
        <v>3500.1</v>
      </c>
      <c r="BP149" s="16">
        <f t="shared" si="36"/>
        <v>0</v>
      </c>
    </row>
    <row r="150" spans="1:68" ht="12" customHeight="1" x14ac:dyDescent="0.25">
      <c r="A150" s="5">
        <f t="shared" si="37"/>
        <v>146</v>
      </c>
      <c r="B150" s="6" t="s">
        <v>230</v>
      </c>
      <c r="C150" s="7">
        <f t="shared" si="38"/>
        <v>4927</v>
      </c>
      <c r="D150" s="8">
        <v>4927</v>
      </c>
      <c r="E150" s="8">
        <v>0</v>
      </c>
      <c r="F150" s="8">
        <v>436.6</v>
      </c>
      <c r="G150" s="9">
        <v>0</v>
      </c>
      <c r="H150" s="9">
        <v>0</v>
      </c>
      <c r="I150" s="9">
        <v>0</v>
      </c>
      <c r="J150" s="9">
        <v>0</v>
      </c>
      <c r="K150" s="9" t="s">
        <v>83</v>
      </c>
      <c r="L150" s="10" t="s">
        <v>71</v>
      </c>
      <c r="M150" s="10">
        <v>0</v>
      </c>
      <c r="N150" s="10" t="s">
        <v>72</v>
      </c>
      <c r="O150" s="10" t="s">
        <v>72</v>
      </c>
      <c r="P150" s="5" t="s">
        <v>73</v>
      </c>
      <c r="Q150" s="11">
        <v>7</v>
      </c>
      <c r="R150" s="12">
        <v>28.44</v>
      </c>
      <c r="S150" s="10">
        <v>4.68</v>
      </c>
      <c r="T150" s="10">
        <v>6.05</v>
      </c>
      <c r="U150" s="10">
        <v>8.24</v>
      </c>
      <c r="V150" s="10">
        <v>6.34</v>
      </c>
      <c r="W150" s="10">
        <v>2.89</v>
      </c>
      <c r="X150" s="10">
        <v>0</v>
      </c>
      <c r="Y150" s="10">
        <v>0</v>
      </c>
      <c r="Z150" s="10">
        <v>0.24</v>
      </c>
      <c r="AA150" s="13">
        <v>1.2999999999999999E-2</v>
      </c>
      <c r="AB150" s="13">
        <v>1.2999999999999999E-2</v>
      </c>
      <c r="AC150" s="14">
        <f t="shared" si="41"/>
        <v>7.7870000000000001E-4</v>
      </c>
      <c r="AD150" s="13">
        <f t="shared" si="42"/>
        <v>2.5999999999999999E-2</v>
      </c>
      <c r="AE150" s="13">
        <v>0.68300000000000005</v>
      </c>
      <c r="AF150" s="10">
        <v>4.29</v>
      </c>
      <c r="AG150" s="10">
        <v>3.17</v>
      </c>
      <c r="AH150" s="15">
        <v>5.9900000000000002E-2</v>
      </c>
      <c r="AI150" s="10">
        <f t="shared" si="40"/>
        <v>7.46</v>
      </c>
      <c r="AJ150" s="10">
        <v>0.02</v>
      </c>
      <c r="AK150" s="10">
        <v>10</v>
      </c>
      <c r="AL150" s="10">
        <v>0</v>
      </c>
      <c r="AM150" s="16">
        <v>40</v>
      </c>
      <c r="AN150" s="16">
        <v>40</v>
      </c>
      <c r="AO150" s="16">
        <v>2604.04</v>
      </c>
      <c r="AP150" s="10">
        <v>195.98199600000001</v>
      </c>
      <c r="AQ150" s="16">
        <v>42.3</v>
      </c>
      <c r="AR150" s="16">
        <v>2604.04</v>
      </c>
      <c r="AS150" s="10">
        <v>7.85</v>
      </c>
      <c r="AT150" s="13">
        <v>0</v>
      </c>
      <c r="AU150" s="10">
        <v>6.73</v>
      </c>
      <c r="AV150" s="17">
        <f t="shared" si="39"/>
        <v>40253.406029044898</v>
      </c>
      <c r="AW150" s="17">
        <v>21119.246800412559</v>
      </c>
      <c r="AX150" s="17">
        <v>19134.159228632336</v>
      </c>
      <c r="AY150" s="17">
        <v>0</v>
      </c>
      <c r="BA150" s="18"/>
      <c r="BC150" s="19"/>
      <c r="BD150" s="19"/>
      <c r="BE150" s="19"/>
      <c r="BF150" s="19"/>
      <c r="BG150" s="19"/>
      <c r="BI150" s="16">
        <f t="shared" si="29"/>
        <v>0</v>
      </c>
      <c r="BJ150" s="16">
        <f t="shared" si="30"/>
        <v>0</v>
      </c>
      <c r="BK150" s="16">
        <f t="shared" si="31"/>
        <v>4927</v>
      </c>
      <c r="BL150" s="16">
        <f t="shared" si="32"/>
        <v>4927</v>
      </c>
      <c r="BM150" s="16">
        <f t="shared" si="33"/>
        <v>4927</v>
      </c>
      <c r="BN150" s="16">
        <f t="shared" si="34"/>
        <v>4927</v>
      </c>
      <c r="BO150" s="16">
        <f t="shared" si="35"/>
        <v>4927</v>
      </c>
      <c r="BP150" s="16">
        <f t="shared" si="36"/>
        <v>0</v>
      </c>
    </row>
    <row r="151" spans="1:68" ht="12" customHeight="1" x14ac:dyDescent="0.25">
      <c r="A151" s="5">
        <f t="shared" si="37"/>
        <v>147</v>
      </c>
      <c r="B151" s="6" t="s">
        <v>231</v>
      </c>
      <c r="C151" s="7">
        <f t="shared" si="38"/>
        <v>4940.66</v>
      </c>
      <c r="D151" s="8">
        <v>4940.66</v>
      </c>
      <c r="E151" s="8">
        <v>0</v>
      </c>
      <c r="F151" s="8">
        <v>452.8</v>
      </c>
      <c r="G151" s="9">
        <v>0</v>
      </c>
      <c r="H151" s="9">
        <v>0</v>
      </c>
      <c r="I151" s="9">
        <v>0</v>
      </c>
      <c r="J151" s="9">
        <v>0</v>
      </c>
      <c r="K151" s="9" t="s">
        <v>83</v>
      </c>
      <c r="L151" s="10" t="s">
        <v>71</v>
      </c>
      <c r="M151" s="10">
        <v>0</v>
      </c>
      <c r="N151" s="10" t="s">
        <v>72</v>
      </c>
      <c r="O151" s="10" t="s">
        <v>72</v>
      </c>
      <c r="P151" s="5" t="s">
        <v>73</v>
      </c>
      <c r="Q151" s="11">
        <v>7</v>
      </c>
      <c r="R151" s="12">
        <v>28.44</v>
      </c>
      <c r="S151" s="10">
        <v>4.68</v>
      </c>
      <c r="T151" s="10">
        <v>6.05</v>
      </c>
      <c r="U151" s="10">
        <v>8.24</v>
      </c>
      <c r="V151" s="10">
        <v>6.34</v>
      </c>
      <c r="W151" s="10">
        <v>2.89</v>
      </c>
      <c r="X151" s="10">
        <v>0</v>
      </c>
      <c r="Y151" s="10">
        <v>0</v>
      </c>
      <c r="Z151" s="10">
        <v>0.24</v>
      </c>
      <c r="AA151" s="13">
        <v>1.2999999999999999E-2</v>
      </c>
      <c r="AB151" s="13">
        <v>1.2999999999999999E-2</v>
      </c>
      <c r="AC151" s="14">
        <f t="shared" si="41"/>
        <v>7.7870000000000001E-4</v>
      </c>
      <c r="AD151" s="13">
        <f t="shared" si="42"/>
        <v>2.5999999999999999E-2</v>
      </c>
      <c r="AE151" s="13">
        <v>0.68300000000000005</v>
      </c>
      <c r="AF151" s="10">
        <v>4.29</v>
      </c>
      <c r="AG151" s="10">
        <v>3.17</v>
      </c>
      <c r="AH151" s="15">
        <v>5.9900000000000002E-2</v>
      </c>
      <c r="AI151" s="10">
        <f t="shared" si="40"/>
        <v>7.46</v>
      </c>
      <c r="AJ151" s="10">
        <v>0.02</v>
      </c>
      <c r="AK151" s="10">
        <v>10</v>
      </c>
      <c r="AL151" s="10">
        <v>0</v>
      </c>
      <c r="AM151" s="16">
        <v>40</v>
      </c>
      <c r="AN151" s="16">
        <v>40</v>
      </c>
      <c r="AO151" s="16">
        <v>2604.04</v>
      </c>
      <c r="AP151" s="10">
        <v>195.98199600000001</v>
      </c>
      <c r="AQ151" s="16">
        <v>42.3</v>
      </c>
      <c r="AR151" s="16">
        <v>2604.04</v>
      </c>
      <c r="AS151" s="10">
        <v>7.85</v>
      </c>
      <c r="AT151" s="13">
        <v>0</v>
      </c>
      <c r="AU151" s="10">
        <v>6.73</v>
      </c>
      <c r="AV151" s="17">
        <f t="shared" si="39"/>
        <v>40371.543836091209</v>
      </c>
      <c r="AW151" s="17">
        <v>21181.232942253322</v>
      </c>
      <c r="AX151" s="17">
        <v>19190.310893837886</v>
      </c>
      <c r="AY151" s="17">
        <v>0</v>
      </c>
      <c r="BA151" s="18"/>
      <c r="BC151" s="19"/>
      <c r="BD151" s="19"/>
      <c r="BE151" s="19"/>
      <c r="BF151" s="19"/>
      <c r="BG151" s="19"/>
      <c r="BI151" s="16">
        <f t="shared" si="29"/>
        <v>0</v>
      </c>
      <c r="BJ151" s="16">
        <f t="shared" si="30"/>
        <v>0</v>
      </c>
      <c r="BK151" s="16">
        <f t="shared" si="31"/>
        <v>4940.66</v>
      </c>
      <c r="BL151" s="16">
        <f t="shared" si="32"/>
        <v>4940.66</v>
      </c>
      <c r="BM151" s="16">
        <f t="shared" si="33"/>
        <v>4940.66</v>
      </c>
      <c r="BN151" s="16">
        <f t="shared" si="34"/>
        <v>4940.66</v>
      </c>
      <c r="BO151" s="16">
        <f t="shared" si="35"/>
        <v>4940.66</v>
      </c>
      <c r="BP151" s="16">
        <f t="shared" si="36"/>
        <v>0</v>
      </c>
    </row>
    <row r="152" spans="1:68" ht="12" customHeight="1" x14ac:dyDescent="0.25">
      <c r="A152" s="5">
        <f t="shared" si="37"/>
        <v>148</v>
      </c>
      <c r="B152" s="6" t="s">
        <v>232</v>
      </c>
      <c r="C152" s="7">
        <f t="shared" si="38"/>
        <v>3456.99</v>
      </c>
      <c r="D152" s="8">
        <v>3456.99</v>
      </c>
      <c r="E152" s="8">
        <v>0</v>
      </c>
      <c r="F152" s="8">
        <v>619</v>
      </c>
      <c r="G152" s="9">
        <v>0</v>
      </c>
      <c r="H152" s="9">
        <v>0</v>
      </c>
      <c r="I152" s="9">
        <v>0</v>
      </c>
      <c r="J152" s="9">
        <v>0</v>
      </c>
      <c r="K152" s="9" t="s">
        <v>83</v>
      </c>
      <c r="L152" s="10" t="s">
        <v>71</v>
      </c>
      <c r="M152" s="10">
        <v>0</v>
      </c>
      <c r="N152" s="10" t="s">
        <v>72</v>
      </c>
      <c r="O152" s="10" t="s">
        <v>72</v>
      </c>
      <c r="P152" s="5" t="s">
        <v>73</v>
      </c>
      <c r="Q152" s="11">
        <v>7</v>
      </c>
      <c r="R152" s="12">
        <v>28.44</v>
      </c>
      <c r="S152" s="10">
        <v>4.68</v>
      </c>
      <c r="T152" s="10">
        <v>6.05</v>
      </c>
      <c r="U152" s="10">
        <v>8.24</v>
      </c>
      <c r="V152" s="10">
        <v>6.34</v>
      </c>
      <c r="W152" s="10">
        <v>2.89</v>
      </c>
      <c r="X152" s="10">
        <v>0</v>
      </c>
      <c r="Y152" s="10">
        <v>0</v>
      </c>
      <c r="Z152" s="10">
        <v>0.24</v>
      </c>
      <c r="AA152" s="13">
        <v>1.2999999999999999E-2</v>
      </c>
      <c r="AB152" s="13">
        <v>1.2999999999999999E-2</v>
      </c>
      <c r="AC152" s="14">
        <f t="shared" si="41"/>
        <v>7.7870000000000001E-4</v>
      </c>
      <c r="AD152" s="13">
        <f t="shared" si="42"/>
        <v>2.5999999999999999E-2</v>
      </c>
      <c r="AE152" s="13">
        <v>0.68300000000000005</v>
      </c>
      <c r="AF152" s="10">
        <v>4.29</v>
      </c>
      <c r="AG152" s="10">
        <v>3.17</v>
      </c>
      <c r="AH152" s="15">
        <v>5.9900000000000002E-2</v>
      </c>
      <c r="AI152" s="10">
        <f t="shared" si="40"/>
        <v>7.46</v>
      </c>
      <c r="AJ152" s="10">
        <v>0.02</v>
      </c>
      <c r="AK152" s="10">
        <v>10</v>
      </c>
      <c r="AL152" s="10">
        <v>0</v>
      </c>
      <c r="AM152" s="16">
        <v>40</v>
      </c>
      <c r="AN152" s="16">
        <v>40</v>
      </c>
      <c r="AO152" s="16">
        <v>2604.04</v>
      </c>
      <c r="AP152" s="10">
        <v>195.98199600000001</v>
      </c>
      <c r="AQ152" s="16">
        <v>42.3</v>
      </c>
      <c r="AR152" s="16">
        <v>2604.04</v>
      </c>
      <c r="AS152" s="10">
        <v>7.85</v>
      </c>
      <c r="AT152" s="13">
        <v>0</v>
      </c>
      <c r="AU152" s="10">
        <v>6.73</v>
      </c>
      <c r="AV152" s="17">
        <f t="shared" si="39"/>
        <v>28606.521700976875</v>
      </c>
      <c r="AW152" s="17">
        <v>15008.632523978767</v>
      </c>
      <c r="AX152" s="17">
        <v>13597.889176998107</v>
      </c>
      <c r="AY152" s="17">
        <v>0</v>
      </c>
      <c r="BA152" s="18"/>
      <c r="BC152" s="19"/>
      <c r="BD152" s="19"/>
      <c r="BE152" s="19"/>
      <c r="BF152" s="19"/>
      <c r="BG152" s="19"/>
      <c r="BI152" s="16">
        <f t="shared" si="29"/>
        <v>0</v>
      </c>
      <c r="BJ152" s="16">
        <f t="shared" si="30"/>
        <v>0</v>
      </c>
      <c r="BK152" s="16">
        <f t="shared" si="31"/>
        <v>3456.99</v>
      </c>
      <c r="BL152" s="16">
        <f t="shared" si="32"/>
        <v>3456.99</v>
      </c>
      <c r="BM152" s="16">
        <f t="shared" si="33"/>
        <v>3456.99</v>
      </c>
      <c r="BN152" s="16">
        <f t="shared" si="34"/>
        <v>3456.99</v>
      </c>
      <c r="BO152" s="16">
        <f t="shared" si="35"/>
        <v>3456.99</v>
      </c>
      <c r="BP152" s="16">
        <f t="shared" si="36"/>
        <v>0</v>
      </c>
    </row>
    <row r="153" spans="1:68" ht="12" customHeight="1" x14ac:dyDescent="0.25">
      <c r="A153" s="5">
        <f t="shared" si="37"/>
        <v>149</v>
      </c>
      <c r="B153" s="6" t="s">
        <v>233</v>
      </c>
      <c r="C153" s="7">
        <f t="shared" si="38"/>
        <v>3483.9</v>
      </c>
      <c r="D153" s="8">
        <v>3483.9</v>
      </c>
      <c r="E153" s="8">
        <v>0</v>
      </c>
      <c r="F153" s="8">
        <v>445.9</v>
      </c>
      <c r="G153" s="9">
        <v>0</v>
      </c>
      <c r="H153" s="9">
        <v>0</v>
      </c>
      <c r="I153" s="9">
        <v>0</v>
      </c>
      <c r="J153" s="9">
        <v>0</v>
      </c>
      <c r="K153" s="9" t="s">
        <v>83</v>
      </c>
      <c r="L153" s="10" t="s">
        <v>71</v>
      </c>
      <c r="M153" s="10">
        <v>0</v>
      </c>
      <c r="N153" s="10" t="s">
        <v>72</v>
      </c>
      <c r="O153" s="10" t="s">
        <v>72</v>
      </c>
      <c r="P153" s="5" t="s">
        <v>73</v>
      </c>
      <c r="Q153" s="11">
        <v>7</v>
      </c>
      <c r="R153" s="12">
        <v>28.44</v>
      </c>
      <c r="S153" s="10">
        <v>4.68</v>
      </c>
      <c r="T153" s="10">
        <v>6.05</v>
      </c>
      <c r="U153" s="10">
        <v>8.24</v>
      </c>
      <c r="V153" s="10">
        <v>6.34</v>
      </c>
      <c r="W153" s="10">
        <v>2.89</v>
      </c>
      <c r="X153" s="10">
        <v>0</v>
      </c>
      <c r="Y153" s="10">
        <v>0</v>
      </c>
      <c r="Z153" s="10">
        <v>0.24</v>
      </c>
      <c r="AA153" s="13">
        <v>1.2999999999999999E-2</v>
      </c>
      <c r="AB153" s="13">
        <v>1.2999999999999999E-2</v>
      </c>
      <c r="AC153" s="14">
        <f t="shared" si="41"/>
        <v>7.7870000000000001E-4</v>
      </c>
      <c r="AD153" s="13">
        <f t="shared" si="42"/>
        <v>2.5999999999999999E-2</v>
      </c>
      <c r="AE153" s="13">
        <v>0.68300000000000005</v>
      </c>
      <c r="AF153" s="10">
        <v>4.29</v>
      </c>
      <c r="AG153" s="10">
        <v>3.17</v>
      </c>
      <c r="AH153" s="15">
        <v>5.9900000000000002E-2</v>
      </c>
      <c r="AI153" s="10">
        <f t="shared" si="40"/>
        <v>7.46</v>
      </c>
      <c r="AJ153" s="10">
        <v>0.02</v>
      </c>
      <c r="AK153" s="10">
        <v>10</v>
      </c>
      <c r="AL153" s="10">
        <v>0</v>
      </c>
      <c r="AM153" s="16">
        <v>40</v>
      </c>
      <c r="AN153" s="16">
        <v>40</v>
      </c>
      <c r="AO153" s="16">
        <v>2604.04</v>
      </c>
      <c r="AP153" s="10">
        <v>195.98199600000001</v>
      </c>
      <c r="AQ153" s="16">
        <v>42.3</v>
      </c>
      <c r="AR153" s="16">
        <v>2604.04</v>
      </c>
      <c r="AS153" s="10">
        <v>7.85</v>
      </c>
      <c r="AT153" s="13">
        <v>0</v>
      </c>
      <c r="AU153" s="10">
        <v>6.73</v>
      </c>
      <c r="AV153" s="17">
        <f t="shared" si="39"/>
        <v>28472.521841612615</v>
      </c>
      <c r="AW153" s="17">
        <v>14938.32914948781</v>
      </c>
      <c r="AX153" s="17">
        <v>13534.192692124803</v>
      </c>
      <c r="AY153" s="17">
        <v>0</v>
      </c>
      <c r="BA153" s="18"/>
      <c r="BC153" s="19"/>
      <c r="BD153" s="19"/>
      <c r="BE153" s="19"/>
      <c r="BF153" s="19"/>
      <c r="BG153" s="19"/>
      <c r="BI153" s="16">
        <f t="shared" si="29"/>
        <v>0</v>
      </c>
      <c r="BJ153" s="16">
        <f t="shared" si="30"/>
        <v>0</v>
      </c>
      <c r="BK153" s="16">
        <f t="shared" si="31"/>
        <v>3483.9</v>
      </c>
      <c r="BL153" s="16">
        <f t="shared" si="32"/>
        <v>3483.9</v>
      </c>
      <c r="BM153" s="16">
        <f t="shared" si="33"/>
        <v>3483.9</v>
      </c>
      <c r="BN153" s="16">
        <f t="shared" si="34"/>
        <v>3483.9</v>
      </c>
      <c r="BO153" s="16">
        <f t="shared" si="35"/>
        <v>3483.9</v>
      </c>
      <c r="BP153" s="16">
        <f t="shared" si="36"/>
        <v>0</v>
      </c>
    </row>
    <row r="154" spans="1:68" ht="12" customHeight="1" x14ac:dyDescent="0.25">
      <c r="A154" s="5">
        <f t="shared" si="37"/>
        <v>150</v>
      </c>
      <c r="B154" s="6" t="s">
        <v>234</v>
      </c>
      <c r="C154" s="7">
        <f t="shared" si="38"/>
        <v>4951.3999999999996</v>
      </c>
      <c r="D154" s="8">
        <v>4951.3999999999996</v>
      </c>
      <c r="E154" s="8">
        <v>0</v>
      </c>
      <c r="F154" s="8">
        <v>456</v>
      </c>
      <c r="G154" s="9">
        <v>0</v>
      </c>
      <c r="H154" s="9">
        <v>0</v>
      </c>
      <c r="I154" s="9">
        <v>0</v>
      </c>
      <c r="J154" s="9">
        <v>0</v>
      </c>
      <c r="K154" s="9" t="s">
        <v>83</v>
      </c>
      <c r="L154" s="10" t="s">
        <v>71</v>
      </c>
      <c r="M154" s="10">
        <v>0</v>
      </c>
      <c r="N154" s="10" t="s">
        <v>72</v>
      </c>
      <c r="O154" s="10" t="s">
        <v>72</v>
      </c>
      <c r="P154" s="5" t="s">
        <v>73</v>
      </c>
      <c r="Q154" s="11">
        <v>7</v>
      </c>
      <c r="R154" s="12">
        <v>28.44</v>
      </c>
      <c r="S154" s="10">
        <v>4.68</v>
      </c>
      <c r="T154" s="10">
        <v>6.05</v>
      </c>
      <c r="U154" s="10">
        <v>8.24</v>
      </c>
      <c r="V154" s="10">
        <v>6.34</v>
      </c>
      <c r="W154" s="10">
        <v>2.89</v>
      </c>
      <c r="X154" s="10">
        <v>0</v>
      </c>
      <c r="Y154" s="10">
        <v>0</v>
      </c>
      <c r="Z154" s="10">
        <v>0.24</v>
      </c>
      <c r="AA154" s="13">
        <v>1.2999999999999999E-2</v>
      </c>
      <c r="AB154" s="13">
        <v>1.2999999999999999E-2</v>
      </c>
      <c r="AC154" s="14">
        <f t="shared" si="41"/>
        <v>7.7870000000000001E-4</v>
      </c>
      <c r="AD154" s="13">
        <f t="shared" si="42"/>
        <v>2.5999999999999999E-2</v>
      </c>
      <c r="AE154" s="13">
        <v>0.68300000000000005</v>
      </c>
      <c r="AF154" s="10">
        <v>4.29</v>
      </c>
      <c r="AG154" s="10">
        <v>3.17</v>
      </c>
      <c r="AH154" s="15">
        <v>5.9900000000000002E-2</v>
      </c>
      <c r="AI154" s="10">
        <f t="shared" si="40"/>
        <v>7.46</v>
      </c>
      <c r="AJ154" s="10">
        <v>0.02</v>
      </c>
      <c r="AK154" s="10">
        <v>10</v>
      </c>
      <c r="AL154" s="10">
        <v>0</v>
      </c>
      <c r="AM154" s="16">
        <v>40</v>
      </c>
      <c r="AN154" s="16">
        <v>40</v>
      </c>
      <c r="AO154" s="16">
        <v>2604.04</v>
      </c>
      <c r="AP154" s="10">
        <v>195.98199600000001</v>
      </c>
      <c r="AQ154" s="16">
        <v>42.3</v>
      </c>
      <c r="AR154" s="16">
        <v>2604.04</v>
      </c>
      <c r="AS154" s="10">
        <v>7.85</v>
      </c>
      <c r="AT154" s="13">
        <v>0</v>
      </c>
      <c r="AU154" s="10">
        <v>6.73</v>
      </c>
      <c r="AV154" s="17">
        <f t="shared" si="39"/>
        <v>40776.357204334301</v>
      </c>
      <c r="AW154" s="17">
        <v>21393.618926246207</v>
      </c>
      <c r="AX154" s="17">
        <v>19382.738278088094</v>
      </c>
      <c r="AY154" s="17">
        <v>0</v>
      </c>
      <c r="BA154" s="18"/>
      <c r="BC154" s="19"/>
      <c r="BD154" s="19"/>
      <c r="BE154" s="19"/>
      <c r="BF154" s="19"/>
      <c r="BG154" s="19"/>
      <c r="BI154" s="16">
        <f t="shared" si="29"/>
        <v>0</v>
      </c>
      <c r="BJ154" s="16">
        <f t="shared" si="30"/>
        <v>0</v>
      </c>
      <c r="BK154" s="16">
        <f t="shared" si="31"/>
        <v>4951.3999999999996</v>
      </c>
      <c r="BL154" s="16">
        <f t="shared" si="32"/>
        <v>4951.3999999999996</v>
      </c>
      <c r="BM154" s="16">
        <f t="shared" si="33"/>
        <v>4951.3999999999996</v>
      </c>
      <c r="BN154" s="16">
        <f t="shared" si="34"/>
        <v>4951.3999999999996</v>
      </c>
      <c r="BO154" s="16">
        <f t="shared" si="35"/>
        <v>4951.3999999999996</v>
      </c>
      <c r="BP154" s="16">
        <f t="shared" si="36"/>
        <v>0</v>
      </c>
    </row>
    <row r="155" spans="1:68" ht="12" customHeight="1" x14ac:dyDescent="0.25">
      <c r="A155" s="5">
        <f t="shared" si="37"/>
        <v>151</v>
      </c>
      <c r="B155" s="6" t="s">
        <v>235</v>
      </c>
      <c r="C155" s="7">
        <f t="shared" si="38"/>
        <v>4883.7</v>
      </c>
      <c r="D155" s="8">
        <v>4883.7</v>
      </c>
      <c r="E155" s="8">
        <v>0</v>
      </c>
      <c r="F155" s="8">
        <v>716.4</v>
      </c>
      <c r="G155" s="9">
        <v>0</v>
      </c>
      <c r="H155" s="9">
        <v>0</v>
      </c>
      <c r="I155" s="9">
        <v>0</v>
      </c>
      <c r="J155" s="9">
        <v>0</v>
      </c>
      <c r="K155" s="9" t="s">
        <v>83</v>
      </c>
      <c r="L155" s="10" t="s">
        <v>71</v>
      </c>
      <c r="M155" s="10">
        <v>0</v>
      </c>
      <c r="N155" s="10" t="s">
        <v>72</v>
      </c>
      <c r="O155" s="10" t="s">
        <v>72</v>
      </c>
      <c r="P155" s="5" t="s">
        <v>73</v>
      </c>
      <c r="Q155" s="11">
        <v>7</v>
      </c>
      <c r="R155" s="12">
        <v>28.44</v>
      </c>
      <c r="S155" s="10">
        <v>4.68</v>
      </c>
      <c r="T155" s="10">
        <v>6.05</v>
      </c>
      <c r="U155" s="10">
        <v>8.24</v>
      </c>
      <c r="V155" s="10">
        <v>6.34</v>
      </c>
      <c r="W155" s="10">
        <v>2.89</v>
      </c>
      <c r="X155" s="10">
        <v>0</v>
      </c>
      <c r="Y155" s="10">
        <v>0</v>
      </c>
      <c r="Z155" s="10">
        <v>0.24</v>
      </c>
      <c r="AA155" s="13">
        <v>1.2999999999999999E-2</v>
      </c>
      <c r="AB155" s="13">
        <v>1.2999999999999999E-2</v>
      </c>
      <c r="AC155" s="14">
        <f t="shared" si="41"/>
        <v>7.7870000000000001E-4</v>
      </c>
      <c r="AD155" s="13">
        <f t="shared" si="42"/>
        <v>2.5999999999999999E-2</v>
      </c>
      <c r="AE155" s="13">
        <v>0.68300000000000005</v>
      </c>
      <c r="AF155" s="10">
        <v>4.29</v>
      </c>
      <c r="AG155" s="10">
        <v>3.17</v>
      </c>
      <c r="AH155" s="15">
        <v>5.9900000000000002E-2</v>
      </c>
      <c r="AI155" s="10">
        <f t="shared" si="40"/>
        <v>7.46</v>
      </c>
      <c r="AJ155" s="10">
        <v>0.02</v>
      </c>
      <c r="AK155" s="10">
        <v>10</v>
      </c>
      <c r="AL155" s="10">
        <v>0</v>
      </c>
      <c r="AM155" s="16">
        <v>40</v>
      </c>
      <c r="AN155" s="16">
        <v>40</v>
      </c>
      <c r="AO155" s="16">
        <v>2604.04</v>
      </c>
      <c r="AP155" s="10">
        <v>195.98199600000001</v>
      </c>
      <c r="AQ155" s="16">
        <v>42.3</v>
      </c>
      <c r="AR155" s="16">
        <v>2604.04</v>
      </c>
      <c r="AS155" s="10">
        <v>7.85</v>
      </c>
      <c r="AT155" s="13">
        <v>0</v>
      </c>
      <c r="AU155" s="10">
        <v>6.73</v>
      </c>
      <c r="AV155" s="17">
        <f t="shared" si="39"/>
        <v>40223.971577178367</v>
      </c>
      <c r="AW155" s="17">
        <v>21103.812333852748</v>
      </c>
      <c r="AX155" s="17">
        <v>19120.159243325623</v>
      </c>
      <c r="AY155" s="17">
        <v>0</v>
      </c>
      <c r="BA155" s="18"/>
      <c r="BC155" s="19"/>
      <c r="BD155" s="19"/>
      <c r="BE155" s="19"/>
      <c r="BF155" s="19"/>
      <c r="BG155" s="19"/>
      <c r="BI155" s="16">
        <f t="shared" si="29"/>
        <v>0</v>
      </c>
      <c r="BJ155" s="16">
        <f t="shared" si="30"/>
        <v>0</v>
      </c>
      <c r="BK155" s="16">
        <f t="shared" si="31"/>
        <v>4883.7</v>
      </c>
      <c r="BL155" s="16">
        <f t="shared" si="32"/>
        <v>4883.7</v>
      </c>
      <c r="BM155" s="16">
        <f t="shared" si="33"/>
        <v>4883.7</v>
      </c>
      <c r="BN155" s="16">
        <f t="shared" si="34"/>
        <v>4883.7</v>
      </c>
      <c r="BO155" s="16">
        <f t="shared" si="35"/>
        <v>4883.7</v>
      </c>
      <c r="BP155" s="16">
        <f t="shared" si="36"/>
        <v>0</v>
      </c>
    </row>
    <row r="156" spans="1:68" ht="12" customHeight="1" x14ac:dyDescent="0.25">
      <c r="A156" s="5">
        <f t="shared" si="37"/>
        <v>152</v>
      </c>
      <c r="B156" s="6" t="s">
        <v>236</v>
      </c>
      <c r="C156" s="7">
        <f t="shared" si="38"/>
        <v>3117.6399999999994</v>
      </c>
      <c r="D156" s="8">
        <v>3038.8399999999992</v>
      </c>
      <c r="E156" s="8">
        <v>78.8</v>
      </c>
      <c r="F156" s="8">
        <v>325.39999999999998</v>
      </c>
      <c r="G156" s="9">
        <v>0</v>
      </c>
      <c r="H156" s="9">
        <v>0</v>
      </c>
      <c r="I156" s="9">
        <v>0</v>
      </c>
      <c r="J156" s="9">
        <v>0</v>
      </c>
      <c r="K156" s="9" t="s">
        <v>83</v>
      </c>
      <c r="L156" s="10" t="s">
        <v>71</v>
      </c>
      <c r="M156" s="10">
        <v>0</v>
      </c>
      <c r="N156" s="10" t="s">
        <v>72</v>
      </c>
      <c r="O156" s="10" t="s">
        <v>72</v>
      </c>
      <c r="P156" s="5" t="s">
        <v>73</v>
      </c>
      <c r="Q156" s="11">
        <v>7</v>
      </c>
      <c r="R156" s="12">
        <v>28.44</v>
      </c>
      <c r="S156" s="10">
        <v>4.68</v>
      </c>
      <c r="T156" s="10">
        <v>6.05</v>
      </c>
      <c r="U156" s="10">
        <v>8.24</v>
      </c>
      <c r="V156" s="10">
        <v>6.34</v>
      </c>
      <c r="W156" s="10">
        <v>2.89</v>
      </c>
      <c r="X156" s="10">
        <v>0</v>
      </c>
      <c r="Y156" s="10">
        <v>0</v>
      </c>
      <c r="Z156" s="10">
        <v>0.24</v>
      </c>
      <c r="AA156" s="13">
        <v>1.2999999999999999E-2</v>
      </c>
      <c r="AB156" s="13">
        <v>1.2999999999999999E-2</v>
      </c>
      <c r="AC156" s="14">
        <f t="shared" si="41"/>
        <v>7.7870000000000001E-4</v>
      </c>
      <c r="AD156" s="13">
        <f t="shared" si="42"/>
        <v>2.5999999999999999E-2</v>
      </c>
      <c r="AE156" s="13">
        <v>0.68300000000000005</v>
      </c>
      <c r="AF156" s="10">
        <v>4.29</v>
      </c>
      <c r="AG156" s="10">
        <v>3.17</v>
      </c>
      <c r="AH156" s="15">
        <v>5.9900000000000002E-2</v>
      </c>
      <c r="AI156" s="10">
        <f t="shared" si="40"/>
        <v>7.46</v>
      </c>
      <c r="AJ156" s="10">
        <v>0.02</v>
      </c>
      <c r="AK156" s="10">
        <v>10</v>
      </c>
      <c r="AL156" s="10">
        <v>0</v>
      </c>
      <c r="AM156" s="16">
        <v>40</v>
      </c>
      <c r="AN156" s="16">
        <v>40</v>
      </c>
      <c r="AO156" s="16">
        <v>2604.04</v>
      </c>
      <c r="AP156" s="10">
        <v>195.98199600000001</v>
      </c>
      <c r="AQ156" s="16">
        <v>42.3</v>
      </c>
      <c r="AR156" s="16">
        <v>2604.04</v>
      </c>
      <c r="AS156" s="10">
        <v>7.85</v>
      </c>
      <c r="AT156" s="13">
        <v>0</v>
      </c>
      <c r="AU156" s="10">
        <v>6.73</v>
      </c>
      <c r="AV156" s="17">
        <f t="shared" si="39"/>
        <v>25474.097402316795</v>
      </c>
      <c r="AW156" s="17">
        <v>13365.172179860303</v>
      </c>
      <c r="AX156" s="17">
        <v>12108.92522245649</v>
      </c>
      <c r="AY156" s="17">
        <v>0</v>
      </c>
      <c r="BA156" s="18"/>
      <c r="BC156" s="19"/>
      <c r="BD156" s="19"/>
      <c r="BE156" s="19"/>
      <c r="BF156" s="19"/>
      <c r="BG156" s="19"/>
      <c r="BI156" s="16">
        <f t="shared" si="29"/>
        <v>0</v>
      </c>
      <c r="BJ156" s="16">
        <f t="shared" si="30"/>
        <v>0</v>
      </c>
      <c r="BK156" s="16">
        <f t="shared" si="31"/>
        <v>3117.6399999999994</v>
      </c>
      <c r="BL156" s="16">
        <f t="shared" si="32"/>
        <v>3117.6399999999994</v>
      </c>
      <c r="BM156" s="16">
        <f t="shared" si="33"/>
        <v>3117.6399999999994</v>
      </c>
      <c r="BN156" s="16">
        <f t="shared" si="34"/>
        <v>3117.6399999999994</v>
      </c>
      <c r="BO156" s="16">
        <f t="shared" si="35"/>
        <v>3117.6399999999994</v>
      </c>
      <c r="BP156" s="16">
        <f t="shared" si="36"/>
        <v>0</v>
      </c>
    </row>
    <row r="157" spans="1:68" ht="12" customHeight="1" x14ac:dyDescent="0.25">
      <c r="A157" s="5">
        <f t="shared" si="37"/>
        <v>153</v>
      </c>
      <c r="B157" s="6" t="s">
        <v>237</v>
      </c>
      <c r="C157" s="7">
        <f t="shared" si="38"/>
        <v>2702.7899999999995</v>
      </c>
      <c r="D157" s="8">
        <v>2702.7899999999995</v>
      </c>
      <c r="E157" s="8">
        <v>0</v>
      </c>
      <c r="F157" s="8">
        <v>379.4</v>
      </c>
      <c r="G157" s="9">
        <v>0</v>
      </c>
      <c r="H157" s="9">
        <v>0</v>
      </c>
      <c r="I157" s="9">
        <v>0</v>
      </c>
      <c r="J157" s="9">
        <v>0</v>
      </c>
      <c r="K157" s="9" t="s">
        <v>83</v>
      </c>
      <c r="L157" s="10" t="s">
        <v>71</v>
      </c>
      <c r="M157" s="10">
        <v>0</v>
      </c>
      <c r="N157" s="10" t="s">
        <v>72</v>
      </c>
      <c r="O157" s="10" t="s">
        <v>72</v>
      </c>
      <c r="P157" s="5" t="s">
        <v>73</v>
      </c>
      <c r="Q157" s="11">
        <v>5</v>
      </c>
      <c r="R157" s="12">
        <v>32.21</v>
      </c>
      <c r="S157" s="10">
        <v>4.68</v>
      </c>
      <c r="T157" s="10">
        <v>6.05</v>
      </c>
      <c r="U157" s="10">
        <v>10.35</v>
      </c>
      <c r="V157" s="10">
        <v>6.34</v>
      </c>
      <c r="W157" s="10">
        <v>2.89</v>
      </c>
      <c r="X157" s="10">
        <v>1.66</v>
      </c>
      <c r="Y157" s="10">
        <v>0</v>
      </c>
      <c r="Z157" s="10">
        <v>0.24</v>
      </c>
      <c r="AA157" s="13">
        <v>1.2999999999999999E-2</v>
      </c>
      <c r="AB157" s="13">
        <v>1.2999999999999999E-2</v>
      </c>
      <c r="AC157" s="14">
        <f t="shared" si="41"/>
        <v>7.7870000000000001E-4</v>
      </c>
      <c r="AD157" s="13">
        <f t="shared" si="42"/>
        <v>2.5999999999999999E-2</v>
      </c>
      <c r="AE157" s="13">
        <v>0.68300000000000005</v>
      </c>
      <c r="AF157" s="10">
        <v>4.29</v>
      </c>
      <c r="AG157" s="10">
        <v>3.17</v>
      </c>
      <c r="AH157" s="15">
        <v>5.9900000000000002E-2</v>
      </c>
      <c r="AI157" s="10">
        <f t="shared" si="40"/>
        <v>7.46</v>
      </c>
      <c r="AJ157" s="10">
        <v>0.02</v>
      </c>
      <c r="AK157" s="10">
        <v>10</v>
      </c>
      <c r="AL157" s="10">
        <v>0</v>
      </c>
      <c r="AM157" s="16">
        <v>40</v>
      </c>
      <c r="AN157" s="16">
        <v>40</v>
      </c>
      <c r="AO157" s="16">
        <v>2604.04</v>
      </c>
      <c r="AP157" s="10">
        <v>195.98199600000001</v>
      </c>
      <c r="AQ157" s="16">
        <v>42.3</v>
      </c>
      <c r="AR157" s="16">
        <v>2604.04</v>
      </c>
      <c r="AS157" s="10">
        <v>7.85</v>
      </c>
      <c r="AT157" s="13">
        <v>0</v>
      </c>
      <c r="AU157" s="10">
        <v>6.73</v>
      </c>
      <c r="AV157" s="17">
        <f t="shared" si="39"/>
        <v>27539.005579978744</v>
      </c>
      <c r="AW157" s="17">
        <v>11590.594731972753</v>
      </c>
      <c r="AX157" s="17">
        <v>10501.133806419955</v>
      </c>
      <c r="AY157" s="17">
        <v>5447.277041586035</v>
      </c>
      <c r="BA157" s="18"/>
      <c r="BC157" s="19"/>
      <c r="BD157" s="19"/>
      <c r="BE157" s="19"/>
      <c r="BF157" s="19"/>
      <c r="BG157" s="19"/>
      <c r="BI157" s="16">
        <f t="shared" si="29"/>
        <v>0</v>
      </c>
      <c r="BJ157" s="16">
        <f t="shared" si="30"/>
        <v>0</v>
      </c>
      <c r="BK157" s="16">
        <f t="shared" si="31"/>
        <v>2702.7899999999995</v>
      </c>
      <c r="BL157" s="16">
        <f t="shared" si="32"/>
        <v>2702.7899999999995</v>
      </c>
      <c r="BM157" s="16">
        <f t="shared" si="33"/>
        <v>2702.7899999999995</v>
      </c>
      <c r="BN157" s="16">
        <f t="shared" si="34"/>
        <v>2702.7899999999995</v>
      </c>
      <c r="BO157" s="16">
        <f t="shared" si="35"/>
        <v>2702.7899999999995</v>
      </c>
      <c r="BP157" s="16">
        <f t="shared" si="36"/>
        <v>0</v>
      </c>
    </row>
    <row r="158" spans="1:68" ht="12" customHeight="1" x14ac:dyDescent="0.25">
      <c r="A158" s="5">
        <f t="shared" si="37"/>
        <v>154</v>
      </c>
      <c r="B158" s="6" t="s">
        <v>238</v>
      </c>
      <c r="C158" s="7">
        <f t="shared" si="38"/>
        <v>2709.6</v>
      </c>
      <c r="D158" s="8">
        <v>2709.6</v>
      </c>
      <c r="E158" s="8">
        <v>0</v>
      </c>
      <c r="F158" s="8">
        <v>294.8</v>
      </c>
      <c r="G158" s="9">
        <v>0</v>
      </c>
      <c r="H158" s="9">
        <v>0</v>
      </c>
      <c r="I158" s="9">
        <v>0</v>
      </c>
      <c r="J158" s="9">
        <v>0</v>
      </c>
      <c r="K158" s="9" t="s">
        <v>83</v>
      </c>
      <c r="L158" s="10" t="s">
        <v>71</v>
      </c>
      <c r="M158" s="10">
        <v>0</v>
      </c>
      <c r="N158" s="10" t="s">
        <v>72</v>
      </c>
      <c r="O158" s="10" t="s">
        <v>72</v>
      </c>
      <c r="P158" s="5" t="s">
        <v>73</v>
      </c>
      <c r="Q158" s="11">
        <v>5</v>
      </c>
      <c r="R158" s="12">
        <v>32.21</v>
      </c>
      <c r="S158" s="10">
        <v>4.68</v>
      </c>
      <c r="T158" s="10">
        <v>6.05</v>
      </c>
      <c r="U158" s="10">
        <v>10.35</v>
      </c>
      <c r="V158" s="10">
        <v>6.34</v>
      </c>
      <c r="W158" s="10">
        <v>2.89</v>
      </c>
      <c r="X158" s="10">
        <v>1.66</v>
      </c>
      <c r="Y158" s="10">
        <v>0</v>
      </c>
      <c r="Z158" s="10">
        <v>0.24</v>
      </c>
      <c r="AA158" s="13">
        <v>1.2999999999999999E-2</v>
      </c>
      <c r="AB158" s="13">
        <v>1.2999999999999999E-2</v>
      </c>
      <c r="AC158" s="14">
        <f t="shared" si="41"/>
        <v>7.7870000000000001E-4</v>
      </c>
      <c r="AD158" s="13">
        <f t="shared" si="42"/>
        <v>2.5999999999999999E-2</v>
      </c>
      <c r="AE158" s="13">
        <v>0.68300000000000005</v>
      </c>
      <c r="AF158" s="10">
        <v>4.29</v>
      </c>
      <c r="AG158" s="10">
        <v>3.17</v>
      </c>
      <c r="AH158" s="15">
        <v>5.9900000000000002E-2</v>
      </c>
      <c r="AI158" s="10">
        <f t="shared" si="40"/>
        <v>7.46</v>
      </c>
      <c r="AJ158" s="10">
        <v>0.02</v>
      </c>
      <c r="AK158" s="10">
        <v>10</v>
      </c>
      <c r="AL158" s="10">
        <v>0</v>
      </c>
      <c r="AM158" s="16">
        <v>40</v>
      </c>
      <c r="AN158" s="16">
        <v>40</v>
      </c>
      <c r="AO158" s="16">
        <v>2604.04</v>
      </c>
      <c r="AP158" s="10">
        <v>195.98199600000001</v>
      </c>
      <c r="AQ158" s="16">
        <v>42.3</v>
      </c>
      <c r="AR158" s="16">
        <v>2604.04</v>
      </c>
      <c r="AS158" s="10">
        <v>7.85</v>
      </c>
      <c r="AT158" s="13">
        <v>0</v>
      </c>
      <c r="AU158" s="10">
        <v>6.73</v>
      </c>
      <c r="AV158" s="17">
        <f t="shared" si="39"/>
        <v>27599.198620253122</v>
      </c>
      <c r="AW158" s="17">
        <v>11615.932636414556</v>
      </c>
      <c r="AX158" s="17">
        <v>10524.085506469582</v>
      </c>
      <c r="AY158" s="17">
        <v>5459.1804773689846</v>
      </c>
      <c r="BA158" s="18"/>
      <c r="BC158" s="19"/>
      <c r="BD158" s="19"/>
      <c r="BE158" s="19"/>
      <c r="BF158" s="19"/>
      <c r="BG158" s="19"/>
      <c r="BI158" s="16">
        <f t="shared" si="29"/>
        <v>0</v>
      </c>
      <c r="BJ158" s="16">
        <f t="shared" si="30"/>
        <v>0</v>
      </c>
      <c r="BK158" s="16">
        <f t="shared" si="31"/>
        <v>2709.6</v>
      </c>
      <c r="BL158" s="16">
        <f t="shared" si="32"/>
        <v>2709.6</v>
      </c>
      <c r="BM158" s="16">
        <f t="shared" si="33"/>
        <v>2709.6</v>
      </c>
      <c r="BN158" s="16">
        <f t="shared" si="34"/>
        <v>2709.6</v>
      </c>
      <c r="BO158" s="16">
        <f t="shared" si="35"/>
        <v>2709.6</v>
      </c>
      <c r="BP158" s="16">
        <f t="shared" si="36"/>
        <v>0</v>
      </c>
    </row>
    <row r="159" spans="1:68" ht="12" customHeight="1" x14ac:dyDescent="0.25">
      <c r="A159" s="5">
        <f t="shared" si="37"/>
        <v>155</v>
      </c>
      <c r="B159" s="6" t="s">
        <v>239</v>
      </c>
      <c r="C159" s="7">
        <f t="shared" si="38"/>
        <v>3377.3</v>
      </c>
      <c r="D159" s="8">
        <v>3377.3</v>
      </c>
      <c r="E159" s="8">
        <v>0</v>
      </c>
      <c r="F159" s="8">
        <v>297.8</v>
      </c>
      <c r="G159" s="9">
        <v>0</v>
      </c>
      <c r="H159" s="9">
        <v>0</v>
      </c>
      <c r="I159" s="9">
        <v>0</v>
      </c>
      <c r="J159" s="9">
        <v>0</v>
      </c>
      <c r="K159" s="9" t="s">
        <v>83</v>
      </c>
      <c r="L159" s="10" t="s">
        <v>71</v>
      </c>
      <c r="M159" s="10">
        <v>0</v>
      </c>
      <c r="N159" s="10" t="s">
        <v>72</v>
      </c>
      <c r="O159" s="10" t="s">
        <v>72</v>
      </c>
      <c r="P159" s="5" t="s">
        <v>73</v>
      </c>
      <c r="Q159" s="11">
        <v>7</v>
      </c>
      <c r="R159" s="12">
        <v>28.44</v>
      </c>
      <c r="S159" s="10">
        <v>4.68</v>
      </c>
      <c r="T159" s="10">
        <v>6.05</v>
      </c>
      <c r="U159" s="10">
        <v>8.24</v>
      </c>
      <c r="V159" s="10">
        <v>6.34</v>
      </c>
      <c r="W159" s="10">
        <v>2.89</v>
      </c>
      <c r="X159" s="10">
        <v>0</v>
      </c>
      <c r="Y159" s="10">
        <v>0</v>
      </c>
      <c r="Z159" s="10">
        <v>0.24</v>
      </c>
      <c r="AA159" s="13">
        <v>1.2999999999999999E-2</v>
      </c>
      <c r="AB159" s="13">
        <v>1.2999999999999999E-2</v>
      </c>
      <c r="AC159" s="14">
        <f t="shared" si="41"/>
        <v>7.7870000000000001E-4</v>
      </c>
      <c r="AD159" s="13">
        <f t="shared" si="42"/>
        <v>2.5999999999999999E-2</v>
      </c>
      <c r="AE159" s="13">
        <v>0.68300000000000005</v>
      </c>
      <c r="AF159" s="10">
        <v>4.29</v>
      </c>
      <c r="AG159" s="10">
        <v>3.17</v>
      </c>
      <c r="AH159" s="15">
        <v>5.9900000000000002E-2</v>
      </c>
      <c r="AI159" s="10">
        <f t="shared" si="40"/>
        <v>7.46</v>
      </c>
      <c r="AJ159" s="10">
        <v>0.02</v>
      </c>
      <c r="AK159" s="10">
        <v>10</v>
      </c>
      <c r="AL159" s="10">
        <v>0</v>
      </c>
      <c r="AM159" s="16">
        <v>40</v>
      </c>
      <c r="AN159" s="16">
        <v>40</v>
      </c>
      <c r="AO159" s="16">
        <v>2604.04</v>
      </c>
      <c r="AP159" s="10">
        <v>195.98199600000001</v>
      </c>
      <c r="AQ159" s="16">
        <v>42.3</v>
      </c>
      <c r="AR159" s="16">
        <v>2604.04</v>
      </c>
      <c r="AS159" s="10">
        <v>7.85</v>
      </c>
      <c r="AT159" s="13">
        <v>0</v>
      </c>
      <c r="AU159" s="10">
        <v>6.73</v>
      </c>
      <c r="AV159" s="17">
        <f t="shared" si="39"/>
        <v>28398.163298963853</v>
      </c>
      <c r="AW159" s="17">
        <v>14899.308500785652</v>
      </c>
      <c r="AX159" s="17">
        <v>13498.854798178201</v>
      </c>
      <c r="AY159" s="17">
        <v>0</v>
      </c>
      <c r="BA159" s="18"/>
      <c r="BC159" s="19"/>
      <c r="BD159" s="19"/>
      <c r="BE159" s="19"/>
      <c r="BF159" s="19"/>
      <c r="BG159" s="19"/>
      <c r="BI159" s="16">
        <f t="shared" si="29"/>
        <v>0</v>
      </c>
      <c r="BJ159" s="16">
        <f t="shared" si="30"/>
        <v>0</v>
      </c>
      <c r="BK159" s="16">
        <f t="shared" si="31"/>
        <v>3377.3</v>
      </c>
      <c r="BL159" s="16">
        <f t="shared" si="32"/>
        <v>3377.3</v>
      </c>
      <c r="BM159" s="16">
        <f t="shared" si="33"/>
        <v>3377.3</v>
      </c>
      <c r="BN159" s="16">
        <f t="shared" si="34"/>
        <v>3377.3</v>
      </c>
      <c r="BO159" s="16">
        <f t="shared" si="35"/>
        <v>3377.3</v>
      </c>
      <c r="BP159" s="16">
        <f t="shared" si="36"/>
        <v>0</v>
      </c>
    </row>
    <row r="160" spans="1:68" ht="12" customHeight="1" x14ac:dyDescent="0.25">
      <c r="A160" s="5">
        <f t="shared" si="37"/>
        <v>156</v>
      </c>
      <c r="B160" s="6" t="s">
        <v>240</v>
      </c>
      <c r="C160" s="7">
        <f t="shared" si="38"/>
        <v>3351.3</v>
      </c>
      <c r="D160" s="8">
        <v>3351.3</v>
      </c>
      <c r="E160" s="8">
        <v>0</v>
      </c>
      <c r="F160" s="8">
        <v>279.2</v>
      </c>
      <c r="G160" s="9">
        <v>0</v>
      </c>
      <c r="H160" s="9">
        <v>0</v>
      </c>
      <c r="I160" s="9">
        <v>0</v>
      </c>
      <c r="J160" s="9">
        <v>0</v>
      </c>
      <c r="K160" s="9" t="s">
        <v>71</v>
      </c>
      <c r="L160" s="10" t="s">
        <v>71</v>
      </c>
      <c r="M160" s="10">
        <v>0</v>
      </c>
      <c r="N160" s="10" t="s">
        <v>72</v>
      </c>
      <c r="O160" s="10" t="s">
        <v>72</v>
      </c>
      <c r="P160" s="5" t="s">
        <v>73</v>
      </c>
      <c r="Q160" s="11">
        <v>7</v>
      </c>
      <c r="R160" s="12">
        <v>28.44</v>
      </c>
      <c r="S160" s="10">
        <v>4.68</v>
      </c>
      <c r="T160" s="10">
        <v>6.05</v>
      </c>
      <c r="U160" s="10">
        <v>8.24</v>
      </c>
      <c r="V160" s="10">
        <v>6.34</v>
      </c>
      <c r="W160" s="10">
        <v>2.89</v>
      </c>
      <c r="X160" s="10">
        <v>0</v>
      </c>
      <c r="Y160" s="10">
        <v>0</v>
      </c>
      <c r="Z160" s="10">
        <v>0.24</v>
      </c>
      <c r="AA160" s="13">
        <v>1.2999999999999999E-2</v>
      </c>
      <c r="AB160" s="13">
        <v>1.2999999999999999E-2</v>
      </c>
      <c r="AC160" s="14">
        <f t="shared" si="41"/>
        <v>7.7870000000000001E-4</v>
      </c>
      <c r="AD160" s="13">
        <f t="shared" si="42"/>
        <v>2.5999999999999999E-2</v>
      </c>
      <c r="AE160" s="13">
        <v>0.68300000000000005</v>
      </c>
      <c r="AF160" s="10">
        <v>4.29</v>
      </c>
      <c r="AG160" s="10">
        <v>3.17</v>
      </c>
      <c r="AH160" s="15">
        <v>5.9900000000000002E-2</v>
      </c>
      <c r="AI160" s="10">
        <f t="shared" si="40"/>
        <v>7.46</v>
      </c>
      <c r="AJ160" s="10">
        <v>0.02</v>
      </c>
      <c r="AK160" s="10">
        <v>10</v>
      </c>
      <c r="AL160" s="10">
        <v>0</v>
      </c>
      <c r="AM160" s="16">
        <v>40</v>
      </c>
      <c r="AN160" s="16">
        <v>40</v>
      </c>
      <c r="AO160" s="16">
        <v>2604.04</v>
      </c>
      <c r="AP160" s="10">
        <v>195.98199600000001</v>
      </c>
      <c r="AQ160" s="16">
        <v>42.3</v>
      </c>
      <c r="AR160" s="16">
        <v>2604.04</v>
      </c>
      <c r="AS160" s="10">
        <v>7.85</v>
      </c>
      <c r="AT160" s="13">
        <v>0</v>
      </c>
      <c r="AU160" s="10">
        <v>6.73</v>
      </c>
      <c r="AV160" s="17">
        <f t="shared" si="39"/>
        <v>27391.502286510768</v>
      </c>
      <c r="AW160" s="17">
        <v>14371.157330953756</v>
      </c>
      <c r="AX160" s="17">
        <v>13020.344955557011</v>
      </c>
      <c r="AY160" s="17">
        <v>0</v>
      </c>
      <c r="BA160" s="18"/>
      <c r="BC160" s="19"/>
      <c r="BD160" s="19" t="s">
        <v>87</v>
      </c>
      <c r="BE160" s="19" t="s">
        <v>87</v>
      </c>
      <c r="BF160" s="19"/>
      <c r="BG160" s="19" t="s">
        <v>87</v>
      </c>
      <c r="BI160" s="16">
        <f t="shared" si="29"/>
        <v>0</v>
      </c>
      <c r="BJ160" s="16">
        <f t="shared" si="30"/>
        <v>0</v>
      </c>
      <c r="BK160" s="16">
        <f t="shared" si="31"/>
        <v>3351.3</v>
      </c>
      <c r="BL160" s="16">
        <f t="shared" si="32"/>
        <v>3351.3</v>
      </c>
      <c r="BM160" s="16">
        <f t="shared" si="33"/>
        <v>3351.3</v>
      </c>
      <c r="BN160" s="16">
        <f t="shared" si="34"/>
        <v>3351.3</v>
      </c>
      <c r="BO160" s="16">
        <f t="shared" si="35"/>
        <v>3351.3</v>
      </c>
      <c r="BP160" s="16">
        <f t="shared" si="36"/>
        <v>0</v>
      </c>
    </row>
    <row r="161" spans="1:68" ht="12" customHeight="1" x14ac:dyDescent="0.25">
      <c r="A161" s="5">
        <f t="shared" si="37"/>
        <v>157</v>
      </c>
      <c r="B161" s="6" t="s">
        <v>241</v>
      </c>
      <c r="C161" s="7">
        <f t="shared" si="38"/>
        <v>3357.8</v>
      </c>
      <c r="D161" s="8">
        <v>3357.8</v>
      </c>
      <c r="E161" s="8">
        <v>0</v>
      </c>
      <c r="F161" s="8">
        <v>279.2</v>
      </c>
      <c r="G161" s="9">
        <v>0</v>
      </c>
      <c r="H161" s="9">
        <v>0</v>
      </c>
      <c r="I161" s="9">
        <v>0</v>
      </c>
      <c r="J161" s="9">
        <v>0</v>
      </c>
      <c r="K161" s="9" t="s">
        <v>71</v>
      </c>
      <c r="L161" s="10" t="s">
        <v>71</v>
      </c>
      <c r="M161" s="10">
        <v>0</v>
      </c>
      <c r="N161" s="10" t="s">
        <v>72</v>
      </c>
      <c r="O161" s="10" t="s">
        <v>72</v>
      </c>
      <c r="P161" s="5" t="s">
        <v>73</v>
      </c>
      <c r="Q161" s="11">
        <v>7</v>
      </c>
      <c r="R161" s="12">
        <v>28.44</v>
      </c>
      <c r="S161" s="10">
        <v>4.68</v>
      </c>
      <c r="T161" s="10">
        <v>6.05</v>
      </c>
      <c r="U161" s="10">
        <v>8.24</v>
      </c>
      <c r="V161" s="10">
        <v>6.34</v>
      </c>
      <c r="W161" s="10">
        <v>2.89</v>
      </c>
      <c r="X161" s="10">
        <v>0</v>
      </c>
      <c r="Y161" s="10">
        <v>0</v>
      </c>
      <c r="Z161" s="10">
        <v>0.24</v>
      </c>
      <c r="AA161" s="13">
        <v>1.2999999999999999E-2</v>
      </c>
      <c r="AB161" s="13">
        <v>1.2999999999999999E-2</v>
      </c>
      <c r="AC161" s="14">
        <f t="shared" si="41"/>
        <v>7.7870000000000001E-4</v>
      </c>
      <c r="AD161" s="13">
        <f t="shared" si="42"/>
        <v>2.5999999999999999E-2</v>
      </c>
      <c r="AE161" s="13">
        <v>0.68300000000000005</v>
      </c>
      <c r="AF161" s="10">
        <v>4.29</v>
      </c>
      <c r="AG161" s="10">
        <v>3.17</v>
      </c>
      <c r="AH161" s="15">
        <v>5.9900000000000002E-2</v>
      </c>
      <c r="AI161" s="10">
        <f t="shared" si="40"/>
        <v>7.46</v>
      </c>
      <c r="AJ161" s="10">
        <v>0.02</v>
      </c>
      <c r="AK161" s="10">
        <v>10</v>
      </c>
      <c r="AL161" s="10">
        <v>0</v>
      </c>
      <c r="AM161" s="16">
        <v>40</v>
      </c>
      <c r="AN161" s="16">
        <v>40</v>
      </c>
      <c r="AO161" s="16">
        <v>2604.04</v>
      </c>
      <c r="AP161" s="10">
        <v>195.98199600000001</v>
      </c>
      <c r="AQ161" s="16">
        <v>42.3</v>
      </c>
      <c r="AR161" s="16">
        <v>2604.04</v>
      </c>
      <c r="AS161" s="10">
        <v>7.85</v>
      </c>
      <c r="AT161" s="13">
        <v>0</v>
      </c>
      <c r="AU161" s="10">
        <v>6.73</v>
      </c>
      <c r="AV161" s="17">
        <f t="shared" si="39"/>
        <v>27360.467836323471</v>
      </c>
      <c r="AW161" s="17">
        <v>14354.867692877669</v>
      </c>
      <c r="AX161" s="17">
        <v>13005.600143445799</v>
      </c>
      <c r="AY161" s="17">
        <v>0</v>
      </c>
      <c r="BA161" s="18"/>
      <c r="BC161" s="19"/>
      <c r="BD161" s="19" t="s">
        <v>87</v>
      </c>
      <c r="BE161" s="19" t="s">
        <v>87</v>
      </c>
      <c r="BF161" s="19"/>
      <c r="BG161" s="19" t="s">
        <v>87</v>
      </c>
      <c r="BI161" s="16">
        <f t="shared" si="29"/>
        <v>0</v>
      </c>
      <c r="BJ161" s="16">
        <f t="shared" si="30"/>
        <v>0</v>
      </c>
      <c r="BK161" s="16">
        <f t="shared" si="31"/>
        <v>3357.8</v>
      </c>
      <c r="BL161" s="16">
        <f t="shared" si="32"/>
        <v>3357.8</v>
      </c>
      <c r="BM161" s="16">
        <f t="shared" si="33"/>
        <v>3357.8</v>
      </c>
      <c r="BN161" s="16">
        <f t="shared" si="34"/>
        <v>3357.8</v>
      </c>
      <c r="BO161" s="16">
        <f t="shared" si="35"/>
        <v>3357.8</v>
      </c>
      <c r="BP161" s="16">
        <f t="shared" si="36"/>
        <v>0</v>
      </c>
    </row>
    <row r="162" spans="1:68" ht="12" customHeight="1" x14ac:dyDescent="0.25">
      <c r="A162" s="5">
        <f t="shared" si="37"/>
        <v>158</v>
      </c>
      <c r="B162" s="6" t="s">
        <v>242</v>
      </c>
      <c r="C162" s="7">
        <f t="shared" si="38"/>
        <v>4948.74</v>
      </c>
      <c r="D162" s="8">
        <v>4641.3</v>
      </c>
      <c r="E162" s="8">
        <v>307.44</v>
      </c>
      <c r="F162" s="8">
        <v>379.6</v>
      </c>
      <c r="G162" s="9">
        <v>3</v>
      </c>
      <c r="H162" s="9">
        <v>0</v>
      </c>
      <c r="I162" s="9">
        <v>400</v>
      </c>
      <c r="J162" s="9">
        <v>0</v>
      </c>
      <c r="K162" s="9" t="s">
        <v>71</v>
      </c>
      <c r="L162" s="10" t="s">
        <v>71</v>
      </c>
      <c r="M162" s="10">
        <v>0</v>
      </c>
      <c r="N162" s="10" t="s">
        <v>72</v>
      </c>
      <c r="O162" s="10" t="s">
        <v>72</v>
      </c>
      <c r="P162" s="5" t="s">
        <v>73</v>
      </c>
      <c r="Q162" s="11">
        <v>1</v>
      </c>
      <c r="R162" s="12">
        <v>41.1</v>
      </c>
      <c r="S162" s="10">
        <v>4.68</v>
      </c>
      <c r="T162" s="10">
        <v>7.92</v>
      </c>
      <c r="U162" s="10">
        <v>12.32</v>
      </c>
      <c r="V162" s="10">
        <v>6.34</v>
      </c>
      <c r="W162" s="10">
        <v>2.89</v>
      </c>
      <c r="X162" s="10">
        <v>1.66</v>
      </c>
      <c r="Y162" s="10">
        <v>5.29</v>
      </c>
      <c r="Z162" s="10">
        <v>0</v>
      </c>
      <c r="AA162" s="13">
        <v>1.2E-2</v>
      </c>
      <c r="AB162" s="13">
        <v>1.2E-2</v>
      </c>
      <c r="AC162" s="14">
        <f t="shared" si="41"/>
        <v>7.1880000000000002E-4</v>
      </c>
      <c r="AD162" s="13">
        <f t="shared" si="42"/>
        <v>2.4E-2</v>
      </c>
      <c r="AE162" s="13">
        <v>3.23</v>
      </c>
      <c r="AF162" s="10">
        <v>4.29</v>
      </c>
      <c r="AG162" s="10">
        <v>3.17</v>
      </c>
      <c r="AH162" s="15">
        <v>5.9900000000000002E-2</v>
      </c>
      <c r="AI162" s="10">
        <f t="shared" si="40"/>
        <v>7.46</v>
      </c>
      <c r="AJ162" s="10">
        <v>0.02</v>
      </c>
      <c r="AK162" s="13">
        <v>0</v>
      </c>
      <c r="AL162" s="10">
        <v>0</v>
      </c>
      <c r="AM162" s="16">
        <v>40</v>
      </c>
      <c r="AN162" s="16">
        <v>40</v>
      </c>
      <c r="AO162" s="16">
        <v>2604.04</v>
      </c>
      <c r="AP162" s="10">
        <v>195.98199600000001</v>
      </c>
      <c r="AQ162" s="16">
        <v>42.3</v>
      </c>
      <c r="AR162" s="16">
        <v>2604.04</v>
      </c>
      <c r="AS162" s="10">
        <v>0</v>
      </c>
      <c r="AT162" s="13">
        <v>0</v>
      </c>
      <c r="AU162" s="10">
        <v>5.05</v>
      </c>
      <c r="AV162" s="17">
        <f t="shared" si="39"/>
        <v>50404.416064996265</v>
      </c>
      <c r="AW162" s="17">
        <v>21214.170838718772</v>
      </c>
      <c r="AX162" s="17">
        <v>19220.145345284607</v>
      </c>
      <c r="AY162" s="17">
        <v>9970.099880992886</v>
      </c>
      <c r="BA162" s="18"/>
      <c r="BC162" s="19"/>
      <c r="BD162" s="19" t="s">
        <v>87</v>
      </c>
      <c r="BE162" s="19" t="s">
        <v>87</v>
      </c>
      <c r="BF162" s="19"/>
      <c r="BG162" s="19" t="s">
        <v>87</v>
      </c>
      <c r="BI162" s="16">
        <f t="shared" si="29"/>
        <v>4948.74</v>
      </c>
      <c r="BJ162" s="16">
        <f t="shared" si="30"/>
        <v>0</v>
      </c>
      <c r="BK162" s="16">
        <f t="shared" si="31"/>
        <v>4948.74</v>
      </c>
      <c r="BL162" s="16">
        <f t="shared" si="32"/>
        <v>4948.74</v>
      </c>
      <c r="BM162" s="16">
        <f t="shared" si="33"/>
        <v>4948.74</v>
      </c>
      <c r="BN162" s="16">
        <f t="shared" si="34"/>
        <v>4948.74</v>
      </c>
      <c r="BO162" s="16">
        <f t="shared" si="35"/>
        <v>0</v>
      </c>
      <c r="BP162" s="16">
        <f t="shared" si="36"/>
        <v>4948.74</v>
      </c>
    </row>
    <row r="163" spans="1:68" ht="12" customHeight="1" x14ac:dyDescent="0.25">
      <c r="A163" s="5">
        <f t="shared" si="37"/>
        <v>159</v>
      </c>
      <c r="B163" s="6" t="s">
        <v>243</v>
      </c>
      <c r="C163" s="7">
        <f t="shared" si="38"/>
        <v>2466.6</v>
      </c>
      <c r="D163" s="8">
        <v>2466.6</v>
      </c>
      <c r="E163" s="8">
        <v>0</v>
      </c>
      <c r="F163" s="8">
        <v>283.8</v>
      </c>
      <c r="G163" s="9">
        <v>0</v>
      </c>
      <c r="H163" s="9">
        <v>0</v>
      </c>
      <c r="I163" s="9">
        <v>0</v>
      </c>
      <c r="J163" s="9">
        <v>0</v>
      </c>
      <c r="K163" s="9" t="s">
        <v>83</v>
      </c>
      <c r="L163" s="10" t="s">
        <v>71</v>
      </c>
      <c r="M163" s="10">
        <v>0</v>
      </c>
      <c r="N163" s="10" t="s">
        <v>72</v>
      </c>
      <c r="O163" s="10" t="s">
        <v>72</v>
      </c>
      <c r="P163" s="5" t="s">
        <v>73</v>
      </c>
      <c r="Q163" s="11">
        <v>7</v>
      </c>
      <c r="R163" s="12">
        <v>28.44</v>
      </c>
      <c r="S163" s="10">
        <v>4.68</v>
      </c>
      <c r="T163" s="10">
        <v>6.05</v>
      </c>
      <c r="U163" s="10">
        <v>8.24</v>
      </c>
      <c r="V163" s="10">
        <v>6.34</v>
      </c>
      <c r="W163" s="10">
        <v>2.89</v>
      </c>
      <c r="X163" s="10">
        <v>0</v>
      </c>
      <c r="Y163" s="10">
        <v>0</v>
      </c>
      <c r="Z163" s="10">
        <v>0.24</v>
      </c>
      <c r="AA163" s="13">
        <v>1.2999999999999999E-2</v>
      </c>
      <c r="AB163" s="13">
        <v>1.2999999999999999E-2</v>
      </c>
      <c r="AC163" s="14">
        <f t="shared" si="41"/>
        <v>7.7870000000000001E-4</v>
      </c>
      <c r="AD163" s="13">
        <f t="shared" si="42"/>
        <v>2.5999999999999999E-2</v>
      </c>
      <c r="AE163" s="13">
        <v>0.68300000000000005</v>
      </c>
      <c r="AF163" s="10">
        <v>4.29</v>
      </c>
      <c r="AG163" s="10">
        <v>3.17</v>
      </c>
      <c r="AH163" s="15">
        <v>5.9900000000000002E-2</v>
      </c>
      <c r="AI163" s="10">
        <f t="shared" si="40"/>
        <v>7.46</v>
      </c>
      <c r="AJ163" s="10">
        <v>0.02</v>
      </c>
      <c r="AK163" s="10">
        <v>10</v>
      </c>
      <c r="AL163" s="10">
        <v>0</v>
      </c>
      <c r="AM163" s="16">
        <v>40</v>
      </c>
      <c r="AN163" s="16">
        <v>40</v>
      </c>
      <c r="AO163" s="16">
        <v>2604.04</v>
      </c>
      <c r="AP163" s="10">
        <v>195.98199600000001</v>
      </c>
      <c r="AQ163" s="16">
        <v>42.3</v>
      </c>
      <c r="AR163" s="16">
        <v>2604.04</v>
      </c>
      <c r="AS163" s="10">
        <v>7.85</v>
      </c>
      <c r="AT163" s="13">
        <v>0</v>
      </c>
      <c r="AU163" s="10">
        <v>6.73</v>
      </c>
      <c r="AV163" s="17">
        <f t="shared" si="39"/>
        <v>20074.39272459564</v>
      </c>
      <c r="AW163" s="17">
        <v>10532.182049696225</v>
      </c>
      <c r="AX163" s="17">
        <v>9542.2106748994156</v>
      </c>
      <c r="AY163" s="17">
        <v>0</v>
      </c>
      <c r="BA163" s="18"/>
      <c r="BC163" s="19"/>
      <c r="BD163" s="19"/>
      <c r="BE163" s="19"/>
      <c r="BF163" s="19"/>
      <c r="BG163" s="19"/>
      <c r="BI163" s="16">
        <f t="shared" si="29"/>
        <v>0</v>
      </c>
      <c r="BJ163" s="16">
        <f t="shared" si="30"/>
        <v>0</v>
      </c>
      <c r="BK163" s="16">
        <f t="shared" si="31"/>
        <v>2466.6</v>
      </c>
      <c r="BL163" s="16">
        <f t="shared" si="32"/>
        <v>2466.6</v>
      </c>
      <c r="BM163" s="16">
        <f t="shared" si="33"/>
        <v>2466.6</v>
      </c>
      <c r="BN163" s="16">
        <f t="shared" si="34"/>
        <v>2466.6</v>
      </c>
      <c r="BO163" s="16">
        <f t="shared" si="35"/>
        <v>2466.6</v>
      </c>
      <c r="BP163" s="16">
        <f t="shared" si="36"/>
        <v>0</v>
      </c>
    </row>
    <row r="164" spans="1:68" ht="12" customHeight="1" x14ac:dyDescent="0.25">
      <c r="A164" s="5">
        <f t="shared" si="37"/>
        <v>160</v>
      </c>
      <c r="B164" s="6" t="s">
        <v>244</v>
      </c>
      <c r="C164" s="7">
        <f t="shared" si="38"/>
        <v>2921.9300000000003</v>
      </c>
      <c r="D164" s="8">
        <v>1982.23</v>
      </c>
      <c r="E164" s="8">
        <v>939.7</v>
      </c>
      <c r="F164" s="8">
        <v>273.8</v>
      </c>
      <c r="G164" s="9">
        <v>0</v>
      </c>
      <c r="H164" s="9">
        <v>0</v>
      </c>
      <c r="I164" s="9">
        <v>0</v>
      </c>
      <c r="J164" s="9">
        <v>0</v>
      </c>
      <c r="K164" s="9" t="s">
        <v>83</v>
      </c>
      <c r="L164" s="10" t="s">
        <v>71</v>
      </c>
      <c r="M164" s="10">
        <v>0</v>
      </c>
      <c r="N164" s="10" t="s">
        <v>72</v>
      </c>
      <c r="O164" s="10" t="s">
        <v>72</v>
      </c>
      <c r="P164" s="5" t="s">
        <v>73</v>
      </c>
      <c r="Q164" s="11">
        <v>7</v>
      </c>
      <c r="R164" s="12">
        <v>28.44</v>
      </c>
      <c r="S164" s="10">
        <v>4.68</v>
      </c>
      <c r="T164" s="10">
        <v>6.05</v>
      </c>
      <c r="U164" s="10">
        <v>8.24</v>
      </c>
      <c r="V164" s="10">
        <v>6.34</v>
      </c>
      <c r="W164" s="10">
        <v>2.89</v>
      </c>
      <c r="X164" s="10">
        <v>0</v>
      </c>
      <c r="Y164" s="10">
        <v>0</v>
      </c>
      <c r="Z164" s="10">
        <v>0.24</v>
      </c>
      <c r="AA164" s="13">
        <v>1.2999999999999999E-2</v>
      </c>
      <c r="AB164" s="13">
        <v>1.2999999999999999E-2</v>
      </c>
      <c r="AC164" s="14">
        <f t="shared" si="41"/>
        <v>7.7870000000000001E-4</v>
      </c>
      <c r="AD164" s="13">
        <f t="shared" si="42"/>
        <v>2.5999999999999999E-2</v>
      </c>
      <c r="AE164" s="13">
        <v>0.68300000000000005</v>
      </c>
      <c r="AF164" s="10">
        <v>4.29</v>
      </c>
      <c r="AG164" s="10">
        <v>3.17</v>
      </c>
      <c r="AH164" s="15">
        <v>5.9900000000000002E-2</v>
      </c>
      <c r="AI164" s="10">
        <f t="shared" si="40"/>
        <v>7.46</v>
      </c>
      <c r="AJ164" s="10">
        <v>0.02</v>
      </c>
      <c r="AK164" s="10">
        <v>10</v>
      </c>
      <c r="AL164" s="10">
        <v>0</v>
      </c>
      <c r="AM164" s="16">
        <v>40</v>
      </c>
      <c r="AN164" s="16">
        <v>40</v>
      </c>
      <c r="AO164" s="16">
        <v>2604.04</v>
      </c>
      <c r="AP164" s="10">
        <v>195.98199600000001</v>
      </c>
      <c r="AQ164" s="16">
        <v>42.3</v>
      </c>
      <c r="AR164" s="16">
        <v>2604.04</v>
      </c>
      <c r="AS164" s="10">
        <v>7.85</v>
      </c>
      <c r="AT164" s="13">
        <v>0</v>
      </c>
      <c r="AU164" s="10">
        <v>6.73</v>
      </c>
      <c r="AV164" s="17">
        <f t="shared" si="39"/>
        <v>23725.823375099098</v>
      </c>
      <c r="AW164" s="17">
        <v>12447.931763213543</v>
      </c>
      <c r="AX164" s="17">
        <v>11277.891611885556</v>
      </c>
      <c r="AY164" s="17">
        <v>0</v>
      </c>
      <c r="BA164" s="18"/>
      <c r="BC164" s="19"/>
      <c r="BD164" s="19"/>
      <c r="BE164" s="19"/>
      <c r="BF164" s="19"/>
      <c r="BG164" s="19"/>
      <c r="BI164" s="16">
        <f t="shared" si="29"/>
        <v>0</v>
      </c>
      <c r="BJ164" s="16">
        <f t="shared" si="30"/>
        <v>0</v>
      </c>
      <c r="BK164" s="16">
        <f t="shared" si="31"/>
        <v>2921.9300000000003</v>
      </c>
      <c r="BL164" s="16">
        <f t="shared" si="32"/>
        <v>2921.9300000000003</v>
      </c>
      <c r="BM164" s="16">
        <f t="shared" si="33"/>
        <v>2921.9300000000003</v>
      </c>
      <c r="BN164" s="16">
        <f t="shared" si="34"/>
        <v>2921.9300000000003</v>
      </c>
      <c r="BO164" s="16">
        <f t="shared" si="35"/>
        <v>2921.9300000000003</v>
      </c>
      <c r="BP164" s="16">
        <f t="shared" si="36"/>
        <v>0</v>
      </c>
    </row>
    <row r="165" spans="1:68" ht="12" customHeight="1" x14ac:dyDescent="0.25">
      <c r="A165" s="5">
        <f t="shared" si="37"/>
        <v>161</v>
      </c>
      <c r="B165" s="6" t="s">
        <v>245</v>
      </c>
      <c r="C165" s="7">
        <f t="shared" si="38"/>
        <v>3423.1</v>
      </c>
      <c r="D165" s="8">
        <v>2691.7</v>
      </c>
      <c r="E165" s="8">
        <v>731.4</v>
      </c>
      <c r="F165" s="8">
        <v>366.3</v>
      </c>
      <c r="G165" s="9">
        <v>0</v>
      </c>
      <c r="H165" s="9">
        <v>0</v>
      </c>
      <c r="I165" s="9">
        <v>0</v>
      </c>
      <c r="J165" s="9">
        <v>0</v>
      </c>
      <c r="K165" s="9" t="s">
        <v>83</v>
      </c>
      <c r="L165" s="10" t="s">
        <v>71</v>
      </c>
      <c r="M165" s="10">
        <v>0</v>
      </c>
      <c r="N165" s="10" t="s">
        <v>72</v>
      </c>
      <c r="O165" s="10" t="s">
        <v>72</v>
      </c>
      <c r="P165" s="5" t="s">
        <v>73</v>
      </c>
      <c r="Q165" s="11">
        <v>7</v>
      </c>
      <c r="R165" s="12">
        <v>28.44</v>
      </c>
      <c r="S165" s="10">
        <v>4.68</v>
      </c>
      <c r="T165" s="10">
        <v>6.05</v>
      </c>
      <c r="U165" s="10">
        <v>8.24</v>
      </c>
      <c r="V165" s="10">
        <v>6.34</v>
      </c>
      <c r="W165" s="10">
        <v>2.89</v>
      </c>
      <c r="X165" s="10">
        <v>0</v>
      </c>
      <c r="Y165" s="10">
        <v>0</v>
      </c>
      <c r="Z165" s="10">
        <v>0.24</v>
      </c>
      <c r="AA165" s="13">
        <v>1.2999999999999999E-2</v>
      </c>
      <c r="AB165" s="13">
        <v>1.2999999999999999E-2</v>
      </c>
      <c r="AC165" s="14">
        <f t="shared" si="41"/>
        <v>7.7870000000000001E-4</v>
      </c>
      <c r="AD165" s="13">
        <f t="shared" si="42"/>
        <v>2.5999999999999999E-2</v>
      </c>
      <c r="AE165" s="13">
        <v>0.68300000000000005</v>
      </c>
      <c r="AF165" s="10">
        <v>4.29</v>
      </c>
      <c r="AG165" s="10">
        <v>3.17</v>
      </c>
      <c r="AH165" s="15">
        <v>5.9900000000000002E-2</v>
      </c>
      <c r="AI165" s="10">
        <f t="shared" si="40"/>
        <v>7.46</v>
      </c>
      <c r="AJ165" s="10">
        <v>0.02</v>
      </c>
      <c r="AK165" s="10">
        <v>10</v>
      </c>
      <c r="AL165" s="10">
        <v>0</v>
      </c>
      <c r="AM165" s="16">
        <v>40</v>
      </c>
      <c r="AN165" s="16">
        <v>40</v>
      </c>
      <c r="AO165" s="16">
        <v>2604.04</v>
      </c>
      <c r="AP165" s="10">
        <v>195.98199600000001</v>
      </c>
      <c r="AQ165" s="16">
        <v>42.3</v>
      </c>
      <c r="AR165" s="16">
        <v>2604.04</v>
      </c>
      <c r="AS165" s="10">
        <v>7.85</v>
      </c>
      <c r="AT165" s="13">
        <v>0</v>
      </c>
      <c r="AU165" s="10">
        <v>6.73</v>
      </c>
      <c r="AV165" s="17">
        <f t="shared" si="39"/>
        <v>27978.149946673468</v>
      </c>
      <c r="AW165" s="17">
        <v>14678.950111366876</v>
      </c>
      <c r="AX165" s="17">
        <v>13299.199835306594</v>
      </c>
      <c r="AY165" s="17">
        <v>0</v>
      </c>
      <c r="BA165" s="18"/>
      <c r="BC165" s="19"/>
      <c r="BD165" s="19"/>
      <c r="BE165" s="19"/>
      <c r="BF165" s="19"/>
      <c r="BG165" s="19"/>
      <c r="BI165" s="16">
        <f t="shared" si="29"/>
        <v>0</v>
      </c>
      <c r="BJ165" s="16">
        <f t="shared" si="30"/>
        <v>0</v>
      </c>
      <c r="BK165" s="16">
        <f t="shared" si="31"/>
        <v>3423.1</v>
      </c>
      <c r="BL165" s="16">
        <f t="shared" si="32"/>
        <v>3423.1</v>
      </c>
      <c r="BM165" s="16">
        <f t="shared" si="33"/>
        <v>3423.1</v>
      </c>
      <c r="BN165" s="16">
        <f t="shared" si="34"/>
        <v>3423.1</v>
      </c>
      <c r="BO165" s="16">
        <f t="shared" si="35"/>
        <v>3423.1</v>
      </c>
      <c r="BP165" s="16">
        <f t="shared" si="36"/>
        <v>0</v>
      </c>
    </row>
    <row r="166" spans="1:68" ht="12" customHeight="1" x14ac:dyDescent="0.25">
      <c r="A166" s="5">
        <f t="shared" si="37"/>
        <v>162</v>
      </c>
      <c r="B166" s="6" t="s">
        <v>246</v>
      </c>
      <c r="C166" s="7">
        <f t="shared" si="38"/>
        <v>4904.5600000000004</v>
      </c>
      <c r="D166" s="8">
        <v>4904.5600000000004</v>
      </c>
      <c r="E166" s="8">
        <v>0</v>
      </c>
      <c r="F166" s="8">
        <v>488.4</v>
      </c>
      <c r="G166" s="9">
        <v>0</v>
      </c>
      <c r="H166" s="9">
        <v>0</v>
      </c>
      <c r="I166" s="9">
        <v>0</v>
      </c>
      <c r="J166" s="9">
        <v>0</v>
      </c>
      <c r="K166" s="9" t="s">
        <v>83</v>
      </c>
      <c r="L166" s="10" t="s">
        <v>71</v>
      </c>
      <c r="M166" s="10">
        <v>0</v>
      </c>
      <c r="N166" s="10" t="s">
        <v>72</v>
      </c>
      <c r="O166" s="10" t="s">
        <v>72</v>
      </c>
      <c r="P166" s="5" t="s">
        <v>73</v>
      </c>
      <c r="Q166" s="11">
        <v>7</v>
      </c>
      <c r="R166" s="12">
        <v>28.44</v>
      </c>
      <c r="S166" s="10">
        <v>4.68</v>
      </c>
      <c r="T166" s="10">
        <v>6.05</v>
      </c>
      <c r="U166" s="10">
        <v>8.24</v>
      </c>
      <c r="V166" s="10">
        <v>6.34</v>
      </c>
      <c r="W166" s="10">
        <v>2.89</v>
      </c>
      <c r="X166" s="10">
        <v>0</v>
      </c>
      <c r="Y166" s="10">
        <v>0</v>
      </c>
      <c r="Z166" s="10">
        <v>0.24</v>
      </c>
      <c r="AA166" s="13">
        <v>1.2999999999999999E-2</v>
      </c>
      <c r="AB166" s="13">
        <v>1.2999999999999999E-2</v>
      </c>
      <c r="AC166" s="14">
        <f t="shared" si="41"/>
        <v>7.7870000000000001E-4</v>
      </c>
      <c r="AD166" s="13">
        <f t="shared" si="42"/>
        <v>2.5999999999999999E-2</v>
      </c>
      <c r="AE166" s="13">
        <v>0.68300000000000005</v>
      </c>
      <c r="AF166" s="10">
        <v>4.29</v>
      </c>
      <c r="AG166" s="10">
        <v>3.17</v>
      </c>
      <c r="AH166" s="15">
        <v>5.9900000000000002E-2</v>
      </c>
      <c r="AI166" s="10">
        <f t="shared" si="40"/>
        <v>7.46</v>
      </c>
      <c r="AJ166" s="10">
        <v>0.02</v>
      </c>
      <c r="AK166" s="10">
        <v>10</v>
      </c>
      <c r="AL166" s="10">
        <v>0</v>
      </c>
      <c r="AM166" s="16">
        <v>40</v>
      </c>
      <c r="AN166" s="16">
        <v>40</v>
      </c>
      <c r="AO166" s="16">
        <v>2604.04</v>
      </c>
      <c r="AP166" s="10">
        <v>195.98199600000001</v>
      </c>
      <c r="AQ166" s="16">
        <v>42.3</v>
      </c>
      <c r="AR166" s="16">
        <v>2604.04</v>
      </c>
      <c r="AS166" s="10">
        <v>7.85</v>
      </c>
      <c r="AT166" s="13">
        <v>0</v>
      </c>
      <c r="AU166" s="10">
        <v>6.73</v>
      </c>
      <c r="AV166" s="17">
        <f t="shared" si="39"/>
        <v>39909.420183168899</v>
      </c>
      <c r="AW166" s="17">
        <v>20938.778024301188</v>
      </c>
      <c r="AX166" s="17">
        <v>18970.642158867715</v>
      </c>
      <c r="AY166" s="17">
        <v>0</v>
      </c>
      <c r="BA166" s="18"/>
      <c r="BC166" s="19"/>
      <c r="BD166" s="19"/>
      <c r="BE166" s="19"/>
      <c r="BF166" s="19"/>
      <c r="BG166" s="19"/>
      <c r="BI166" s="16">
        <f t="shared" si="29"/>
        <v>0</v>
      </c>
      <c r="BJ166" s="16">
        <f t="shared" si="30"/>
        <v>0</v>
      </c>
      <c r="BK166" s="16">
        <f t="shared" si="31"/>
        <v>4904.5600000000004</v>
      </c>
      <c r="BL166" s="16">
        <f t="shared" si="32"/>
        <v>4904.5600000000004</v>
      </c>
      <c r="BM166" s="16">
        <f t="shared" si="33"/>
        <v>4904.5600000000004</v>
      </c>
      <c r="BN166" s="16">
        <f t="shared" si="34"/>
        <v>4904.5600000000004</v>
      </c>
      <c r="BO166" s="16">
        <f t="shared" si="35"/>
        <v>4904.5600000000004</v>
      </c>
      <c r="BP166" s="16">
        <f t="shared" si="36"/>
        <v>0</v>
      </c>
    </row>
    <row r="167" spans="1:68" ht="12" customHeight="1" x14ac:dyDescent="0.25">
      <c r="A167" s="5">
        <f t="shared" si="37"/>
        <v>163</v>
      </c>
      <c r="B167" s="6" t="s">
        <v>247</v>
      </c>
      <c r="C167" s="7">
        <f t="shared" si="38"/>
        <v>4886.43</v>
      </c>
      <c r="D167" s="8">
        <v>4886.43</v>
      </c>
      <c r="E167" s="8">
        <v>0</v>
      </c>
      <c r="F167" s="8">
        <v>451.5</v>
      </c>
      <c r="G167" s="9">
        <v>0</v>
      </c>
      <c r="H167" s="9">
        <v>0</v>
      </c>
      <c r="I167" s="9">
        <v>0</v>
      </c>
      <c r="J167" s="9">
        <v>0</v>
      </c>
      <c r="K167" s="9" t="s">
        <v>83</v>
      </c>
      <c r="L167" s="10" t="s">
        <v>71</v>
      </c>
      <c r="M167" s="10">
        <v>0</v>
      </c>
      <c r="N167" s="10" t="s">
        <v>72</v>
      </c>
      <c r="O167" s="10" t="s">
        <v>72</v>
      </c>
      <c r="P167" s="5" t="s">
        <v>73</v>
      </c>
      <c r="Q167" s="11">
        <v>7</v>
      </c>
      <c r="R167" s="12">
        <v>28.44</v>
      </c>
      <c r="S167" s="10">
        <v>4.68</v>
      </c>
      <c r="T167" s="10">
        <v>6.05</v>
      </c>
      <c r="U167" s="10">
        <v>8.24</v>
      </c>
      <c r="V167" s="10">
        <v>6.34</v>
      </c>
      <c r="W167" s="10">
        <v>2.89</v>
      </c>
      <c r="X167" s="10">
        <v>0</v>
      </c>
      <c r="Y167" s="10">
        <v>0</v>
      </c>
      <c r="Z167" s="10">
        <v>0.24</v>
      </c>
      <c r="AA167" s="13">
        <v>1.2999999999999999E-2</v>
      </c>
      <c r="AB167" s="13">
        <v>1.2999999999999999E-2</v>
      </c>
      <c r="AC167" s="14">
        <f t="shared" si="41"/>
        <v>7.7870000000000001E-4</v>
      </c>
      <c r="AD167" s="13">
        <f t="shared" si="42"/>
        <v>2.5999999999999999E-2</v>
      </c>
      <c r="AE167" s="13">
        <v>0.68300000000000005</v>
      </c>
      <c r="AF167" s="10">
        <v>4.29</v>
      </c>
      <c r="AG167" s="10">
        <v>3.17</v>
      </c>
      <c r="AH167" s="15">
        <v>5.9900000000000002E-2</v>
      </c>
      <c r="AI167" s="10">
        <f t="shared" si="40"/>
        <v>7.46</v>
      </c>
      <c r="AJ167" s="10">
        <v>0.02</v>
      </c>
      <c r="AK167" s="10">
        <v>10</v>
      </c>
      <c r="AL167" s="10">
        <v>0</v>
      </c>
      <c r="AM167" s="16">
        <v>40</v>
      </c>
      <c r="AN167" s="16">
        <v>40</v>
      </c>
      <c r="AO167" s="16">
        <v>2604.04</v>
      </c>
      <c r="AP167" s="10">
        <v>195.98199600000001</v>
      </c>
      <c r="AQ167" s="16">
        <v>42.3</v>
      </c>
      <c r="AR167" s="16">
        <v>2604.04</v>
      </c>
      <c r="AS167" s="10">
        <v>7.85</v>
      </c>
      <c r="AT167" s="13">
        <v>0</v>
      </c>
      <c r="AU167" s="10">
        <v>6.73</v>
      </c>
      <c r="AV167" s="17">
        <f t="shared" si="39"/>
        <v>39802.606502168717</v>
      </c>
      <c r="AW167" s="17">
        <v>20882.736703807419</v>
      </c>
      <c r="AX167" s="17">
        <v>18919.869798361298</v>
      </c>
      <c r="AY167" s="17">
        <v>0</v>
      </c>
      <c r="BA167" s="18"/>
      <c r="BC167" s="19"/>
      <c r="BD167" s="19"/>
      <c r="BE167" s="19"/>
      <c r="BF167" s="19"/>
      <c r="BG167" s="19"/>
      <c r="BI167" s="16">
        <f t="shared" si="29"/>
        <v>0</v>
      </c>
      <c r="BJ167" s="16">
        <f t="shared" si="30"/>
        <v>0</v>
      </c>
      <c r="BK167" s="16">
        <f t="shared" si="31"/>
        <v>4886.43</v>
      </c>
      <c r="BL167" s="16">
        <f t="shared" si="32"/>
        <v>4886.43</v>
      </c>
      <c r="BM167" s="16">
        <f t="shared" si="33"/>
        <v>4886.43</v>
      </c>
      <c r="BN167" s="16">
        <f t="shared" si="34"/>
        <v>4886.43</v>
      </c>
      <c r="BO167" s="16">
        <f t="shared" si="35"/>
        <v>4886.43</v>
      </c>
      <c r="BP167" s="16">
        <f t="shared" si="36"/>
        <v>0</v>
      </c>
    </row>
    <row r="168" spans="1:68" ht="12" customHeight="1" x14ac:dyDescent="0.25">
      <c r="A168" s="5">
        <f t="shared" si="37"/>
        <v>164</v>
      </c>
      <c r="B168" s="6" t="s">
        <v>248</v>
      </c>
      <c r="C168" s="7">
        <f t="shared" si="38"/>
        <v>586.91</v>
      </c>
      <c r="D168" s="8">
        <v>586.91</v>
      </c>
      <c r="E168" s="8">
        <v>0</v>
      </c>
      <c r="F168" s="8">
        <v>71.2</v>
      </c>
      <c r="G168" s="9">
        <v>0</v>
      </c>
      <c r="H168" s="9">
        <v>0</v>
      </c>
      <c r="I168" s="9">
        <v>0</v>
      </c>
      <c r="J168" s="9">
        <v>0</v>
      </c>
      <c r="K168" s="9" t="s">
        <v>71</v>
      </c>
      <c r="L168" s="10" t="s">
        <v>71</v>
      </c>
      <c r="M168" s="10">
        <v>0</v>
      </c>
      <c r="N168" s="10" t="s">
        <v>72</v>
      </c>
      <c r="O168" s="10" t="s">
        <v>72</v>
      </c>
      <c r="P168" s="5" t="s">
        <v>73</v>
      </c>
      <c r="Q168" s="11">
        <v>9</v>
      </c>
      <c r="R168" s="12">
        <v>22.98</v>
      </c>
      <c r="S168" s="10">
        <v>3.58</v>
      </c>
      <c r="T168" s="10">
        <v>4.67</v>
      </c>
      <c r="U168" s="10">
        <v>7.75</v>
      </c>
      <c r="V168" s="10">
        <v>4.5199999999999996</v>
      </c>
      <c r="W168" s="10">
        <v>2.2200000000000002</v>
      </c>
      <c r="X168" s="10">
        <v>0</v>
      </c>
      <c r="Y168" s="10">
        <v>0</v>
      </c>
      <c r="Z168" s="10">
        <v>0.24</v>
      </c>
      <c r="AA168" s="13">
        <v>0.01</v>
      </c>
      <c r="AB168" s="13">
        <v>0</v>
      </c>
      <c r="AC168" s="14">
        <f t="shared" si="41"/>
        <v>0</v>
      </c>
      <c r="AD168" s="13">
        <f t="shared" si="42"/>
        <v>0.01</v>
      </c>
      <c r="AE168" s="13">
        <v>0.68300000000000005</v>
      </c>
      <c r="AF168" s="10">
        <v>3.86</v>
      </c>
      <c r="AG168" s="13">
        <v>0</v>
      </c>
      <c r="AH168" s="13">
        <v>0</v>
      </c>
      <c r="AI168" s="10">
        <f t="shared" si="40"/>
        <v>3.86</v>
      </c>
      <c r="AJ168" s="10">
        <v>0.02</v>
      </c>
      <c r="AK168" s="10">
        <v>11.6</v>
      </c>
      <c r="AL168" s="10">
        <v>0</v>
      </c>
      <c r="AM168" s="16">
        <v>40</v>
      </c>
      <c r="AN168" s="16">
        <v>0</v>
      </c>
      <c r="AO168" s="16">
        <v>0</v>
      </c>
      <c r="AP168" s="10">
        <v>0</v>
      </c>
      <c r="AQ168" s="16">
        <v>42.3</v>
      </c>
      <c r="AR168" s="16">
        <v>2604.04</v>
      </c>
      <c r="AS168" s="10">
        <v>7.85</v>
      </c>
      <c r="AT168" s="13">
        <v>0</v>
      </c>
      <c r="AU168" s="10">
        <v>6.73</v>
      </c>
      <c r="AV168" s="17">
        <f t="shared" si="39"/>
        <v>4672.3950962206472</v>
      </c>
      <c r="AW168" s="17">
        <v>2451.4043237500537</v>
      </c>
      <c r="AX168" s="17">
        <v>2220.9907724705931</v>
      </c>
      <c r="AY168" s="17">
        <v>0</v>
      </c>
      <c r="BA168" s="18"/>
      <c r="BC168" s="19"/>
      <c r="BD168" s="19"/>
      <c r="BE168" s="19"/>
      <c r="BF168" s="19"/>
      <c r="BG168" s="19"/>
      <c r="BI168" s="16">
        <f t="shared" si="29"/>
        <v>0</v>
      </c>
      <c r="BJ168" s="16">
        <f t="shared" si="30"/>
        <v>0</v>
      </c>
      <c r="BK168" s="16">
        <f t="shared" si="31"/>
        <v>586.91</v>
      </c>
      <c r="BL168" s="16">
        <f t="shared" si="32"/>
        <v>0</v>
      </c>
      <c r="BM168" s="16">
        <f t="shared" si="33"/>
        <v>586.91</v>
      </c>
      <c r="BN168" s="16">
        <f t="shared" si="34"/>
        <v>586.91</v>
      </c>
      <c r="BO168" s="16">
        <f t="shared" si="35"/>
        <v>586.91</v>
      </c>
      <c r="BP168" s="16">
        <f t="shared" si="36"/>
        <v>0</v>
      </c>
    </row>
    <row r="169" spans="1:68" ht="12" customHeight="1" x14ac:dyDescent="0.25">
      <c r="A169" s="5">
        <f t="shared" si="37"/>
        <v>165</v>
      </c>
      <c r="B169" s="6" t="s">
        <v>249</v>
      </c>
      <c r="C169" s="7">
        <f t="shared" si="38"/>
        <v>3857.82</v>
      </c>
      <c r="D169" s="8">
        <v>3857.82</v>
      </c>
      <c r="E169" s="8">
        <v>0</v>
      </c>
      <c r="F169" s="8">
        <v>681.2</v>
      </c>
      <c r="G169" s="9">
        <v>1</v>
      </c>
      <c r="H169" s="9">
        <v>1</v>
      </c>
      <c r="I169" s="9">
        <v>400</v>
      </c>
      <c r="J169" s="9">
        <v>630</v>
      </c>
      <c r="K169" s="9" t="s">
        <v>83</v>
      </c>
      <c r="L169" s="10" t="s">
        <v>71</v>
      </c>
      <c r="M169" s="10">
        <v>0</v>
      </c>
      <c r="N169" s="10" t="s">
        <v>72</v>
      </c>
      <c r="O169" s="10" t="s">
        <v>72</v>
      </c>
      <c r="P169" s="5" t="s">
        <v>73</v>
      </c>
      <c r="Q169" s="11">
        <v>1</v>
      </c>
      <c r="R169" s="12">
        <v>41.1</v>
      </c>
      <c r="S169" s="10">
        <v>4.68</v>
      </c>
      <c r="T169" s="10">
        <v>7.92</v>
      </c>
      <c r="U169" s="10">
        <v>12.32</v>
      </c>
      <c r="V169" s="10">
        <v>6.34</v>
      </c>
      <c r="W169" s="10">
        <v>2.89</v>
      </c>
      <c r="X169" s="10">
        <v>1.66</v>
      </c>
      <c r="Y169" s="10">
        <v>5.29</v>
      </c>
      <c r="Z169" s="10">
        <v>0</v>
      </c>
      <c r="AA169" s="13">
        <v>7.0000000000000001E-3</v>
      </c>
      <c r="AB169" s="13">
        <v>7.0000000000000001E-3</v>
      </c>
      <c r="AC169" s="14">
        <f t="shared" si="41"/>
        <v>4.193E-4</v>
      </c>
      <c r="AD169" s="13">
        <f t="shared" si="42"/>
        <v>1.4E-2</v>
      </c>
      <c r="AE169" s="13">
        <v>3.23</v>
      </c>
      <c r="AF169" s="10">
        <v>4.29</v>
      </c>
      <c r="AG169" s="10">
        <v>3.17</v>
      </c>
      <c r="AH169" s="15">
        <v>5.9900000000000002E-2</v>
      </c>
      <c r="AI169" s="10">
        <f t="shared" si="40"/>
        <v>7.46</v>
      </c>
      <c r="AJ169" s="10">
        <v>0.02</v>
      </c>
      <c r="AK169" s="13">
        <v>0</v>
      </c>
      <c r="AL169" s="10">
        <v>0</v>
      </c>
      <c r="AM169" s="16">
        <v>40</v>
      </c>
      <c r="AN169" s="16">
        <v>40</v>
      </c>
      <c r="AO169" s="16">
        <v>2604.04</v>
      </c>
      <c r="AP169" s="10">
        <v>195.98199600000001</v>
      </c>
      <c r="AQ169" s="16">
        <v>42.3</v>
      </c>
      <c r="AR169" s="16">
        <v>2604.04</v>
      </c>
      <c r="AS169" s="10">
        <v>0</v>
      </c>
      <c r="AT169" s="13">
        <v>0</v>
      </c>
      <c r="AU169" s="10">
        <v>5.05</v>
      </c>
      <c r="AV169" s="17">
        <f t="shared" si="39"/>
        <v>39280.400153683811</v>
      </c>
      <c r="AW169" s="17">
        <v>16532.29989037427</v>
      </c>
      <c r="AX169" s="17">
        <v>14978.342900595968</v>
      </c>
      <c r="AY169" s="17">
        <v>7769.7573627135735</v>
      </c>
      <c r="BA169" s="18"/>
      <c r="BC169" s="19"/>
      <c r="BD169" s="19"/>
      <c r="BE169" s="19"/>
      <c r="BF169" s="19"/>
      <c r="BG169" s="19"/>
      <c r="BI169" s="16">
        <f t="shared" si="29"/>
        <v>3857.82</v>
      </c>
      <c r="BJ169" s="16">
        <f t="shared" si="30"/>
        <v>0</v>
      </c>
      <c r="BK169" s="16">
        <f t="shared" si="31"/>
        <v>3857.82</v>
      </c>
      <c r="BL169" s="16">
        <f t="shared" si="32"/>
        <v>3857.82</v>
      </c>
      <c r="BM169" s="16">
        <f t="shared" si="33"/>
        <v>3857.82</v>
      </c>
      <c r="BN169" s="16">
        <f t="shared" si="34"/>
        <v>3857.82</v>
      </c>
      <c r="BO169" s="16">
        <f t="shared" si="35"/>
        <v>0</v>
      </c>
      <c r="BP169" s="16">
        <f t="shared" si="36"/>
        <v>3857.82</v>
      </c>
    </row>
    <row r="170" spans="1:68" ht="12" customHeight="1" x14ac:dyDescent="0.25">
      <c r="A170" s="5">
        <f t="shared" si="37"/>
        <v>166</v>
      </c>
      <c r="B170" s="6" t="s">
        <v>250</v>
      </c>
      <c r="C170" s="7">
        <f t="shared" si="38"/>
        <v>3817.5</v>
      </c>
      <c r="D170" s="8">
        <v>3817.5</v>
      </c>
      <c r="E170" s="8">
        <v>0</v>
      </c>
      <c r="F170" s="8">
        <v>710.3</v>
      </c>
      <c r="G170" s="9">
        <v>1</v>
      </c>
      <c r="H170" s="9">
        <v>1</v>
      </c>
      <c r="I170" s="9">
        <v>400</v>
      </c>
      <c r="J170" s="9">
        <v>630</v>
      </c>
      <c r="K170" s="9" t="s">
        <v>83</v>
      </c>
      <c r="L170" s="10" t="s">
        <v>71</v>
      </c>
      <c r="M170" s="10">
        <v>0</v>
      </c>
      <c r="N170" s="10" t="s">
        <v>72</v>
      </c>
      <c r="O170" s="10" t="s">
        <v>72</v>
      </c>
      <c r="P170" s="5" t="s">
        <v>73</v>
      </c>
      <c r="Q170" s="11">
        <v>3</v>
      </c>
      <c r="R170" s="12">
        <v>41.34</v>
      </c>
      <c r="S170" s="10">
        <v>4.68</v>
      </c>
      <c r="T170" s="10">
        <v>7.92</v>
      </c>
      <c r="U170" s="10">
        <v>12.32</v>
      </c>
      <c r="V170" s="10">
        <v>6.34</v>
      </c>
      <c r="W170" s="10">
        <v>2.89</v>
      </c>
      <c r="X170" s="10">
        <v>1.66</v>
      </c>
      <c r="Y170" s="10">
        <v>5.29</v>
      </c>
      <c r="Z170" s="10">
        <v>0.24</v>
      </c>
      <c r="AA170" s="13">
        <v>7.0000000000000001E-3</v>
      </c>
      <c r="AB170" s="13">
        <v>7.0000000000000001E-3</v>
      </c>
      <c r="AC170" s="14">
        <f t="shared" si="41"/>
        <v>4.193E-4</v>
      </c>
      <c r="AD170" s="13">
        <f t="shared" si="42"/>
        <v>1.4E-2</v>
      </c>
      <c r="AE170" s="13">
        <v>3.23</v>
      </c>
      <c r="AF170" s="10">
        <v>4.29</v>
      </c>
      <c r="AG170" s="10">
        <v>3.17</v>
      </c>
      <c r="AH170" s="15">
        <v>5.9900000000000002E-2</v>
      </c>
      <c r="AI170" s="10">
        <f t="shared" si="40"/>
        <v>7.46</v>
      </c>
      <c r="AJ170" s="10">
        <v>0.02</v>
      </c>
      <c r="AK170" s="10">
        <v>10</v>
      </c>
      <c r="AL170" s="10">
        <v>0</v>
      </c>
      <c r="AM170" s="16">
        <v>40</v>
      </c>
      <c r="AN170" s="16">
        <v>40</v>
      </c>
      <c r="AO170" s="16">
        <v>2604.04</v>
      </c>
      <c r="AP170" s="10">
        <v>195.98199600000001</v>
      </c>
      <c r="AQ170" s="16">
        <v>42.3</v>
      </c>
      <c r="AR170" s="16">
        <v>2604.04</v>
      </c>
      <c r="AS170" s="10">
        <v>7.85</v>
      </c>
      <c r="AT170" s="13">
        <v>0</v>
      </c>
      <c r="AU170" s="10">
        <v>6.73</v>
      </c>
      <c r="AV170" s="17">
        <f t="shared" si="39"/>
        <v>38777.007578556892</v>
      </c>
      <c r="AW170" s="17">
        <v>16320.438043762326</v>
      </c>
      <c r="AX170" s="17">
        <v>14786.39827445978</v>
      </c>
      <c r="AY170" s="17">
        <v>7670.1712603347823</v>
      </c>
      <c r="BA170" s="18"/>
      <c r="BC170" s="19"/>
      <c r="BD170" s="19"/>
      <c r="BE170" s="19"/>
      <c r="BF170" s="19"/>
      <c r="BG170" s="19"/>
      <c r="BI170" s="16">
        <f t="shared" si="29"/>
        <v>0</v>
      </c>
      <c r="BJ170" s="16">
        <f t="shared" si="30"/>
        <v>3817.5</v>
      </c>
      <c r="BK170" s="16">
        <f t="shared" si="31"/>
        <v>3817.5</v>
      </c>
      <c r="BL170" s="16">
        <f t="shared" si="32"/>
        <v>3817.5</v>
      </c>
      <c r="BM170" s="16">
        <f t="shared" si="33"/>
        <v>3817.5</v>
      </c>
      <c r="BN170" s="16">
        <f t="shared" si="34"/>
        <v>3817.5</v>
      </c>
      <c r="BO170" s="16">
        <f t="shared" si="35"/>
        <v>3817.5</v>
      </c>
      <c r="BP170" s="16">
        <f t="shared" si="36"/>
        <v>0</v>
      </c>
    </row>
    <row r="171" spans="1:68" ht="12" customHeight="1" x14ac:dyDescent="0.25">
      <c r="A171" s="5">
        <f t="shared" si="37"/>
        <v>167</v>
      </c>
      <c r="B171" s="6" t="s">
        <v>251</v>
      </c>
      <c r="C171" s="7">
        <f t="shared" si="38"/>
        <v>3706.6</v>
      </c>
      <c r="D171" s="8">
        <v>3673.7</v>
      </c>
      <c r="E171" s="8">
        <v>32.9</v>
      </c>
      <c r="F171" s="8">
        <v>670.6</v>
      </c>
      <c r="G171" s="9">
        <v>1</v>
      </c>
      <c r="H171" s="9">
        <v>1</v>
      </c>
      <c r="I171" s="9">
        <v>400</v>
      </c>
      <c r="J171" s="9">
        <v>630</v>
      </c>
      <c r="K171" s="9" t="s">
        <v>83</v>
      </c>
      <c r="L171" s="10" t="s">
        <v>71</v>
      </c>
      <c r="M171" s="10">
        <v>0</v>
      </c>
      <c r="N171" s="10" t="s">
        <v>72</v>
      </c>
      <c r="O171" s="10" t="s">
        <v>72</v>
      </c>
      <c r="P171" s="5" t="s">
        <v>73</v>
      </c>
      <c r="Q171" s="11">
        <v>3</v>
      </c>
      <c r="R171" s="12">
        <v>41.34</v>
      </c>
      <c r="S171" s="10">
        <v>4.68</v>
      </c>
      <c r="T171" s="10">
        <v>7.92</v>
      </c>
      <c r="U171" s="10">
        <v>12.32</v>
      </c>
      <c r="V171" s="10">
        <v>6.34</v>
      </c>
      <c r="W171" s="10">
        <v>2.89</v>
      </c>
      <c r="X171" s="10">
        <v>1.66</v>
      </c>
      <c r="Y171" s="10">
        <v>5.29</v>
      </c>
      <c r="Z171" s="10">
        <v>0.24</v>
      </c>
      <c r="AA171" s="13">
        <v>7.0000000000000001E-3</v>
      </c>
      <c r="AB171" s="13">
        <v>7.0000000000000001E-3</v>
      </c>
      <c r="AC171" s="14">
        <f t="shared" si="41"/>
        <v>4.193E-4</v>
      </c>
      <c r="AD171" s="13">
        <f t="shared" si="42"/>
        <v>1.4E-2</v>
      </c>
      <c r="AE171" s="13">
        <v>3.23</v>
      </c>
      <c r="AF171" s="10">
        <v>4.29</v>
      </c>
      <c r="AG171" s="10">
        <v>3.17</v>
      </c>
      <c r="AH171" s="15">
        <v>5.9900000000000002E-2</v>
      </c>
      <c r="AI171" s="10">
        <f t="shared" si="40"/>
        <v>7.46</v>
      </c>
      <c r="AJ171" s="10">
        <v>0.02</v>
      </c>
      <c r="AK171" s="10">
        <v>10</v>
      </c>
      <c r="AL171" s="10">
        <v>0</v>
      </c>
      <c r="AM171" s="16">
        <v>40</v>
      </c>
      <c r="AN171" s="16">
        <v>40</v>
      </c>
      <c r="AO171" s="16">
        <v>2604.04</v>
      </c>
      <c r="AP171" s="10">
        <v>195.98199600000001</v>
      </c>
      <c r="AQ171" s="16">
        <v>42.3</v>
      </c>
      <c r="AR171" s="16">
        <v>2604.04</v>
      </c>
      <c r="AS171" s="10">
        <v>7.85</v>
      </c>
      <c r="AT171" s="13">
        <v>0</v>
      </c>
      <c r="AU171" s="10">
        <v>6.73</v>
      </c>
      <c r="AV171" s="17">
        <f t="shared" si="39"/>
        <v>37798.181019649564</v>
      </c>
      <c r="AW171" s="17">
        <v>15908.466062342697</v>
      </c>
      <c r="AX171" s="17">
        <v>14413.157286873895</v>
      </c>
      <c r="AY171" s="17">
        <v>7476.5576704329696</v>
      </c>
      <c r="BA171" s="18"/>
      <c r="BC171" s="19"/>
      <c r="BD171" s="19"/>
      <c r="BE171" s="19"/>
      <c r="BF171" s="19"/>
      <c r="BG171" s="19"/>
      <c r="BI171" s="16">
        <f t="shared" si="29"/>
        <v>0</v>
      </c>
      <c r="BJ171" s="16">
        <f t="shared" si="30"/>
        <v>3706.6</v>
      </c>
      <c r="BK171" s="16">
        <f t="shared" si="31"/>
        <v>3706.6</v>
      </c>
      <c r="BL171" s="16">
        <f t="shared" si="32"/>
        <v>3706.6</v>
      </c>
      <c r="BM171" s="16">
        <f t="shared" si="33"/>
        <v>3706.6</v>
      </c>
      <c r="BN171" s="16">
        <f t="shared" si="34"/>
        <v>3706.6</v>
      </c>
      <c r="BO171" s="16">
        <f t="shared" si="35"/>
        <v>3706.6</v>
      </c>
      <c r="BP171" s="16">
        <f t="shared" si="36"/>
        <v>0</v>
      </c>
    </row>
    <row r="172" spans="1:68" ht="12" customHeight="1" x14ac:dyDescent="0.25">
      <c r="A172" s="5">
        <f t="shared" si="37"/>
        <v>168</v>
      </c>
      <c r="B172" s="6" t="s">
        <v>252</v>
      </c>
      <c r="C172" s="7">
        <f t="shared" si="38"/>
        <v>9577.4000000000033</v>
      </c>
      <c r="D172" s="8">
        <v>9471.7000000000025</v>
      </c>
      <c r="E172" s="8">
        <v>105.7</v>
      </c>
      <c r="F172" s="8">
        <v>963.6</v>
      </c>
      <c r="G172" s="9">
        <v>8</v>
      </c>
      <c r="H172" s="9">
        <v>0</v>
      </c>
      <c r="I172" s="9">
        <v>400</v>
      </c>
      <c r="J172" s="9">
        <v>0</v>
      </c>
      <c r="K172" s="9" t="s">
        <v>83</v>
      </c>
      <c r="L172" s="10" t="s">
        <v>71</v>
      </c>
      <c r="M172" s="10">
        <v>0</v>
      </c>
      <c r="N172" s="10" t="s">
        <v>72</v>
      </c>
      <c r="O172" s="10" t="s">
        <v>72</v>
      </c>
      <c r="P172" s="5" t="s">
        <v>73</v>
      </c>
      <c r="Q172" s="11">
        <v>1</v>
      </c>
      <c r="R172" s="12">
        <v>41.1</v>
      </c>
      <c r="S172" s="10">
        <v>4.68</v>
      </c>
      <c r="T172" s="10">
        <v>7.92</v>
      </c>
      <c r="U172" s="10">
        <v>12.32</v>
      </c>
      <c r="V172" s="10">
        <v>6.34</v>
      </c>
      <c r="W172" s="10">
        <v>2.89</v>
      </c>
      <c r="X172" s="10">
        <v>1.66</v>
      </c>
      <c r="Y172" s="10">
        <v>5.29</v>
      </c>
      <c r="Z172" s="10">
        <v>0</v>
      </c>
      <c r="AA172" s="13">
        <v>7.0000000000000001E-3</v>
      </c>
      <c r="AB172" s="13">
        <v>7.0000000000000001E-3</v>
      </c>
      <c r="AC172" s="14">
        <f t="shared" si="41"/>
        <v>4.193E-4</v>
      </c>
      <c r="AD172" s="13">
        <f t="shared" si="42"/>
        <v>1.4E-2</v>
      </c>
      <c r="AE172" s="13">
        <v>3.23</v>
      </c>
      <c r="AF172" s="10">
        <v>4.29</v>
      </c>
      <c r="AG172" s="10">
        <v>3.17</v>
      </c>
      <c r="AH172" s="15">
        <v>5.9900000000000002E-2</v>
      </c>
      <c r="AI172" s="10">
        <f t="shared" si="40"/>
        <v>7.46</v>
      </c>
      <c r="AJ172" s="10">
        <v>0.02</v>
      </c>
      <c r="AK172" s="13">
        <v>0</v>
      </c>
      <c r="AL172" s="10">
        <v>0</v>
      </c>
      <c r="AM172" s="16">
        <v>40</v>
      </c>
      <c r="AN172" s="16">
        <v>40</v>
      </c>
      <c r="AO172" s="16">
        <v>2604.04</v>
      </c>
      <c r="AP172" s="10">
        <v>195.98199600000001</v>
      </c>
      <c r="AQ172" s="16">
        <v>42.3</v>
      </c>
      <c r="AR172" s="16">
        <v>2604.04</v>
      </c>
      <c r="AS172" s="10">
        <v>0</v>
      </c>
      <c r="AT172" s="13">
        <v>0</v>
      </c>
      <c r="AU172" s="10">
        <v>5.05</v>
      </c>
      <c r="AV172" s="17">
        <f t="shared" si="39"/>
        <v>97469.139083348215</v>
      </c>
      <c r="AW172" s="17">
        <v>41022.72935955452</v>
      </c>
      <c r="AX172" s="17">
        <v>37166.802371950231</v>
      </c>
      <c r="AY172" s="17">
        <v>19279.607351843464</v>
      </c>
      <c r="BA172" s="18"/>
      <c r="BC172" s="19"/>
      <c r="BD172" s="19"/>
      <c r="BE172" s="19"/>
      <c r="BF172" s="19"/>
      <c r="BG172" s="19"/>
      <c r="BI172" s="16">
        <f t="shared" si="29"/>
        <v>9577.4000000000033</v>
      </c>
      <c r="BJ172" s="16">
        <f t="shared" si="30"/>
        <v>0</v>
      </c>
      <c r="BK172" s="16">
        <f t="shared" si="31"/>
        <v>9577.4000000000033</v>
      </c>
      <c r="BL172" s="16">
        <f t="shared" si="32"/>
        <v>9577.4000000000033</v>
      </c>
      <c r="BM172" s="16">
        <f t="shared" si="33"/>
        <v>9577.4000000000033</v>
      </c>
      <c r="BN172" s="16">
        <f t="shared" si="34"/>
        <v>9577.4000000000033</v>
      </c>
      <c r="BO172" s="16">
        <f t="shared" si="35"/>
        <v>0</v>
      </c>
      <c r="BP172" s="16">
        <f t="shared" si="36"/>
        <v>9577.4000000000033</v>
      </c>
    </row>
    <row r="173" spans="1:68" ht="12" customHeight="1" x14ac:dyDescent="0.25">
      <c r="A173" s="5">
        <f t="shared" si="37"/>
        <v>169</v>
      </c>
      <c r="B173" s="6" t="s">
        <v>253</v>
      </c>
      <c r="C173" s="7">
        <f t="shared" si="38"/>
        <v>3721.49</v>
      </c>
      <c r="D173" s="8">
        <v>3721.49</v>
      </c>
      <c r="E173" s="8">
        <v>0</v>
      </c>
      <c r="F173" s="8">
        <v>1226.4000000000001</v>
      </c>
      <c r="G173" s="9">
        <v>0</v>
      </c>
      <c r="H173" s="9">
        <v>0</v>
      </c>
      <c r="I173" s="9">
        <v>0</v>
      </c>
      <c r="J173" s="9">
        <v>0</v>
      </c>
      <c r="K173" s="9" t="s">
        <v>83</v>
      </c>
      <c r="L173" s="10" t="s">
        <v>71</v>
      </c>
      <c r="M173" s="10">
        <v>0</v>
      </c>
      <c r="N173" s="10" t="s">
        <v>72</v>
      </c>
      <c r="O173" s="10" t="s">
        <v>72</v>
      </c>
      <c r="P173" s="5" t="s">
        <v>143</v>
      </c>
      <c r="Q173" s="11">
        <v>6</v>
      </c>
      <c r="R173" s="12">
        <v>28.2</v>
      </c>
      <c r="S173" s="10">
        <v>4.68</v>
      </c>
      <c r="T173" s="10">
        <v>6.05</v>
      </c>
      <c r="U173" s="10">
        <v>8.24</v>
      </c>
      <c r="V173" s="10">
        <v>6.34</v>
      </c>
      <c r="W173" s="10">
        <v>2.89</v>
      </c>
      <c r="X173" s="10">
        <v>0</v>
      </c>
      <c r="Y173" s="10">
        <v>0</v>
      </c>
      <c r="Z173" s="10">
        <v>0</v>
      </c>
      <c r="AA173" s="13">
        <v>1.2999999999999999E-2</v>
      </c>
      <c r="AB173" s="13">
        <v>1.2999999999999999E-2</v>
      </c>
      <c r="AC173" s="14">
        <f t="shared" si="41"/>
        <v>7.7870000000000001E-4</v>
      </c>
      <c r="AD173" s="13">
        <f t="shared" si="42"/>
        <v>2.5999999999999999E-2</v>
      </c>
      <c r="AE173" s="13">
        <v>0.68300000000000005</v>
      </c>
      <c r="AF173" s="10">
        <v>4.29</v>
      </c>
      <c r="AG173" s="10">
        <v>3.17</v>
      </c>
      <c r="AH173" s="15">
        <v>5.9900000000000002E-2</v>
      </c>
      <c r="AI173" s="10">
        <f t="shared" si="40"/>
        <v>7.46</v>
      </c>
      <c r="AJ173" s="10">
        <v>0.02</v>
      </c>
      <c r="AK173" s="13">
        <v>0</v>
      </c>
      <c r="AL173" s="10">
        <v>0</v>
      </c>
      <c r="AM173" s="16">
        <v>40</v>
      </c>
      <c r="AN173" s="16">
        <v>40</v>
      </c>
      <c r="AO173" s="16">
        <v>2604.04</v>
      </c>
      <c r="AP173" s="10">
        <v>195.98199600000001</v>
      </c>
      <c r="AQ173" s="16">
        <v>42.3</v>
      </c>
      <c r="AR173" s="16">
        <v>2604.04</v>
      </c>
      <c r="AS173" s="10">
        <v>0</v>
      </c>
      <c r="AT173" s="13">
        <v>0</v>
      </c>
      <c r="AU173" s="10">
        <v>5.05</v>
      </c>
      <c r="AV173" s="17">
        <f t="shared" si="39"/>
        <v>30631.209231196091</v>
      </c>
      <c r="AW173" s="17">
        <v>16070.89347807852</v>
      </c>
      <c r="AX173" s="17">
        <v>14560.315753117571</v>
      </c>
      <c r="AY173" s="17">
        <v>0</v>
      </c>
      <c r="BA173" s="18"/>
      <c r="BC173" s="19"/>
      <c r="BD173" s="19"/>
      <c r="BE173" s="19"/>
      <c r="BF173" s="19"/>
      <c r="BG173" s="19"/>
      <c r="BI173" s="16">
        <f t="shared" si="29"/>
        <v>0</v>
      </c>
      <c r="BJ173" s="16">
        <f t="shared" si="30"/>
        <v>0</v>
      </c>
      <c r="BK173" s="16">
        <f t="shared" si="31"/>
        <v>3721.49</v>
      </c>
      <c r="BL173" s="16">
        <f t="shared" si="32"/>
        <v>3721.49</v>
      </c>
      <c r="BM173" s="16">
        <f t="shared" si="33"/>
        <v>3721.49</v>
      </c>
      <c r="BN173" s="16">
        <f t="shared" si="34"/>
        <v>3721.49</v>
      </c>
      <c r="BO173" s="16">
        <f t="shared" si="35"/>
        <v>0</v>
      </c>
      <c r="BP173" s="16">
        <f t="shared" si="36"/>
        <v>3721.49</v>
      </c>
    </row>
    <row r="174" spans="1:68" ht="12" customHeight="1" x14ac:dyDescent="0.25">
      <c r="A174" s="5">
        <f t="shared" si="37"/>
        <v>170</v>
      </c>
      <c r="B174" s="6" t="s">
        <v>254</v>
      </c>
      <c r="C174" s="7">
        <f t="shared" si="38"/>
        <v>3663.6699999999996</v>
      </c>
      <c r="D174" s="8">
        <v>3506.97</v>
      </c>
      <c r="E174" s="8">
        <v>156.69999999999999</v>
      </c>
      <c r="F174" s="8">
        <v>1142.2</v>
      </c>
      <c r="G174" s="9">
        <v>0</v>
      </c>
      <c r="H174" s="9">
        <v>0</v>
      </c>
      <c r="I174" s="9">
        <v>0</v>
      </c>
      <c r="J174" s="9">
        <v>0</v>
      </c>
      <c r="K174" s="9" t="s">
        <v>83</v>
      </c>
      <c r="L174" s="10" t="s">
        <v>71</v>
      </c>
      <c r="M174" s="10">
        <v>0</v>
      </c>
      <c r="N174" s="10" t="s">
        <v>72</v>
      </c>
      <c r="O174" s="10" t="s">
        <v>72</v>
      </c>
      <c r="P174" s="5" t="s">
        <v>143</v>
      </c>
      <c r="Q174" s="11">
        <v>6</v>
      </c>
      <c r="R174" s="12">
        <v>28.2</v>
      </c>
      <c r="S174" s="10">
        <v>4.68</v>
      </c>
      <c r="T174" s="10">
        <v>6.05</v>
      </c>
      <c r="U174" s="10">
        <v>8.24</v>
      </c>
      <c r="V174" s="10">
        <v>6.34</v>
      </c>
      <c r="W174" s="10">
        <v>2.89</v>
      </c>
      <c r="X174" s="10">
        <v>0</v>
      </c>
      <c r="Y174" s="10">
        <v>0</v>
      </c>
      <c r="Z174" s="10">
        <v>0</v>
      </c>
      <c r="AA174" s="13">
        <v>1.2999999999999999E-2</v>
      </c>
      <c r="AB174" s="13">
        <v>1.2999999999999999E-2</v>
      </c>
      <c r="AC174" s="14">
        <f t="shared" si="41"/>
        <v>7.7870000000000001E-4</v>
      </c>
      <c r="AD174" s="13">
        <f t="shared" si="42"/>
        <v>2.5999999999999999E-2</v>
      </c>
      <c r="AE174" s="13">
        <v>0.68300000000000005</v>
      </c>
      <c r="AF174" s="10">
        <v>4.29</v>
      </c>
      <c r="AG174" s="10">
        <v>3.17</v>
      </c>
      <c r="AH174" s="15">
        <v>5.9900000000000002E-2</v>
      </c>
      <c r="AI174" s="10">
        <f t="shared" si="40"/>
        <v>7.46</v>
      </c>
      <c r="AJ174" s="10">
        <v>0.02</v>
      </c>
      <c r="AK174" s="13">
        <v>0</v>
      </c>
      <c r="AL174" s="10">
        <v>0</v>
      </c>
      <c r="AM174" s="16">
        <v>40</v>
      </c>
      <c r="AN174" s="16">
        <v>40</v>
      </c>
      <c r="AO174" s="16">
        <v>2604.04</v>
      </c>
      <c r="AP174" s="10">
        <v>195.98199600000001</v>
      </c>
      <c r="AQ174" s="16">
        <v>42.3</v>
      </c>
      <c r="AR174" s="16">
        <v>2604.04</v>
      </c>
      <c r="AS174" s="10">
        <v>0</v>
      </c>
      <c r="AT174" s="13">
        <v>0</v>
      </c>
      <c r="AU174" s="10">
        <v>5.05</v>
      </c>
      <c r="AV174" s="17">
        <f t="shared" si="39"/>
        <v>29974.092679474765</v>
      </c>
      <c r="AW174" s="17">
        <v>15726.135219220087</v>
      </c>
      <c r="AX174" s="17">
        <v>14247.957460254678</v>
      </c>
      <c r="AY174" s="17">
        <v>0</v>
      </c>
      <c r="BA174" s="18"/>
      <c r="BC174" s="19"/>
      <c r="BD174" s="19"/>
      <c r="BE174" s="19"/>
      <c r="BF174" s="19"/>
      <c r="BG174" s="19"/>
      <c r="BI174" s="16">
        <f t="shared" si="29"/>
        <v>0</v>
      </c>
      <c r="BJ174" s="16">
        <f t="shared" si="30"/>
        <v>0</v>
      </c>
      <c r="BK174" s="16">
        <f t="shared" si="31"/>
        <v>3663.6699999999996</v>
      </c>
      <c r="BL174" s="16">
        <f t="shared" si="32"/>
        <v>3663.6699999999996</v>
      </c>
      <c r="BM174" s="16">
        <f t="shared" si="33"/>
        <v>3663.6699999999996</v>
      </c>
      <c r="BN174" s="16">
        <f t="shared" si="34"/>
        <v>3663.6699999999996</v>
      </c>
      <c r="BO174" s="16">
        <f t="shared" si="35"/>
        <v>0</v>
      </c>
      <c r="BP174" s="16">
        <f t="shared" si="36"/>
        <v>3663.6699999999996</v>
      </c>
    </row>
    <row r="175" spans="1:68" ht="12" customHeight="1" x14ac:dyDescent="0.25">
      <c r="A175" s="5">
        <f t="shared" si="37"/>
        <v>171</v>
      </c>
      <c r="B175" s="6" t="s">
        <v>255</v>
      </c>
      <c r="C175" s="7">
        <f t="shared" si="38"/>
        <v>3870.2</v>
      </c>
      <c r="D175" s="8">
        <v>3870.2</v>
      </c>
      <c r="E175" s="8">
        <v>0</v>
      </c>
      <c r="F175" s="8">
        <v>760.2</v>
      </c>
      <c r="G175" s="9">
        <v>1</v>
      </c>
      <c r="H175" s="9">
        <v>1</v>
      </c>
      <c r="I175" s="9">
        <v>400</v>
      </c>
      <c r="J175" s="9">
        <v>630</v>
      </c>
      <c r="K175" s="9" t="s">
        <v>71</v>
      </c>
      <c r="L175" s="10" t="s">
        <v>71</v>
      </c>
      <c r="M175" s="10">
        <v>0</v>
      </c>
      <c r="N175" s="10" t="s">
        <v>72</v>
      </c>
      <c r="O175" s="10" t="s">
        <v>72</v>
      </c>
      <c r="P175" s="5" t="s">
        <v>143</v>
      </c>
      <c r="Q175" s="11">
        <v>3</v>
      </c>
      <c r="R175" s="12">
        <v>41.34</v>
      </c>
      <c r="S175" s="10">
        <v>4.68</v>
      </c>
      <c r="T175" s="10">
        <v>7.92</v>
      </c>
      <c r="U175" s="10">
        <v>12.32</v>
      </c>
      <c r="V175" s="10">
        <v>6.34</v>
      </c>
      <c r="W175" s="10">
        <v>2.89</v>
      </c>
      <c r="X175" s="10">
        <v>1.66</v>
      </c>
      <c r="Y175" s="10">
        <v>5.29</v>
      </c>
      <c r="Z175" s="10">
        <v>0.24</v>
      </c>
      <c r="AA175" s="13">
        <v>7.0000000000000001E-3</v>
      </c>
      <c r="AB175" s="13">
        <v>7.0000000000000001E-3</v>
      </c>
      <c r="AC175" s="14">
        <f t="shared" si="41"/>
        <v>4.193E-4</v>
      </c>
      <c r="AD175" s="13">
        <f t="shared" si="42"/>
        <v>1.4E-2</v>
      </c>
      <c r="AE175" s="13">
        <v>3.23</v>
      </c>
      <c r="AF175" s="10">
        <v>4.29</v>
      </c>
      <c r="AG175" s="10">
        <v>3.17</v>
      </c>
      <c r="AH175" s="15">
        <v>5.9900000000000002E-2</v>
      </c>
      <c r="AI175" s="10">
        <f t="shared" si="40"/>
        <v>7.46</v>
      </c>
      <c r="AJ175" s="10">
        <v>0.02</v>
      </c>
      <c r="AK175" s="10">
        <v>10</v>
      </c>
      <c r="AL175" s="10">
        <v>0</v>
      </c>
      <c r="AM175" s="16">
        <v>40</v>
      </c>
      <c r="AN175" s="16">
        <v>40</v>
      </c>
      <c r="AO175" s="16">
        <v>2604.04</v>
      </c>
      <c r="AP175" s="10">
        <v>195.98199600000001</v>
      </c>
      <c r="AQ175" s="16">
        <v>42.3</v>
      </c>
      <c r="AR175" s="16">
        <v>2604.04</v>
      </c>
      <c r="AS175" s="10">
        <v>7.85</v>
      </c>
      <c r="AT175" s="13">
        <v>0</v>
      </c>
      <c r="AU175" s="10">
        <v>6.73</v>
      </c>
      <c r="AV175" s="17">
        <f t="shared" si="39"/>
        <v>39377.972465072671</v>
      </c>
      <c r="AW175" s="17">
        <v>16573.361916244306</v>
      </c>
      <c r="AX175" s="17">
        <v>15015.556654642782</v>
      </c>
      <c r="AY175" s="17">
        <v>7789.0538941855839</v>
      </c>
      <c r="BA175" s="18"/>
      <c r="BC175" s="19"/>
      <c r="BD175" s="19"/>
      <c r="BE175" s="19"/>
      <c r="BF175" s="19"/>
      <c r="BG175" s="19"/>
      <c r="BI175" s="16">
        <f t="shared" si="29"/>
        <v>0</v>
      </c>
      <c r="BJ175" s="16">
        <f t="shared" si="30"/>
        <v>3870.2</v>
      </c>
      <c r="BK175" s="16">
        <f t="shared" si="31"/>
        <v>3870.2</v>
      </c>
      <c r="BL175" s="16">
        <f t="shared" si="32"/>
        <v>3870.2</v>
      </c>
      <c r="BM175" s="16">
        <f t="shared" si="33"/>
        <v>3870.2</v>
      </c>
      <c r="BN175" s="16">
        <f t="shared" si="34"/>
        <v>3870.2</v>
      </c>
      <c r="BO175" s="16">
        <f t="shared" si="35"/>
        <v>3870.2</v>
      </c>
      <c r="BP175" s="16">
        <f t="shared" si="36"/>
        <v>0</v>
      </c>
    </row>
    <row r="176" spans="1:68" ht="12" customHeight="1" x14ac:dyDescent="0.25">
      <c r="A176" s="5">
        <f t="shared" si="37"/>
        <v>172</v>
      </c>
      <c r="B176" s="6" t="s">
        <v>256</v>
      </c>
      <c r="C176" s="7">
        <f t="shared" si="38"/>
        <v>3892.2</v>
      </c>
      <c r="D176" s="8">
        <v>3892.2</v>
      </c>
      <c r="E176" s="8">
        <v>0</v>
      </c>
      <c r="F176" s="8">
        <v>797.4</v>
      </c>
      <c r="G176" s="9">
        <v>1</v>
      </c>
      <c r="H176" s="9">
        <v>1</v>
      </c>
      <c r="I176" s="9">
        <v>400</v>
      </c>
      <c r="J176" s="9">
        <v>630</v>
      </c>
      <c r="K176" s="9" t="s">
        <v>71</v>
      </c>
      <c r="L176" s="10" t="s">
        <v>71</v>
      </c>
      <c r="M176" s="10">
        <v>0</v>
      </c>
      <c r="N176" s="10" t="s">
        <v>72</v>
      </c>
      <c r="O176" s="10" t="s">
        <v>72</v>
      </c>
      <c r="P176" s="5" t="s">
        <v>143</v>
      </c>
      <c r="Q176" s="11">
        <v>3</v>
      </c>
      <c r="R176" s="12">
        <v>41.34</v>
      </c>
      <c r="S176" s="10">
        <v>4.68</v>
      </c>
      <c r="T176" s="10">
        <v>7.92</v>
      </c>
      <c r="U176" s="10">
        <v>12.32</v>
      </c>
      <c r="V176" s="10">
        <v>6.34</v>
      </c>
      <c r="W176" s="10">
        <v>2.89</v>
      </c>
      <c r="X176" s="10">
        <v>1.66</v>
      </c>
      <c r="Y176" s="10">
        <v>5.29</v>
      </c>
      <c r="Z176" s="10">
        <v>0.24</v>
      </c>
      <c r="AA176" s="13">
        <v>7.0000000000000001E-3</v>
      </c>
      <c r="AB176" s="13">
        <v>7.0000000000000001E-3</v>
      </c>
      <c r="AC176" s="14">
        <f t="shared" si="41"/>
        <v>4.193E-4</v>
      </c>
      <c r="AD176" s="13">
        <f t="shared" si="42"/>
        <v>1.4E-2</v>
      </c>
      <c r="AE176" s="13">
        <v>3.23</v>
      </c>
      <c r="AF176" s="10">
        <v>4.29</v>
      </c>
      <c r="AG176" s="10">
        <v>3.17</v>
      </c>
      <c r="AH176" s="15">
        <v>5.9900000000000002E-2</v>
      </c>
      <c r="AI176" s="10">
        <f t="shared" si="40"/>
        <v>7.46</v>
      </c>
      <c r="AJ176" s="10">
        <v>0.02</v>
      </c>
      <c r="AK176" s="10">
        <v>10</v>
      </c>
      <c r="AL176" s="10">
        <v>0</v>
      </c>
      <c r="AM176" s="16">
        <v>40</v>
      </c>
      <c r="AN176" s="16">
        <v>40</v>
      </c>
      <c r="AO176" s="16">
        <v>2604.04</v>
      </c>
      <c r="AP176" s="10">
        <v>195.98199600000001</v>
      </c>
      <c r="AQ176" s="16">
        <v>42.3</v>
      </c>
      <c r="AR176" s="16">
        <v>2604.04</v>
      </c>
      <c r="AS176" s="10">
        <v>7.85</v>
      </c>
      <c r="AT176" s="13">
        <v>0</v>
      </c>
      <c r="AU176" s="10">
        <v>6.73</v>
      </c>
      <c r="AV176" s="17">
        <f t="shared" si="39"/>
        <v>39657.061827334779</v>
      </c>
      <c r="AW176" s="17">
        <v>16690.823861930978</v>
      </c>
      <c r="AX176" s="17">
        <v>15121.984129151746</v>
      </c>
      <c r="AY176" s="17">
        <v>7844.2538362520554</v>
      </c>
      <c r="BA176" s="18"/>
      <c r="BC176" s="19"/>
      <c r="BD176" s="19"/>
      <c r="BE176" s="19"/>
      <c r="BF176" s="19"/>
      <c r="BG176" s="19"/>
      <c r="BI176" s="16">
        <f t="shared" si="29"/>
        <v>0</v>
      </c>
      <c r="BJ176" s="16">
        <f t="shared" si="30"/>
        <v>3892.2</v>
      </c>
      <c r="BK176" s="16">
        <f t="shared" si="31"/>
        <v>3892.2</v>
      </c>
      <c r="BL176" s="16">
        <f t="shared" si="32"/>
        <v>3892.2</v>
      </c>
      <c r="BM176" s="16">
        <f t="shared" si="33"/>
        <v>3892.2</v>
      </c>
      <c r="BN176" s="16">
        <f t="shared" si="34"/>
        <v>3892.2</v>
      </c>
      <c r="BO176" s="16">
        <f t="shared" si="35"/>
        <v>3892.2</v>
      </c>
      <c r="BP176" s="16">
        <f t="shared" si="36"/>
        <v>0</v>
      </c>
    </row>
    <row r="177" spans="1:68" ht="12" customHeight="1" x14ac:dyDescent="0.25">
      <c r="A177" s="5">
        <f t="shared" si="37"/>
        <v>173</v>
      </c>
      <c r="B177" s="6" t="s">
        <v>257</v>
      </c>
      <c r="C177" s="7">
        <f t="shared" si="38"/>
        <v>14729.300000000001</v>
      </c>
      <c r="D177" s="8">
        <v>13280.2</v>
      </c>
      <c r="E177" s="8">
        <v>1449.1</v>
      </c>
      <c r="F177" s="8">
        <v>2794.8</v>
      </c>
      <c r="G177" s="9">
        <v>4</v>
      </c>
      <c r="H177" s="9">
        <v>4</v>
      </c>
      <c r="I177" s="9">
        <v>400</v>
      </c>
      <c r="J177" s="9">
        <v>630</v>
      </c>
      <c r="K177" s="9" t="s">
        <v>71</v>
      </c>
      <c r="L177" s="10" t="s">
        <v>71</v>
      </c>
      <c r="M177" s="10">
        <v>0</v>
      </c>
      <c r="N177" s="10" t="s">
        <v>72</v>
      </c>
      <c r="O177" s="10" t="s">
        <v>72</v>
      </c>
      <c r="P177" s="5" t="s">
        <v>98</v>
      </c>
      <c r="Q177" s="11">
        <v>1</v>
      </c>
      <c r="R177" s="12">
        <v>41.1</v>
      </c>
      <c r="S177" s="10">
        <v>4.68</v>
      </c>
      <c r="T177" s="10">
        <v>7.92</v>
      </c>
      <c r="U177" s="10">
        <v>12.32</v>
      </c>
      <c r="V177" s="10">
        <v>6.34</v>
      </c>
      <c r="W177" s="10">
        <v>2.89</v>
      </c>
      <c r="X177" s="10">
        <v>1.66</v>
      </c>
      <c r="Y177" s="10">
        <v>5.29</v>
      </c>
      <c r="Z177" s="10">
        <v>0</v>
      </c>
      <c r="AA177" s="13">
        <v>6.0000000000000001E-3</v>
      </c>
      <c r="AB177" s="13">
        <v>6.0000000000000001E-3</v>
      </c>
      <c r="AC177" s="14">
        <f t="shared" si="41"/>
        <v>3.5940000000000001E-4</v>
      </c>
      <c r="AD177" s="13">
        <f t="shared" si="42"/>
        <v>1.2E-2</v>
      </c>
      <c r="AE177" s="13">
        <v>3.23</v>
      </c>
      <c r="AF177" s="10">
        <v>4.29</v>
      </c>
      <c r="AG177" s="10">
        <v>3.17</v>
      </c>
      <c r="AH177" s="15">
        <v>5.9900000000000002E-2</v>
      </c>
      <c r="AI177" s="10">
        <f t="shared" si="40"/>
        <v>7.46</v>
      </c>
      <c r="AJ177" s="10">
        <v>0.02</v>
      </c>
      <c r="AK177" s="13">
        <v>0</v>
      </c>
      <c r="AL177" s="10">
        <v>0</v>
      </c>
      <c r="AM177" s="16">
        <v>40</v>
      </c>
      <c r="AN177" s="16">
        <v>40</v>
      </c>
      <c r="AO177" s="16">
        <v>2604.04</v>
      </c>
      <c r="AP177" s="10">
        <v>195.98199600000001</v>
      </c>
      <c r="AQ177" s="16">
        <v>42.3</v>
      </c>
      <c r="AR177" s="16">
        <v>2604.04</v>
      </c>
      <c r="AS177" s="10">
        <v>0</v>
      </c>
      <c r="AT177" s="13">
        <v>0</v>
      </c>
      <c r="AU177" s="10">
        <v>5.05</v>
      </c>
      <c r="AV177" s="17">
        <f t="shared" si="39"/>
        <v>149201.33306515776</v>
      </c>
      <c r="AW177" s="17">
        <v>62795.727197979199</v>
      </c>
      <c r="AX177" s="17">
        <v>56893.250634134878</v>
      </c>
      <c r="AY177" s="17">
        <v>29512.355233043683</v>
      </c>
      <c r="BA177" s="18"/>
      <c r="BC177" s="19"/>
      <c r="BD177" s="19"/>
      <c r="BE177" s="19"/>
      <c r="BF177" s="19"/>
      <c r="BG177" s="19"/>
      <c r="BI177" s="16">
        <f t="shared" si="29"/>
        <v>14729.300000000001</v>
      </c>
      <c r="BJ177" s="16">
        <f t="shared" si="30"/>
        <v>0</v>
      </c>
      <c r="BK177" s="16">
        <f t="shared" si="31"/>
        <v>14729.300000000001</v>
      </c>
      <c r="BL177" s="16">
        <f t="shared" si="32"/>
        <v>14729.300000000001</v>
      </c>
      <c r="BM177" s="16">
        <f t="shared" si="33"/>
        <v>14729.300000000001</v>
      </c>
      <c r="BN177" s="16">
        <f t="shared" si="34"/>
        <v>14729.300000000001</v>
      </c>
      <c r="BO177" s="16">
        <f t="shared" si="35"/>
        <v>0</v>
      </c>
      <c r="BP177" s="16">
        <f t="shared" si="36"/>
        <v>14729.300000000001</v>
      </c>
    </row>
    <row r="178" spans="1:68" ht="12" customHeight="1" x14ac:dyDescent="0.25">
      <c r="A178" s="5">
        <f t="shared" si="37"/>
        <v>174</v>
      </c>
      <c r="B178" s="6" t="s">
        <v>258</v>
      </c>
      <c r="C178" s="7">
        <f t="shared" si="38"/>
        <v>3877.2</v>
      </c>
      <c r="D178" s="8">
        <v>3847.2</v>
      </c>
      <c r="E178" s="8">
        <v>30</v>
      </c>
      <c r="F178" s="8">
        <v>583.86</v>
      </c>
      <c r="G178" s="9">
        <v>1</v>
      </c>
      <c r="H178" s="9">
        <v>1</v>
      </c>
      <c r="I178" s="9">
        <v>400</v>
      </c>
      <c r="J178" s="9">
        <v>630</v>
      </c>
      <c r="K178" s="9" t="s">
        <v>83</v>
      </c>
      <c r="L178" s="10" t="s">
        <v>71</v>
      </c>
      <c r="M178" s="10">
        <v>0</v>
      </c>
      <c r="N178" s="10" t="s">
        <v>72</v>
      </c>
      <c r="O178" s="10" t="s">
        <v>72</v>
      </c>
      <c r="P178" s="5" t="s">
        <v>98</v>
      </c>
      <c r="Q178" s="11">
        <v>1</v>
      </c>
      <c r="R178" s="12">
        <v>41.1</v>
      </c>
      <c r="S178" s="10">
        <v>4.68</v>
      </c>
      <c r="T178" s="10">
        <v>7.92</v>
      </c>
      <c r="U178" s="10">
        <v>12.32</v>
      </c>
      <c r="V178" s="10">
        <v>6.34</v>
      </c>
      <c r="W178" s="10">
        <v>2.89</v>
      </c>
      <c r="X178" s="10">
        <v>1.66</v>
      </c>
      <c r="Y178" s="10">
        <v>5.29</v>
      </c>
      <c r="Z178" s="10">
        <v>0</v>
      </c>
      <c r="AA178" s="13">
        <v>7.0000000000000001E-3</v>
      </c>
      <c r="AB178" s="13">
        <v>7.0000000000000001E-3</v>
      </c>
      <c r="AC178" s="14">
        <f t="shared" si="41"/>
        <v>4.193E-4</v>
      </c>
      <c r="AD178" s="13">
        <f t="shared" si="42"/>
        <v>1.4E-2</v>
      </c>
      <c r="AE178" s="13">
        <v>3.23</v>
      </c>
      <c r="AF178" s="10">
        <v>4.29</v>
      </c>
      <c r="AG178" s="10">
        <v>3.17</v>
      </c>
      <c r="AH178" s="15">
        <v>5.9900000000000002E-2</v>
      </c>
      <c r="AI178" s="10">
        <f t="shared" si="40"/>
        <v>7.46</v>
      </c>
      <c r="AJ178" s="10">
        <v>0.02</v>
      </c>
      <c r="AK178" s="13">
        <v>0</v>
      </c>
      <c r="AL178" s="10">
        <v>0</v>
      </c>
      <c r="AM178" s="16">
        <v>40</v>
      </c>
      <c r="AN178" s="16">
        <v>40</v>
      </c>
      <c r="AO178" s="16">
        <v>2604.04</v>
      </c>
      <c r="AP178" s="10">
        <v>195.98199600000001</v>
      </c>
      <c r="AQ178" s="16">
        <v>42.3</v>
      </c>
      <c r="AR178" s="16">
        <v>2604.04</v>
      </c>
      <c r="AS178" s="10">
        <v>0</v>
      </c>
      <c r="AT178" s="13">
        <v>0</v>
      </c>
      <c r="AU178" s="10">
        <v>5.05</v>
      </c>
      <c r="AV178" s="17">
        <f t="shared" si="39"/>
        <v>79112.454900808036</v>
      </c>
      <c r="AW178" s="17">
        <v>33296.778847416434</v>
      </c>
      <c r="AX178" s="17">
        <v>30167.057994194885</v>
      </c>
      <c r="AY178" s="17">
        <v>15648.61805919671</v>
      </c>
      <c r="BA178" s="18"/>
      <c r="BC178" s="19"/>
      <c r="BD178" s="19"/>
      <c r="BE178" s="19"/>
      <c r="BF178" s="19"/>
      <c r="BG178" s="19"/>
      <c r="BI178" s="16">
        <f t="shared" si="29"/>
        <v>3877.2</v>
      </c>
      <c r="BJ178" s="16">
        <f t="shared" si="30"/>
        <v>0</v>
      </c>
      <c r="BK178" s="16">
        <f t="shared" si="31"/>
        <v>3877.2</v>
      </c>
      <c r="BL178" s="16">
        <f t="shared" si="32"/>
        <v>3877.2</v>
      </c>
      <c r="BM178" s="16">
        <f t="shared" si="33"/>
        <v>3877.2</v>
      </c>
      <c r="BN178" s="16">
        <f t="shared" si="34"/>
        <v>3877.2</v>
      </c>
      <c r="BO178" s="16">
        <f t="shared" si="35"/>
        <v>0</v>
      </c>
      <c r="BP178" s="16">
        <f t="shared" si="36"/>
        <v>3877.2</v>
      </c>
    </row>
    <row r="179" spans="1:68" ht="12" customHeight="1" x14ac:dyDescent="0.25">
      <c r="A179" s="5">
        <f t="shared" si="37"/>
        <v>175</v>
      </c>
      <c r="B179" s="6" t="s">
        <v>259</v>
      </c>
      <c r="C179" s="7">
        <f t="shared" si="38"/>
        <v>3889</v>
      </c>
      <c r="D179" s="8">
        <v>3889</v>
      </c>
      <c r="E179" s="8">
        <v>0</v>
      </c>
      <c r="F179" s="8">
        <v>585.64</v>
      </c>
      <c r="G179" s="9">
        <v>1</v>
      </c>
      <c r="H179" s="9">
        <v>1</v>
      </c>
      <c r="I179" s="9">
        <v>400</v>
      </c>
      <c r="J179" s="9">
        <v>630</v>
      </c>
      <c r="K179" s="9" t="s">
        <v>83</v>
      </c>
      <c r="L179" s="10" t="s">
        <v>71</v>
      </c>
      <c r="M179" s="10">
        <v>0</v>
      </c>
      <c r="N179" s="10" t="s">
        <v>72</v>
      </c>
      <c r="O179" s="10" t="s">
        <v>72</v>
      </c>
      <c r="P179" s="5" t="s">
        <v>98</v>
      </c>
      <c r="Q179" s="11">
        <v>1</v>
      </c>
      <c r="R179" s="12">
        <v>41.1</v>
      </c>
      <c r="S179" s="10">
        <v>4.68</v>
      </c>
      <c r="T179" s="10">
        <v>7.92</v>
      </c>
      <c r="U179" s="10">
        <v>12.32</v>
      </c>
      <c r="V179" s="10">
        <v>6.34</v>
      </c>
      <c r="W179" s="10">
        <v>2.89</v>
      </c>
      <c r="X179" s="10">
        <v>1.66</v>
      </c>
      <c r="Y179" s="10">
        <v>5.29</v>
      </c>
      <c r="Z179" s="10">
        <v>0</v>
      </c>
      <c r="AA179" s="13">
        <v>7.0000000000000001E-3</v>
      </c>
      <c r="AB179" s="13">
        <v>7.0000000000000001E-3</v>
      </c>
      <c r="AC179" s="14">
        <f t="shared" si="41"/>
        <v>4.193E-4</v>
      </c>
      <c r="AD179" s="13">
        <f t="shared" si="42"/>
        <v>1.4E-2</v>
      </c>
      <c r="AE179" s="13">
        <v>3.23</v>
      </c>
      <c r="AF179" s="10">
        <v>4.29</v>
      </c>
      <c r="AG179" s="10">
        <v>3.17</v>
      </c>
      <c r="AH179" s="15">
        <v>5.9900000000000002E-2</v>
      </c>
      <c r="AI179" s="10">
        <f t="shared" si="40"/>
        <v>7.46</v>
      </c>
      <c r="AJ179" s="10">
        <v>0.02</v>
      </c>
      <c r="AK179" s="13">
        <v>0</v>
      </c>
      <c r="AL179" s="10">
        <v>0</v>
      </c>
      <c r="AM179" s="16">
        <v>40</v>
      </c>
      <c r="AN179" s="16">
        <v>40</v>
      </c>
      <c r="AO179" s="16">
        <v>2604.04</v>
      </c>
      <c r="AP179" s="10">
        <v>195.98199600000001</v>
      </c>
      <c r="AQ179" s="16">
        <v>42.3</v>
      </c>
      <c r="AR179" s="16">
        <v>2604.04</v>
      </c>
      <c r="AS179" s="10">
        <v>0</v>
      </c>
      <c r="AT179" s="13">
        <v>0</v>
      </c>
      <c r="AU179" s="10">
        <v>5.05</v>
      </c>
      <c r="AV179" s="17">
        <f t="shared" si="39"/>
        <v>79112.454900808036</v>
      </c>
      <c r="AW179" s="17">
        <v>33296.778847416434</v>
      </c>
      <c r="AX179" s="17">
        <v>30167.057994194885</v>
      </c>
      <c r="AY179" s="17">
        <v>15648.61805919671</v>
      </c>
      <c r="BA179" s="18"/>
      <c r="BC179" s="19"/>
      <c r="BD179" s="19"/>
      <c r="BE179" s="19"/>
      <c r="BF179" s="19"/>
      <c r="BG179" s="19"/>
      <c r="BI179" s="16">
        <f t="shared" si="29"/>
        <v>3889</v>
      </c>
      <c r="BJ179" s="16">
        <f t="shared" si="30"/>
        <v>0</v>
      </c>
      <c r="BK179" s="16">
        <f t="shared" si="31"/>
        <v>3889</v>
      </c>
      <c r="BL179" s="16">
        <f t="shared" si="32"/>
        <v>3889</v>
      </c>
      <c r="BM179" s="16">
        <f t="shared" si="33"/>
        <v>3889</v>
      </c>
      <c r="BN179" s="16">
        <f t="shared" si="34"/>
        <v>3889</v>
      </c>
      <c r="BO179" s="16">
        <f t="shared" si="35"/>
        <v>0</v>
      </c>
      <c r="BP179" s="16">
        <f t="shared" si="36"/>
        <v>3889</v>
      </c>
    </row>
    <row r="180" spans="1:68" ht="12" customHeight="1" x14ac:dyDescent="0.25">
      <c r="A180" s="5">
        <f t="shared" si="37"/>
        <v>176</v>
      </c>
      <c r="B180" s="6" t="s">
        <v>260</v>
      </c>
      <c r="C180" s="7">
        <f t="shared" si="38"/>
        <v>7751.1</v>
      </c>
      <c r="D180" s="8">
        <v>7751.1</v>
      </c>
      <c r="E180" s="8">
        <v>0</v>
      </c>
      <c r="F180" s="8">
        <v>1535.3</v>
      </c>
      <c r="G180" s="9">
        <v>2</v>
      </c>
      <c r="H180" s="9">
        <v>2</v>
      </c>
      <c r="I180" s="9">
        <v>400</v>
      </c>
      <c r="J180" s="9">
        <v>630</v>
      </c>
      <c r="K180" s="9" t="s">
        <v>83</v>
      </c>
      <c r="L180" s="10" t="s">
        <v>71</v>
      </c>
      <c r="M180" s="10">
        <v>0</v>
      </c>
      <c r="N180" s="10" t="s">
        <v>72</v>
      </c>
      <c r="O180" s="10" t="s">
        <v>72</v>
      </c>
      <c r="P180" s="5" t="s">
        <v>98</v>
      </c>
      <c r="Q180" s="11">
        <v>1</v>
      </c>
      <c r="R180" s="12">
        <v>41.1</v>
      </c>
      <c r="S180" s="10">
        <v>4.68</v>
      </c>
      <c r="T180" s="10">
        <v>7.92</v>
      </c>
      <c r="U180" s="10">
        <v>12.32</v>
      </c>
      <c r="V180" s="10">
        <v>6.34</v>
      </c>
      <c r="W180" s="10">
        <v>2.89</v>
      </c>
      <c r="X180" s="10">
        <v>1.66</v>
      </c>
      <c r="Y180" s="10">
        <v>5.29</v>
      </c>
      <c r="Z180" s="10">
        <v>0</v>
      </c>
      <c r="AA180" s="13">
        <v>7.0000000000000001E-3</v>
      </c>
      <c r="AB180" s="13">
        <v>7.0000000000000001E-3</v>
      </c>
      <c r="AC180" s="14">
        <f t="shared" si="41"/>
        <v>4.193E-4</v>
      </c>
      <c r="AD180" s="13">
        <f t="shared" si="42"/>
        <v>1.4E-2</v>
      </c>
      <c r="AE180" s="13">
        <v>3.23</v>
      </c>
      <c r="AF180" s="10">
        <v>4.29</v>
      </c>
      <c r="AG180" s="10">
        <v>3.17</v>
      </c>
      <c r="AH180" s="15">
        <v>5.9900000000000002E-2</v>
      </c>
      <c r="AI180" s="10">
        <f t="shared" si="40"/>
        <v>7.46</v>
      </c>
      <c r="AJ180" s="10">
        <v>0.02</v>
      </c>
      <c r="AK180" s="13">
        <v>0</v>
      </c>
      <c r="AL180" s="10">
        <v>0</v>
      </c>
      <c r="AM180" s="16">
        <v>40</v>
      </c>
      <c r="AN180" s="16">
        <v>40</v>
      </c>
      <c r="AO180" s="16">
        <v>2604.04</v>
      </c>
      <c r="AP180" s="10">
        <v>195.98199600000001</v>
      </c>
      <c r="AQ180" s="16">
        <v>42.3</v>
      </c>
      <c r="AR180" s="16">
        <v>2604.04</v>
      </c>
      <c r="AS180" s="10">
        <v>0</v>
      </c>
      <c r="AT180" s="13">
        <v>0</v>
      </c>
      <c r="AU180" s="10">
        <v>5.05</v>
      </c>
      <c r="AV180" s="17">
        <f t="shared" si="39"/>
        <v>79030.951538071691</v>
      </c>
      <c r="AW180" s="17">
        <v>33262.47543514274</v>
      </c>
      <c r="AX180" s="17">
        <v>30135.982164740672</v>
      </c>
      <c r="AY180" s="17">
        <v>15632.493938188285</v>
      </c>
      <c r="BA180" s="18"/>
      <c r="BC180" s="19"/>
      <c r="BD180" s="19"/>
      <c r="BE180" s="19"/>
      <c r="BF180" s="19"/>
      <c r="BG180" s="19"/>
      <c r="BI180" s="16">
        <f t="shared" si="29"/>
        <v>7751.1</v>
      </c>
      <c r="BJ180" s="16">
        <f t="shared" si="30"/>
        <v>0</v>
      </c>
      <c r="BK180" s="16">
        <f t="shared" si="31"/>
        <v>7751.1</v>
      </c>
      <c r="BL180" s="16">
        <f t="shared" si="32"/>
        <v>7751.1</v>
      </c>
      <c r="BM180" s="16">
        <f t="shared" si="33"/>
        <v>7751.1</v>
      </c>
      <c r="BN180" s="16">
        <f t="shared" si="34"/>
        <v>7751.1</v>
      </c>
      <c r="BO180" s="16">
        <f t="shared" si="35"/>
        <v>0</v>
      </c>
      <c r="BP180" s="16">
        <f t="shared" si="36"/>
        <v>7751.1</v>
      </c>
    </row>
    <row r="181" spans="1:68" ht="12" customHeight="1" x14ac:dyDescent="0.25">
      <c r="A181" s="5">
        <f t="shared" si="37"/>
        <v>177</v>
      </c>
      <c r="B181" s="6" t="s">
        <v>261</v>
      </c>
      <c r="C181" s="7">
        <f t="shared" si="38"/>
        <v>7717.15</v>
      </c>
      <c r="D181" s="8">
        <v>7717.15</v>
      </c>
      <c r="E181" s="8">
        <v>0</v>
      </c>
      <c r="F181" s="8">
        <v>1436.8</v>
      </c>
      <c r="G181" s="9">
        <v>3</v>
      </c>
      <c r="H181" s="9">
        <v>1</v>
      </c>
      <c r="I181" s="9">
        <v>400</v>
      </c>
      <c r="J181" s="9">
        <v>630</v>
      </c>
      <c r="K181" s="9" t="s">
        <v>83</v>
      </c>
      <c r="L181" s="10" t="s">
        <v>71</v>
      </c>
      <c r="M181" s="10">
        <v>0</v>
      </c>
      <c r="N181" s="10" t="s">
        <v>72</v>
      </c>
      <c r="O181" s="10" t="s">
        <v>72</v>
      </c>
      <c r="P181" s="5" t="s">
        <v>98</v>
      </c>
      <c r="Q181" s="11">
        <v>1</v>
      </c>
      <c r="R181" s="12">
        <v>41.1</v>
      </c>
      <c r="S181" s="10">
        <v>4.68</v>
      </c>
      <c r="T181" s="10">
        <v>7.92</v>
      </c>
      <c r="U181" s="10">
        <v>12.32</v>
      </c>
      <c r="V181" s="10">
        <v>6.34</v>
      </c>
      <c r="W181" s="10">
        <v>2.89</v>
      </c>
      <c r="X181" s="10">
        <v>1.66</v>
      </c>
      <c r="Y181" s="10">
        <v>5.29</v>
      </c>
      <c r="Z181" s="10">
        <v>0</v>
      </c>
      <c r="AA181" s="13">
        <v>7.0000000000000001E-3</v>
      </c>
      <c r="AB181" s="13">
        <v>7.0000000000000001E-3</v>
      </c>
      <c r="AC181" s="14">
        <f t="shared" si="41"/>
        <v>4.193E-4</v>
      </c>
      <c r="AD181" s="13">
        <f t="shared" si="42"/>
        <v>1.4E-2</v>
      </c>
      <c r="AE181" s="13">
        <v>3.23</v>
      </c>
      <c r="AF181" s="10">
        <v>4.29</v>
      </c>
      <c r="AG181" s="10">
        <v>3.17</v>
      </c>
      <c r="AH181" s="15">
        <v>5.9900000000000002E-2</v>
      </c>
      <c r="AI181" s="10">
        <f t="shared" si="40"/>
        <v>7.46</v>
      </c>
      <c r="AJ181" s="10">
        <v>0.02</v>
      </c>
      <c r="AK181" s="13">
        <v>0</v>
      </c>
      <c r="AL181" s="10">
        <v>0</v>
      </c>
      <c r="AM181" s="16">
        <v>40</v>
      </c>
      <c r="AN181" s="16">
        <v>40</v>
      </c>
      <c r="AO181" s="16">
        <v>2604.04</v>
      </c>
      <c r="AP181" s="10">
        <v>195.98199600000001</v>
      </c>
      <c r="AQ181" s="16">
        <v>42.3</v>
      </c>
      <c r="AR181" s="16">
        <v>2604.04</v>
      </c>
      <c r="AS181" s="10">
        <v>0</v>
      </c>
      <c r="AT181" s="13">
        <v>0</v>
      </c>
      <c r="AU181" s="10">
        <v>5.05</v>
      </c>
      <c r="AV181" s="17">
        <f t="shared" si="39"/>
        <v>78467.683163716763</v>
      </c>
      <c r="AW181" s="17">
        <v>33025.413614978715</v>
      </c>
      <c r="AX181" s="17">
        <v>29921.196183266642</v>
      </c>
      <c r="AY181" s="17">
        <v>15521.073365471408</v>
      </c>
      <c r="BA181" s="18"/>
      <c r="BC181" s="19"/>
      <c r="BD181" s="19"/>
      <c r="BE181" s="19"/>
      <c r="BF181" s="19"/>
      <c r="BG181" s="19"/>
      <c r="BI181" s="16">
        <f t="shared" si="29"/>
        <v>7717.15</v>
      </c>
      <c r="BJ181" s="16">
        <f t="shared" si="30"/>
        <v>0</v>
      </c>
      <c r="BK181" s="16">
        <f t="shared" si="31"/>
        <v>7717.15</v>
      </c>
      <c r="BL181" s="16">
        <f t="shared" si="32"/>
        <v>7717.15</v>
      </c>
      <c r="BM181" s="16">
        <f t="shared" si="33"/>
        <v>7717.15</v>
      </c>
      <c r="BN181" s="16">
        <f t="shared" si="34"/>
        <v>7717.15</v>
      </c>
      <c r="BO181" s="16">
        <f t="shared" si="35"/>
        <v>0</v>
      </c>
      <c r="BP181" s="16">
        <f t="shared" si="36"/>
        <v>7717.15</v>
      </c>
    </row>
    <row r="182" spans="1:68" ht="12" customHeight="1" x14ac:dyDescent="0.25">
      <c r="A182" s="5">
        <f t="shared" si="37"/>
        <v>178</v>
      </c>
      <c r="B182" s="6" t="s">
        <v>262</v>
      </c>
      <c r="C182" s="7">
        <f t="shared" si="38"/>
        <v>16826.7</v>
      </c>
      <c r="D182" s="8">
        <v>16826.7</v>
      </c>
      <c r="E182" s="8">
        <v>0</v>
      </c>
      <c r="F182" s="8">
        <v>4544.6000000000004</v>
      </c>
      <c r="G182" s="9">
        <v>3</v>
      </c>
      <c r="H182" s="9">
        <v>6</v>
      </c>
      <c r="I182" s="9">
        <v>400</v>
      </c>
      <c r="J182" s="9">
        <v>0</v>
      </c>
      <c r="K182" s="9" t="s">
        <v>160</v>
      </c>
      <c r="L182" s="10" t="s">
        <v>71</v>
      </c>
      <c r="M182" s="10">
        <v>0</v>
      </c>
      <c r="N182" s="10" t="s">
        <v>72</v>
      </c>
      <c r="O182" s="10" t="s">
        <v>72</v>
      </c>
      <c r="P182" s="5" t="s">
        <v>143</v>
      </c>
      <c r="Q182" s="11">
        <v>1</v>
      </c>
      <c r="R182" s="21">
        <v>36.54</v>
      </c>
      <c r="S182" s="10">
        <v>4.03</v>
      </c>
      <c r="T182" s="10">
        <v>7</v>
      </c>
      <c r="U182" s="10">
        <v>11</v>
      </c>
      <c r="V182" s="10">
        <v>5.4</v>
      </c>
      <c r="W182" s="10">
        <v>2.67</v>
      </c>
      <c r="X182" s="10">
        <v>1.54</v>
      </c>
      <c r="Y182" s="10">
        <v>4.9000000000000004</v>
      </c>
      <c r="Z182" s="10">
        <v>0</v>
      </c>
      <c r="AA182" s="13">
        <v>6.0000000000000001E-3</v>
      </c>
      <c r="AB182" s="13">
        <v>6.0000000000000001E-3</v>
      </c>
      <c r="AC182" s="14">
        <f t="shared" si="41"/>
        <v>3.5940000000000001E-4</v>
      </c>
      <c r="AD182" s="13">
        <f t="shared" si="42"/>
        <v>1.2E-2</v>
      </c>
      <c r="AE182" s="13">
        <v>3.23</v>
      </c>
      <c r="AF182" s="13">
        <v>4.4080000000000004</v>
      </c>
      <c r="AG182" s="13">
        <v>3.1920000000000002</v>
      </c>
      <c r="AH182" s="15">
        <v>5.9900000000000002E-2</v>
      </c>
      <c r="AI182" s="10">
        <f t="shared" si="40"/>
        <v>7.6000000000000005</v>
      </c>
      <c r="AJ182" s="10">
        <v>0.02</v>
      </c>
      <c r="AK182" s="13">
        <v>0</v>
      </c>
      <c r="AL182" s="10">
        <v>0</v>
      </c>
      <c r="AM182" s="16">
        <v>40</v>
      </c>
      <c r="AN182" s="16">
        <v>40</v>
      </c>
      <c r="AO182" s="16">
        <v>2604.04</v>
      </c>
      <c r="AP182" s="10">
        <v>195.98199600000001</v>
      </c>
      <c r="AQ182" s="16">
        <v>42.3</v>
      </c>
      <c r="AR182" s="16">
        <v>2604.04</v>
      </c>
      <c r="AS182" s="10">
        <v>0</v>
      </c>
      <c r="AT182" s="13">
        <v>0</v>
      </c>
      <c r="AU182" s="10">
        <v>5.05</v>
      </c>
      <c r="AV182" s="17">
        <f t="shared" si="39"/>
        <v>171473.43382803904</v>
      </c>
      <c r="AW182" s="17">
        <v>72169.579428884768</v>
      </c>
      <c r="AX182" s="17">
        <v>65386.027927678617</v>
      </c>
      <c r="AY182" s="17">
        <v>33917.826471475637</v>
      </c>
      <c r="BA182" s="18"/>
      <c r="BC182" s="19"/>
      <c r="BD182" s="19"/>
      <c r="BE182" s="19"/>
      <c r="BF182" s="19"/>
      <c r="BG182" s="19"/>
      <c r="BI182" s="16">
        <f t="shared" si="29"/>
        <v>16826.7</v>
      </c>
      <c r="BJ182" s="16">
        <f t="shared" si="30"/>
        <v>0</v>
      </c>
      <c r="BK182" s="16">
        <f t="shared" si="31"/>
        <v>16826.7</v>
      </c>
      <c r="BL182" s="16">
        <f t="shared" si="32"/>
        <v>16826.7</v>
      </c>
      <c r="BM182" s="16">
        <f t="shared" si="33"/>
        <v>16826.7</v>
      </c>
      <c r="BN182" s="16">
        <f t="shared" si="34"/>
        <v>16826.7</v>
      </c>
      <c r="BO182" s="16">
        <f t="shared" si="35"/>
        <v>0</v>
      </c>
      <c r="BP182" s="16">
        <f t="shared" si="36"/>
        <v>16826.7</v>
      </c>
    </row>
    <row r="183" spans="1:68" ht="12" customHeight="1" x14ac:dyDescent="0.25">
      <c r="A183" s="5">
        <f t="shared" si="37"/>
        <v>179</v>
      </c>
      <c r="B183" s="6" t="s">
        <v>263</v>
      </c>
      <c r="C183" s="7">
        <f t="shared" si="38"/>
        <v>30188.099999999984</v>
      </c>
      <c r="D183" s="8">
        <v>27705.999999999985</v>
      </c>
      <c r="E183" s="8">
        <v>2482.1</v>
      </c>
      <c r="F183" s="8">
        <v>4990</v>
      </c>
      <c r="G183" s="9">
        <v>8</v>
      </c>
      <c r="H183" s="9">
        <v>3</v>
      </c>
      <c r="I183" s="9">
        <v>400</v>
      </c>
      <c r="J183" s="9">
        <v>1000</v>
      </c>
      <c r="K183" s="9" t="s">
        <v>160</v>
      </c>
      <c r="L183" s="10" t="s">
        <v>71</v>
      </c>
      <c r="M183" s="10">
        <v>0</v>
      </c>
      <c r="N183" s="10" t="s">
        <v>72</v>
      </c>
      <c r="O183" s="10" t="s">
        <v>72</v>
      </c>
      <c r="P183" s="5" t="s">
        <v>143</v>
      </c>
      <c r="Q183" s="11">
        <v>1</v>
      </c>
      <c r="R183" s="21">
        <v>36.54</v>
      </c>
      <c r="S183" s="10">
        <v>4.03</v>
      </c>
      <c r="T183" s="10">
        <v>7</v>
      </c>
      <c r="U183" s="10">
        <v>11</v>
      </c>
      <c r="V183" s="10">
        <v>5.4</v>
      </c>
      <c r="W183" s="10">
        <v>2.67</v>
      </c>
      <c r="X183" s="10">
        <v>1.54</v>
      </c>
      <c r="Y183" s="10">
        <v>4.9000000000000004</v>
      </c>
      <c r="Z183" s="10">
        <v>0</v>
      </c>
      <c r="AA183" s="13">
        <v>6.0000000000000001E-3</v>
      </c>
      <c r="AB183" s="13">
        <v>6.0000000000000001E-3</v>
      </c>
      <c r="AC183" s="14">
        <f t="shared" si="41"/>
        <v>3.5940000000000001E-4</v>
      </c>
      <c r="AD183" s="13">
        <f t="shared" si="42"/>
        <v>1.2E-2</v>
      </c>
      <c r="AE183" s="13">
        <v>3.23</v>
      </c>
      <c r="AF183" s="13">
        <v>4.4080000000000004</v>
      </c>
      <c r="AG183" s="13">
        <v>3.1920000000000002</v>
      </c>
      <c r="AH183" s="15">
        <v>5.9900000000000002E-2</v>
      </c>
      <c r="AI183" s="10">
        <f t="shared" si="40"/>
        <v>7.6000000000000005</v>
      </c>
      <c r="AJ183" s="10">
        <v>0.02</v>
      </c>
      <c r="AK183" s="13">
        <v>0</v>
      </c>
      <c r="AL183" s="10">
        <v>0</v>
      </c>
      <c r="AM183" s="16">
        <v>40</v>
      </c>
      <c r="AN183" s="16">
        <v>40</v>
      </c>
      <c r="AO183" s="16">
        <v>2604.04</v>
      </c>
      <c r="AP183" s="10">
        <v>195.98199600000001</v>
      </c>
      <c r="AQ183" s="16">
        <v>42.3</v>
      </c>
      <c r="AR183" s="16">
        <v>2604.04</v>
      </c>
      <c r="AS183" s="10">
        <v>0</v>
      </c>
      <c r="AT183" s="13">
        <v>0</v>
      </c>
      <c r="AU183" s="10">
        <v>5.05</v>
      </c>
      <c r="AV183" s="17">
        <f t="shared" si="39"/>
        <v>249009.10417681991</v>
      </c>
      <c r="AW183" s="17">
        <v>104583.82375426436</v>
      </c>
      <c r="AX183" s="17">
        <v>94623.459587191552</v>
      </c>
      <c r="AY183" s="17">
        <v>49801.820835363978</v>
      </c>
      <c r="BA183" s="18"/>
      <c r="BC183" s="19"/>
      <c r="BD183" s="19"/>
      <c r="BE183" s="19"/>
      <c r="BF183" s="19"/>
      <c r="BG183" s="19"/>
      <c r="BI183" s="16">
        <f t="shared" si="29"/>
        <v>30188.099999999984</v>
      </c>
      <c r="BJ183" s="16">
        <f t="shared" si="30"/>
        <v>0</v>
      </c>
      <c r="BK183" s="16">
        <f t="shared" si="31"/>
        <v>30188.099999999984</v>
      </c>
      <c r="BL183" s="16">
        <f t="shared" si="32"/>
        <v>30188.099999999984</v>
      </c>
      <c r="BM183" s="16">
        <f t="shared" si="33"/>
        <v>30188.099999999984</v>
      </c>
      <c r="BN183" s="16">
        <f t="shared" si="34"/>
        <v>30188.099999999984</v>
      </c>
      <c r="BO183" s="16">
        <f t="shared" si="35"/>
        <v>0</v>
      </c>
      <c r="BP183" s="16">
        <f t="shared" si="36"/>
        <v>30188.099999999984</v>
      </c>
    </row>
    <row r="184" spans="1:68" ht="12" customHeight="1" x14ac:dyDescent="0.25">
      <c r="A184" s="5">
        <f t="shared" si="37"/>
        <v>180</v>
      </c>
      <c r="B184" s="6" t="s">
        <v>264</v>
      </c>
      <c r="C184" s="7">
        <f t="shared" si="38"/>
        <v>5090.8</v>
      </c>
      <c r="D184" s="8">
        <v>3431.6</v>
      </c>
      <c r="E184" s="8">
        <v>1659.2</v>
      </c>
      <c r="F184" s="8">
        <v>577.9</v>
      </c>
      <c r="G184" s="9">
        <v>2</v>
      </c>
      <c r="H184" s="9">
        <v>0</v>
      </c>
      <c r="I184" s="9">
        <v>400</v>
      </c>
      <c r="J184" s="9">
        <v>0</v>
      </c>
      <c r="K184" s="9" t="s">
        <v>71</v>
      </c>
      <c r="L184" s="10" t="s">
        <v>71</v>
      </c>
      <c r="M184" s="10">
        <v>0</v>
      </c>
      <c r="N184" s="10" t="s">
        <v>72</v>
      </c>
      <c r="O184" s="10" t="s">
        <v>72</v>
      </c>
      <c r="P184" s="5" t="s">
        <v>143</v>
      </c>
      <c r="Q184" s="11">
        <v>3</v>
      </c>
      <c r="R184" s="12">
        <v>41.34</v>
      </c>
      <c r="S184" s="10">
        <v>4.68</v>
      </c>
      <c r="T184" s="10">
        <v>7.92</v>
      </c>
      <c r="U184" s="10">
        <v>12.32</v>
      </c>
      <c r="V184" s="10">
        <v>6.34</v>
      </c>
      <c r="W184" s="10">
        <v>2.89</v>
      </c>
      <c r="X184" s="10">
        <v>1.66</v>
      </c>
      <c r="Y184" s="10">
        <v>5.29</v>
      </c>
      <c r="Z184" s="10">
        <v>0.24</v>
      </c>
      <c r="AA184" s="13">
        <v>7.0000000000000001E-3</v>
      </c>
      <c r="AB184" s="13">
        <v>7.0000000000000001E-3</v>
      </c>
      <c r="AC184" s="14">
        <f t="shared" si="41"/>
        <v>4.193E-4</v>
      </c>
      <c r="AD184" s="13">
        <f t="shared" si="42"/>
        <v>1.4E-2</v>
      </c>
      <c r="AE184" s="13">
        <v>3.23</v>
      </c>
      <c r="AF184" s="10">
        <v>4.29</v>
      </c>
      <c r="AG184" s="10">
        <v>3.17</v>
      </c>
      <c r="AH184" s="15">
        <v>5.9900000000000002E-2</v>
      </c>
      <c r="AI184" s="10">
        <f t="shared" si="40"/>
        <v>7.46</v>
      </c>
      <c r="AJ184" s="10">
        <v>0.02</v>
      </c>
      <c r="AK184" s="10">
        <v>10</v>
      </c>
      <c r="AL184" s="10">
        <v>0</v>
      </c>
      <c r="AM184" s="16">
        <v>40</v>
      </c>
      <c r="AN184" s="16">
        <v>40</v>
      </c>
      <c r="AO184" s="16">
        <v>2604.04</v>
      </c>
      <c r="AP184" s="10">
        <v>195.98199600000001</v>
      </c>
      <c r="AQ184" s="16">
        <v>42.3</v>
      </c>
      <c r="AR184" s="16">
        <v>2604.04</v>
      </c>
      <c r="AS184" s="10">
        <v>7.85</v>
      </c>
      <c r="AT184" s="13">
        <v>0</v>
      </c>
      <c r="AU184" s="10">
        <v>6.73</v>
      </c>
      <c r="AV184" s="17">
        <f t="shared" si="39"/>
        <v>51860.580053962149</v>
      </c>
      <c r="AW184" s="17">
        <v>21827.039161017499</v>
      </c>
      <c r="AX184" s="17">
        <v>19775.413728035714</v>
      </c>
      <c r="AY184" s="17">
        <v>10258.127164908939</v>
      </c>
      <c r="BA184" s="18"/>
      <c r="BC184" s="19"/>
      <c r="BD184" s="19"/>
      <c r="BE184" s="19"/>
      <c r="BF184" s="19"/>
      <c r="BG184" s="19"/>
      <c r="BI184" s="16">
        <f t="shared" si="29"/>
        <v>0</v>
      </c>
      <c r="BJ184" s="16">
        <f t="shared" si="30"/>
        <v>5090.8</v>
      </c>
      <c r="BK184" s="16">
        <f t="shared" si="31"/>
        <v>5090.8</v>
      </c>
      <c r="BL184" s="16">
        <f t="shared" si="32"/>
        <v>5090.8</v>
      </c>
      <c r="BM184" s="16">
        <f t="shared" si="33"/>
        <v>5090.8</v>
      </c>
      <c r="BN184" s="16">
        <f t="shared" si="34"/>
        <v>5090.8</v>
      </c>
      <c r="BO184" s="16">
        <f t="shared" si="35"/>
        <v>5090.8</v>
      </c>
      <c r="BP184" s="16">
        <f t="shared" si="36"/>
        <v>0</v>
      </c>
    </row>
    <row r="185" spans="1:68" ht="12" customHeight="1" x14ac:dyDescent="0.25">
      <c r="A185" s="5">
        <f t="shared" si="37"/>
        <v>181</v>
      </c>
      <c r="B185" s="6" t="s">
        <v>265</v>
      </c>
      <c r="C185" s="7">
        <f t="shared" si="38"/>
        <v>3571.9999999999991</v>
      </c>
      <c r="D185" s="8">
        <v>3571.9999999999991</v>
      </c>
      <c r="E185" s="8">
        <v>0</v>
      </c>
      <c r="F185" s="8">
        <v>577.9</v>
      </c>
      <c r="G185" s="9">
        <v>2</v>
      </c>
      <c r="H185" s="9">
        <v>0</v>
      </c>
      <c r="I185" s="9">
        <v>400</v>
      </c>
      <c r="J185" s="9">
        <v>0</v>
      </c>
      <c r="K185" s="9" t="s">
        <v>83</v>
      </c>
      <c r="L185" s="10" t="s">
        <v>71</v>
      </c>
      <c r="M185" s="10">
        <v>0</v>
      </c>
      <c r="N185" s="10" t="s">
        <v>72</v>
      </c>
      <c r="O185" s="10" t="s">
        <v>72</v>
      </c>
      <c r="P185" s="5" t="s">
        <v>143</v>
      </c>
      <c r="Q185" s="11">
        <v>3</v>
      </c>
      <c r="R185" s="12">
        <v>41.34</v>
      </c>
      <c r="S185" s="10">
        <v>4.68</v>
      </c>
      <c r="T185" s="10">
        <v>7.92</v>
      </c>
      <c r="U185" s="10">
        <v>12.32</v>
      </c>
      <c r="V185" s="10">
        <v>6.34</v>
      </c>
      <c r="W185" s="10">
        <v>2.89</v>
      </c>
      <c r="X185" s="10">
        <v>1.66</v>
      </c>
      <c r="Y185" s="10">
        <v>5.29</v>
      </c>
      <c r="Z185" s="10">
        <v>0.24</v>
      </c>
      <c r="AA185" s="13">
        <v>7.0000000000000001E-3</v>
      </c>
      <c r="AB185" s="13">
        <v>7.0000000000000001E-3</v>
      </c>
      <c r="AC185" s="14">
        <f t="shared" si="41"/>
        <v>4.193E-4</v>
      </c>
      <c r="AD185" s="13">
        <f t="shared" si="42"/>
        <v>1.4E-2</v>
      </c>
      <c r="AE185" s="13">
        <v>3.23</v>
      </c>
      <c r="AF185" s="10">
        <v>4.29</v>
      </c>
      <c r="AG185" s="10">
        <v>3.17</v>
      </c>
      <c r="AH185" s="15">
        <v>5.9900000000000002E-2</v>
      </c>
      <c r="AI185" s="10">
        <f t="shared" si="40"/>
        <v>7.46</v>
      </c>
      <c r="AJ185" s="10">
        <v>0.02</v>
      </c>
      <c r="AK185" s="10">
        <v>10</v>
      </c>
      <c r="AL185" s="10">
        <v>0</v>
      </c>
      <c r="AM185" s="16">
        <v>40</v>
      </c>
      <c r="AN185" s="16">
        <v>40</v>
      </c>
      <c r="AO185" s="16">
        <v>2604.04</v>
      </c>
      <c r="AP185" s="10">
        <v>195.98199600000001</v>
      </c>
      <c r="AQ185" s="16">
        <v>42.3</v>
      </c>
      <c r="AR185" s="16">
        <v>2604.04</v>
      </c>
      <c r="AS185" s="10">
        <v>7.85</v>
      </c>
      <c r="AT185" s="13">
        <v>0</v>
      </c>
      <c r="AU185" s="10">
        <v>6.73</v>
      </c>
      <c r="AV185" s="17">
        <f t="shared" si="39"/>
        <v>36773.492439909896</v>
      </c>
      <c r="AW185" s="17">
        <v>15477.197549451053</v>
      </c>
      <c r="AX185" s="17">
        <v>14022.412869382379</v>
      </c>
      <c r="AY185" s="17">
        <v>7273.8820210764652</v>
      </c>
      <c r="BA185" s="18"/>
      <c r="BC185" s="19"/>
      <c r="BD185" s="19"/>
      <c r="BE185" s="19"/>
      <c r="BF185" s="19"/>
      <c r="BG185" s="19"/>
      <c r="BI185" s="16">
        <f t="shared" si="29"/>
        <v>0</v>
      </c>
      <c r="BJ185" s="16">
        <f t="shared" si="30"/>
        <v>3571.9999999999991</v>
      </c>
      <c r="BK185" s="16">
        <f t="shared" si="31"/>
        <v>3571.9999999999991</v>
      </c>
      <c r="BL185" s="16">
        <f t="shared" si="32"/>
        <v>3571.9999999999991</v>
      </c>
      <c r="BM185" s="16">
        <f t="shared" si="33"/>
        <v>3571.9999999999991</v>
      </c>
      <c r="BN185" s="16">
        <f t="shared" si="34"/>
        <v>3571.9999999999991</v>
      </c>
      <c r="BO185" s="16">
        <f t="shared" si="35"/>
        <v>3571.9999999999991</v>
      </c>
      <c r="BP185" s="16">
        <f t="shared" si="36"/>
        <v>0</v>
      </c>
    </row>
    <row r="186" spans="1:68" ht="12" customHeight="1" x14ac:dyDescent="0.25">
      <c r="A186" s="5">
        <f t="shared" si="37"/>
        <v>182</v>
      </c>
      <c r="B186" s="6" t="s">
        <v>266</v>
      </c>
      <c r="C186" s="7">
        <f t="shared" si="38"/>
        <v>5235.6000000000004</v>
      </c>
      <c r="D186" s="8">
        <v>5235.6000000000004</v>
      </c>
      <c r="E186" s="8">
        <v>0</v>
      </c>
      <c r="F186" s="8">
        <v>1025</v>
      </c>
      <c r="G186" s="9">
        <v>1</v>
      </c>
      <c r="H186" s="9">
        <v>1</v>
      </c>
      <c r="I186" s="9">
        <v>400</v>
      </c>
      <c r="J186" s="9">
        <v>630</v>
      </c>
      <c r="K186" s="9" t="s">
        <v>83</v>
      </c>
      <c r="L186" s="10" t="s">
        <v>71</v>
      </c>
      <c r="M186" s="10">
        <v>0</v>
      </c>
      <c r="N186" s="10" t="s">
        <v>72</v>
      </c>
      <c r="O186" s="10" t="s">
        <v>72</v>
      </c>
      <c r="P186" s="5" t="s">
        <v>143</v>
      </c>
      <c r="Q186" s="11">
        <v>1</v>
      </c>
      <c r="R186" s="12">
        <v>41.1</v>
      </c>
      <c r="S186" s="10">
        <v>4.68</v>
      </c>
      <c r="T186" s="10">
        <v>7.92</v>
      </c>
      <c r="U186" s="10">
        <v>12.32</v>
      </c>
      <c r="V186" s="10">
        <v>6.34</v>
      </c>
      <c r="W186" s="10">
        <v>2.89</v>
      </c>
      <c r="X186" s="10">
        <v>1.66</v>
      </c>
      <c r="Y186" s="10">
        <v>5.29</v>
      </c>
      <c r="Z186" s="10">
        <v>0</v>
      </c>
      <c r="AA186" s="13">
        <v>7.0000000000000001E-3</v>
      </c>
      <c r="AB186" s="13">
        <v>7.0000000000000001E-3</v>
      </c>
      <c r="AC186" s="14">
        <f t="shared" si="41"/>
        <v>4.193E-4</v>
      </c>
      <c r="AD186" s="13">
        <f t="shared" si="42"/>
        <v>1.4E-2</v>
      </c>
      <c r="AE186" s="13">
        <v>3.23</v>
      </c>
      <c r="AF186" s="10">
        <v>4.29</v>
      </c>
      <c r="AG186" s="10">
        <v>3.17</v>
      </c>
      <c r="AH186" s="15">
        <v>5.9900000000000002E-2</v>
      </c>
      <c r="AI186" s="10">
        <f t="shared" si="40"/>
        <v>7.46</v>
      </c>
      <c r="AJ186" s="10">
        <v>0.02</v>
      </c>
      <c r="AK186" s="13">
        <v>0</v>
      </c>
      <c r="AL186" s="10">
        <v>0</v>
      </c>
      <c r="AM186" s="16">
        <v>40</v>
      </c>
      <c r="AN186" s="16">
        <v>40</v>
      </c>
      <c r="AO186" s="16">
        <v>2604.04</v>
      </c>
      <c r="AP186" s="10">
        <v>195.98199600000001</v>
      </c>
      <c r="AQ186" s="16">
        <v>42.3</v>
      </c>
      <c r="AR186" s="16">
        <v>2604.04</v>
      </c>
      <c r="AS186" s="10">
        <v>0</v>
      </c>
      <c r="AT186" s="13">
        <v>0</v>
      </c>
      <c r="AU186" s="10">
        <v>5.05</v>
      </c>
      <c r="AV186" s="17">
        <f t="shared" si="39"/>
        <v>53321.213003755009</v>
      </c>
      <c r="AW186" s="17">
        <v>22441.783343416439</v>
      </c>
      <c r="AX186" s="17">
        <v>20332.378660730392</v>
      </c>
      <c r="AY186" s="17">
        <v>10547.050999608184</v>
      </c>
      <c r="BA186" s="18"/>
      <c r="BC186" s="19"/>
      <c r="BD186" s="19"/>
      <c r="BE186" s="19"/>
      <c r="BF186" s="19"/>
      <c r="BG186" s="19"/>
      <c r="BI186" s="16">
        <f t="shared" si="29"/>
        <v>5235.6000000000004</v>
      </c>
      <c r="BJ186" s="16">
        <f t="shared" si="30"/>
        <v>0</v>
      </c>
      <c r="BK186" s="16">
        <f t="shared" si="31"/>
        <v>5235.6000000000004</v>
      </c>
      <c r="BL186" s="16">
        <f t="shared" si="32"/>
        <v>5235.6000000000004</v>
      </c>
      <c r="BM186" s="16">
        <f t="shared" si="33"/>
        <v>5235.6000000000004</v>
      </c>
      <c r="BN186" s="16">
        <f t="shared" si="34"/>
        <v>5235.6000000000004</v>
      </c>
      <c r="BO186" s="16">
        <f t="shared" si="35"/>
        <v>0</v>
      </c>
      <c r="BP186" s="16">
        <f t="shared" si="36"/>
        <v>5235.6000000000004</v>
      </c>
    </row>
    <row r="187" spans="1:68" ht="12" customHeight="1" x14ac:dyDescent="0.25">
      <c r="A187" s="5">
        <f t="shared" si="37"/>
        <v>183</v>
      </c>
      <c r="B187" s="6" t="s">
        <v>267</v>
      </c>
      <c r="C187" s="7">
        <f t="shared" si="38"/>
        <v>4185.8</v>
      </c>
      <c r="D187" s="8">
        <v>4185.8</v>
      </c>
      <c r="E187" s="8">
        <v>0</v>
      </c>
      <c r="F187" s="8">
        <v>712.9</v>
      </c>
      <c r="G187" s="9">
        <v>2</v>
      </c>
      <c r="H187" s="9">
        <v>0</v>
      </c>
      <c r="I187" s="9">
        <v>400</v>
      </c>
      <c r="J187" s="9">
        <v>0</v>
      </c>
      <c r="K187" s="9" t="s">
        <v>83</v>
      </c>
      <c r="L187" s="10" t="s">
        <v>71</v>
      </c>
      <c r="M187" s="10">
        <v>0</v>
      </c>
      <c r="N187" s="10" t="s">
        <v>72</v>
      </c>
      <c r="O187" s="10" t="s">
        <v>72</v>
      </c>
      <c r="P187" s="5" t="s">
        <v>143</v>
      </c>
      <c r="Q187" s="11">
        <v>3</v>
      </c>
      <c r="R187" s="12">
        <v>41.34</v>
      </c>
      <c r="S187" s="10">
        <v>4.68</v>
      </c>
      <c r="T187" s="10">
        <v>7.92</v>
      </c>
      <c r="U187" s="10">
        <v>12.32</v>
      </c>
      <c r="V187" s="10">
        <v>6.34</v>
      </c>
      <c r="W187" s="10">
        <v>2.89</v>
      </c>
      <c r="X187" s="10">
        <v>1.66</v>
      </c>
      <c r="Y187" s="10">
        <v>5.29</v>
      </c>
      <c r="Z187" s="10">
        <v>0.24</v>
      </c>
      <c r="AA187" s="13">
        <v>7.0000000000000001E-3</v>
      </c>
      <c r="AB187" s="13">
        <v>7.0000000000000001E-3</v>
      </c>
      <c r="AC187" s="14">
        <f t="shared" si="41"/>
        <v>4.193E-4</v>
      </c>
      <c r="AD187" s="13">
        <f t="shared" si="42"/>
        <v>1.4E-2</v>
      </c>
      <c r="AE187" s="13">
        <v>3.23</v>
      </c>
      <c r="AF187" s="10">
        <v>4.29</v>
      </c>
      <c r="AG187" s="10">
        <v>3.17</v>
      </c>
      <c r="AH187" s="15">
        <v>5.9900000000000002E-2</v>
      </c>
      <c r="AI187" s="10">
        <f t="shared" si="40"/>
        <v>7.46</v>
      </c>
      <c r="AJ187" s="10">
        <v>0.02</v>
      </c>
      <c r="AK187" s="10">
        <v>10</v>
      </c>
      <c r="AL187" s="10">
        <v>0</v>
      </c>
      <c r="AM187" s="16">
        <v>40</v>
      </c>
      <c r="AN187" s="16">
        <v>40</v>
      </c>
      <c r="AO187" s="16">
        <v>2604.04</v>
      </c>
      <c r="AP187" s="10">
        <v>195.98199600000001</v>
      </c>
      <c r="AQ187" s="16">
        <v>42.3</v>
      </c>
      <c r="AR187" s="16">
        <v>2604.04</v>
      </c>
      <c r="AS187" s="10">
        <v>7.85</v>
      </c>
      <c r="AT187" s="13">
        <v>0</v>
      </c>
      <c r="AU187" s="10">
        <v>6.73</v>
      </c>
      <c r="AV187" s="17">
        <f t="shared" si="39"/>
        <v>42550.8105144211</v>
      </c>
      <c r="AW187" s="17">
        <v>17908.753618170209</v>
      </c>
      <c r="AX187" s="17">
        <v>16225.41745383331</v>
      </c>
      <c r="AY187" s="17">
        <v>8416.6394424175778</v>
      </c>
      <c r="BA187" s="18"/>
      <c r="BC187" s="19"/>
      <c r="BD187" s="19"/>
      <c r="BE187" s="19"/>
      <c r="BF187" s="19"/>
      <c r="BG187" s="19"/>
      <c r="BI187" s="16">
        <f t="shared" si="29"/>
        <v>0</v>
      </c>
      <c r="BJ187" s="16">
        <f t="shared" si="30"/>
        <v>4185.8</v>
      </c>
      <c r="BK187" s="16">
        <f t="shared" si="31"/>
        <v>4185.8</v>
      </c>
      <c r="BL187" s="16">
        <f t="shared" si="32"/>
        <v>4185.8</v>
      </c>
      <c r="BM187" s="16">
        <f t="shared" si="33"/>
        <v>4185.8</v>
      </c>
      <c r="BN187" s="16">
        <f t="shared" si="34"/>
        <v>4185.8</v>
      </c>
      <c r="BO187" s="16">
        <f t="shared" si="35"/>
        <v>4185.8</v>
      </c>
      <c r="BP187" s="16">
        <f t="shared" si="36"/>
        <v>0</v>
      </c>
    </row>
    <row r="188" spans="1:68" ht="12" customHeight="1" x14ac:dyDescent="0.25">
      <c r="A188" s="5">
        <f t="shared" si="37"/>
        <v>184</v>
      </c>
      <c r="B188" s="6" t="s">
        <v>268</v>
      </c>
      <c r="C188" s="7">
        <f t="shared" si="38"/>
        <v>3577.7</v>
      </c>
      <c r="D188" s="8">
        <v>3577.7</v>
      </c>
      <c r="E188" s="8">
        <v>0</v>
      </c>
      <c r="F188" s="8">
        <v>577.9</v>
      </c>
      <c r="G188" s="9">
        <v>2</v>
      </c>
      <c r="H188" s="9">
        <v>0</v>
      </c>
      <c r="I188" s="9">
        <v>400</v>
      </c>
      <c r="J188" s="9">
        <v>0</v>
      </c>
      <c r="K188" s="9" t="s">
        <v>83</v>
      </c>
      <c r="L188" s="10" t="s">
        <v>71</v>
      </c>
      <c r="M188" s="10">
        <v>0</v>
      </c>
      <c r="N188" s="10" t="s">
        <v>72</v>
      </c>
      <c r="O188" s="10" t="s">
        <v>72</v>
      </c>
      <c r="P188" s="5" t="s">
        <v>143</v>
      </c>
      <c r="Q188" s="11">
        <v>3</v>
      </c>
      <c r="R188" s="12">
        <v>41.34</v>
      </c>
      <c r="S188" s="10">
        <v>4.68</v>
      </c>
      <c r="T188" s="10">
        <v>7.92</v>
      </c>
      <c r="U188" s="10">
        <v>12.32</v>
      </c>
      <c r="V188" s="10">
        <v>6.34</v>
      </c>
      <c r="W188" s="10">
        <v>2.89</v>
      </c>
      <c r="X188" s="10">
        <v>1.66</v>
      </c>
      <c r="Y188" s="10">
        <v>5.29</v>
      </c>
      <c r="Z188" s="10">
        <v>0.24</v>
      </c>
      <c r="AA188" s="13">
        <v>7.0000000000000001E-3</v>
      </c>
      <c r="AB188" s="13">
        <v>7.0000000000000001E-3</v>
      </c>
      <c r="AC188" s="14">
        <f t="shared" si="41"/>
        <v>4.193E-4</v>
      </c>
      <c r="AD188" s="13">
        <f t="shared" si="42"/>
        <v>1.4E-2</v>
      </c>
      <c r="AE188" s="13">
        <v>3.23</v>
      </c>
      <c r="AF188" s="10">
        <v>4.29</v>
      </c>
      <c r="AG188" s="10">
        <v>3.17</v>
      </c>
      <c r="AH188" s="15">
        <v>5.9900000000000002E-2</v>
      </c>
      <c r="AI188" s="10">
        <f t="shared" si="40"/>
        <v>7.46</v>
      </c>
      <c r="AJ188" s="10">
        <v>0.02</v>
      </c>
      <c r="AK188" s="10">
        <v>10</v>
      </c>
      <c r="AL188" s="10">
        <v>0</v>
      </c>
      <c r="AM188" s="16">
        <v>40</v>
      </c>
      <c r="AN188" s="16">
        <v>40</v>
      </c>
      <c r="AO188" s="16">
        <v>2604.04</v>
      </c>
      <c r="AP188" s="10">
        <v>195.98199600000001</v>
      </c>
      <c r="AQ188" s="16">
        <v>42.3</v>
      </c>
      <c r="AR188" s="16">
        <v>2604.04</v>
      </c>
      <c r="AS188" s="10">
        <v>7.85</v>
      </c>
      <c r="AT188" s="13">
        <v>0</v>
      </c>
      <c r="AU188" s="10">
        <v>6.73</v>
      </c>
      <c r="AV188" s="17">
        <f t="shared" si="39"/>
        <v>36425.120391740769</v>
      </c>
      <c r="AW188" s="17">
        <v>15330.577013677294</v>
      </c>
      <c r="AX188" s="17">
        <v>13889.571629491777</v>
      </c>
      <c r="AY188" s="17">
        <v>7204.9717485716956</v>
      </c>
      <c r="BA188" s="18"/>
      <c r="BC188" s="19"/>
      <c r="BD188" s="19"/>
      <c r="BE188" s="19"/>
      <c r="BF188" s="19"/>
      <c r="BG188" s="19"/>
      <c r="BI188" s="16">
        <f t="shared" si="29"/>
        <v>0</v>
      </c>
      <c r="BJ188" s="16">
        <f t="shared" si="30"/>
        <v>3577.7</v>
      </c>
      <c r="BK188" s="16">
        <f t="shared" si="31"/>
        <v>3577.7</v>
      </c>
      <c r="BL188" s="16">
        <f t="shared" si="32"/>
        <v>3577.7</v>
      </c>
      <c r="BM188" s="16">
        <f t="shared" si="33"/>
        <v>3577.7</v>
      </c>
      <c r="BN188" s="16">
        <f t="shared" si="34"/>
        <v>3577.7</v>
      </c>
      <c r="BO188" s="16">
        <f t="shared" si="35"/>
        <v>3577.7</v>
      </c>
      <c r="BP188" s="16">
        <f t="shared" si="36"/>
        <v>0</v>
      </c>
    </row>
    <row r="189" spans="1:68" ht="12" customHeight="1" x14ac:dyDescent="0.25">
      <c r="A189" s="5">
        <f t="shared" si="37"/>
        <v>185</v>
      </c>
      <c r="B189" s="6" t="s">
        <v>269</v>
      </c>
      <c r="C189" s="7">
        <f t="shared" si="38"/>
        <v>4230.2</v>
      </c>
      <c r="D189" s="8">
        <v>4230.2</v>
      </c>
      <c r="E189" s="8">
        <v>0</v>
      </c>
      <c r="F189" s="8">
        <v>712.9</v>
      </c>
      <c r="G189" s="9">
        <v>2</v>
      </c>
      <c r="H189" s="9">
        <v>0</v>
      </c>
      <c r="I189" s="9">
        <v>400</v>
      </c>
      <c r="J189" s="9">
        <v>0</v>
      </c>
      <c r="K189" s="9" t="s">
        <v>83</v>
      </c>
      <c r="L189" s="10" t="s">
        <v>71</v>
      </c>
      <c r="M189" s="10">
        <v>0</v>
      </c>
      <c r="N189" s="10" t="s">
        <v>72</v>
      </c>
      <c r="O189" s="10" t="s">
        <v>72</v>
      </c>
      <c r="P189" s="5" t="s">
        <v>143</v>
      </c>
      <c r="Q189" s="11">
        <v>3</v>
      </c>
      <c r="R189" s="12">
        <v>41.34</v>
      </c>
      <c r="S189" s="10">
        <v>4.68</v>
      </c>
      <c r="T189" s="10">
        <v>7.92</v>
      </c>
      <c r="U189" s="10">
        <v>12.32</v>
      </c>
      <c r="V189" s="10">
        <v>6.34</v>
      </c>
      <c r="W189" s="10">
        <v>2.89</v>
      </c>
      <c r="X189" s="10">
        <v>1.66</v>
      </c>
      <c r="Y189" s="10">
        <v>5.29</v>
      </c>
      <c r="Z189" s="10">
        <v>0.24</v>
      </c>
      <c r="AA189" s="13">
        <v>7.0000000000000001E-3</v>
      </c>
      <c r="AB189" s="13">
        <v>7.0000000000000001E-3</v>
      </c>
      <c r="AC189" s="14">
        <f t="shared" si="41"/>
        <v>4.193E-4</v>
      </c>
      <c r="AD189" s="13">
        <f t="shared" si="42"/>
        <v>1.4E-2</v>
      </c>
      <c r="AE189" s="13">
        <v>3.23</v>
      </c>
      <c r="AF189" s="10">
        <v>4.29</v>
      </c>
      <c r="AG189" s="10">
        <v>3.17</v>
      </c>
      <c r="AH189" s="15">
        <v>5.9900000000000002E-2</v>
      </c>
      <c r="AI189" s="10">
        <f t="shared" si="40"/>
        <v>7.46</v>
      </c>
      <c r="AJ189" s="10">
        <v>0.02</v>
      </c>
      <c r="AK189" s="10">
        <v>10</v>
      </c>
      <c r="AL189" s="10">
        <v>0</v>
      </c>
      <c r="AM189" s="16">
        <v>40</v>
      </c>
      <c r="AN189" s="16">
        <v>40</v>
      </c>
      <c r="AO189" s="16">
        <v>2604.04</v>
      </c>
      <c r="AP189" s="10">
        <v>195.98199600000001</v>
      </c>
      <c r="AQ189" s="16">
        <v>42.3</v>
      </c>
      <c r="AR189" s="16">
        <v>2604.04</v>
      </c>
      <c r="AS189" s="10">
        <v>7.85</v>
      </c>
      <c r="AT189" s="13">
        <v>0</v>
      </c>
      <c r="AU189" s="10">
        <v>6.73</v>
      </c>
      <c r="AV189" s="17">
        <f t="shared" si="39"/>
        <v>43134.451281187881</v>
      </c>
      <c r="AW189" s="17">
        <v>18154.394739674906</v>
      </c>
      <c r="AX189" s="17">
        <v>16447.968944398654</v>
      </c>
      <c r="AY189" s="17">
        <v>8532.0875971143214</v>
      </c>
      <c r="BA189" s="18"/>
      <c r="BC189" s="19"/>
      <c r="BD189" s="19"/>
      <c r="BE189" s="19"/>
      <c r="BF189" s="19"/>
      <c r="BG189" s="19"/>
      <c r="BI189" s="16">
        <f t="shared" si="29"/>
        <v>0</v>
      </c>
      <c r="BJ189" s="16">
        <f t="shared" si="30"/>
        <v>4230.2</v>
      </c>
      <c r="BK189" s="16">
        <f t="shared" si="31"/>
        <v>4230.2</v>
      </c>
      <c r="BL189" s="16">
        <f t="shared" si="32"/>
        <v>4230.2</v>
      </c>
      <c r="BM189" s="16">
        <f t="shared" si="33"/>
        <v>4230.2</v>
      </c>
      <c r="BN189" s="16">
        <f t="shared" si="34"/>
        <v>4230.2</v>
      </c>
      <c r="BO189" s="16">
        <f t="shared" si="35"/>
        <v>4230.2</v>
      </c>
      <c r="BP189" s="16">
        <f t="shared" si="36"/>
        <v>0</v>
      </c>
    </row>
    <row r="190" spans="1:68" ht="12" customHeight="1" x14ac:dyDescent="0.25">
      <c r="A190" s="5">
        <f t="shared" si="37"/>
        <v>186</v>
      </c>
      <c r="B190" s="6" t="s">
        <v>270</v>
      </c>
      <c r="C190" s="7">
        <f t="shared" si="38"/>
        <v>5455.0599999999995</v>
      </c>
      <c r="D190" s="8">
        <v>5434.9</v>
      </c>
      <c r="E190" s="8">
        <v>20.16</v>
      </c>
      <c r="F190" s="8">
        <v>1224.5999999999999</v>
      </c>
      <c r="G190" s="9">
        <v>1</v>
      </c>
      <c r="H190" s="9">
        <v>1</v>
      </c>
      <c r="I190" s="9">
        <v>400</v>
      </c>
      <c r="J190" s="9">
        <v>630</v>
      </c>
      <c r="K190" s="9" t="s">
        <v>83</v>
      </c>
      <c r="L190" s="10" t="s">
        <v>71</v>
      </c>
      <c r="M190" s="10">
        <v>0</v>
      </c>
      <c r="N190" s="10" t="s">
        <v>72</v>
      </c>
      <c r="O190" s="10" t="s">
        <v>72</v>
      </c>
      <c r="P190" s="5" t="s">
        <v>143</v>
      </c>
      <c r="Q190" s="11">
        <v>3</v>
      </c>
      <c r="R190" s="12">
        <v>41.34</v>
      </c>
      <c r="S190" s="10">
        <v>4.68</v>
      </c>
      <c r="T190" s="10">
        <v>7.92</v>
      </c>
      <c r="U190" s="10">
        <v>12.32</v>
      </c>
      <c r="V190" s="10">
        <v>6.34</v>
      </c>
      <c r="W190" s="10">
        <v>2.89</v>
      </c>
      <c r="X190" s="10">
        <v>1.66</v>
      </c>
      <c r="Y190" s="10">
        <v>5.29</v>
      </c>
      <c r="Z190" s="10">
        <v>0.24</v>
      </c>
      <c r="AA190" s="13">
        <v>7.0000000000000001E-3</v>
      </c>
      <c r="AB190" s="13">
        <v>7.0000000000000001E-3</v>
      </c>
      <c r="AC190" s="14">
        <f t="shared" si="41"/>
        <v>4.193E-4</v>
      </c>
      <c r="AD190" s="13">
        <f t="shared" si="42"/>
        <v>1.4E-2</v>
      </c>
      <c r="AE190" s="13">
        <v>3.23</v>
      </c>
      <c r="AF190" s="10">
        <v>4.29</v>
      </c>
      <c r="AG190" s="10">
        <v>3.17</v>
      </c>
      <c r="AH190" s="15">
        <v>5.9900000000000002E-2</v>
      </c>
      <c r="AI190" s="10">
        <f t="shared" si="40"/>
        <v>7.46</v>
      </c>
      <c r="AJ190" s="10">
        <v>0.02</v>
      </c>
      <c r="AK190" s="10">
        <v>10</v>
      </c>
      <c r="AL190" s="10">
        <v>0</v>
      </c>
      <c r="AM190" s="16">
        <v>40</v>
      </c>
      <c r="AN190" s="16">
        <v>40</v>
      </c>
      <c r="AO190" s="16">
        <v>2604.04</v>
      </c>
      <c r="AP190" s="10">
        <v>195.98199600000001</v>
      </c>
      <c r="AQ190" s="16">
        <v>42.3</v>
      </c>
      <c r="AR190" s="16">
        <v>2604.04</v>
      </c>
      <c r="AS190" s="10">
        <v>7.85</v>
      </c>
      <c r="AT190" s="13">
        <v>0</v>
      </c>
      <c r="AU190" s="10">
        <v>6.73</v>
      </c>
      <c r="AV190" s="17">
        <f t="shared" si="39"/>
        <v>55557.569277340561</v>
      </c>
      <c r="AW190" s="17">
        <v>23383.023734874707</v>
      </c>
      <c r="AX190" s="17">
        <v>21185.136386432434</v>
      </c>
      <c r="AY190" s="17">
        <v>10989.409156033418</v>
      </c>
      <c r="BA190" s="18"/>
      <c r="BC190" s="19"/>
      <c r="BD190" s="19"/>
      <c r="BE190" s="19"/>
      <c r="BF190" s="19"/>
      <c r="BG190" s="19"/>
      <c r="BI190" s="16">
        <f t="shared" si="29"/>
        <v>0</v>
      </c>
      <c r="BJ190" s="16">
        <f t="shared" si="30"/>
        <v>5455.0599999999995</v>
      </c>
      <c r="BK190" s="16">
        <f t="shared" si="31"/>
        <v>5455.0599999999995</v>
      </c>
      <c r="BL190" s="16">
        <f t="shared" si="32"/>
        <v>5455.0599999999995</v>
      </c>
      <c r="BM190" s="16">
        <f t="shared" si="33"/>
        <v>5455.0599999999995</v>
      </c>
      <c r="BN190" s="16">
        <f t="shared" si="34"/>
        <v>5455.0599999999995</v>
      </c>
      <c r="BO190" s="16">
        <f t="shared" si="35"/>
        <v>5455.0599999999995</v>
      </c>
      <c r="BP190" s="16">
        <f t="shared" si="36"/>
        <v>0</v>
      </c>
    </row>
    <row r="191" spans="1:68" ht="12" customHeight="1" x14ac:dyDescent="0.25">
      <c r="A191" s="5">
        <f t="shared" si="37"/>
        <v>187</v>
      </c>
      <c r="B191" s="6" t="s">
        <v>271</v>
      </c>
      <c r="C191" s="7">
        <f t="shared" si="38"/>
        <v>4167.5</v>
      </c>
      <c r="D191" s="8">
        <v>4167.5</v>
      </c>
      <c r="E191" s="8">
        <v>0</v>
      </c>
      <c r="F191" s="8">
        <v>1164.5999999999999</v>
      </c>
      <c r="G191" s="9">
        <v>2</v>
      </c>
      <c r="H191" s="9">
        <v>0</v>
      </c>
      <c r="I191" s="9">
        <v>400</v>
      </c>
      <c r="J191" s="9">
        <v>0</v>
      </c>
      <c r="K191" s="9" t="s">
        <v>83</v>
      </c>
      <c r="L191" s="10" t="s">
        <v>71</v>
      </c>
      <c r="M191" s="10">
        <v>0</v>
      </c>
      <c r="N191" s="10" t="s">
        <v>72</v>
      </c>
      <c r="O191" s="10" t="s">
        <v>72</v>
      </c>
      <c r="P191" s="5" t="s">
        <v>143</v>
      </c>
      <c r="Q191" s="11">
        <v>3</v>
      </c>
      <c r="R191" s="12">
        <v>41.34</v>
      </c>
      <c r="S191" s="10">
        <v>4.68</v>
      </c>
      <c r="T191" s="10">
        <v>7.92</v>
      </c>
      <c r="U191" s="10">
        <v>12.32</v>
      </c>
      <c r="V191" s="10">
        <v>6.34</v>
      </c>
      <c r="W191" s="10">
        <v>2.89</v>
      </c>
      <c r="X191" s="10">
        <v>1.66</v>
      </c>
      <c r="Y191" s="10">
        <v>5.29</v>
      </c>
      <c r="Z191" s="10">
        <v>0.24</v>
      </c>
      <c r="AA191" s="13">
        <v>7.0000000000000001E-3</v>
      </c>
      <c r="AB191" s="13">
        <v>7.0000000000000001E-3</v>
      </c>
      <c r="AC191" s="14">
        <f t="shared" si="41"/>
        <v>4.193E-4</v>
      </c>
      <c r="AD191" s="13">
        <f t="shared" si="42"/>
        <v>1.4E-2</v>
      </c>
      <c r="AE191" s="13">
        <v>3.23</v>
      </c>
      <c r="AF191" s="10">
        <v>4.29</v>
      </c>
      <c r="AG191" s="10">
        <v>3.17</v>
      </c>
      <c r="AH191" s="15">
        <v>5.9900000000000002E-2</v>
      </c>
      <c r="AI191" s="10">
        <f t="shared" si="40"/>
        <v>7.46</v>
      </c>
      <c r="AJ191" s="10">
        <v>0.02</v>
      </c>
      <c r="AK191" s="10">
        <v>10</v>
      </c>
      <c r="AL191" s="10">
        <v>0</v>
      </c>
      <c r="AM191" s="16">
        <v>40</v>
      </c>
      <c r="AN191" s="16">
        <v>40</v>
      </c>
      <c r="AO191" s="16">
        <v>2604.04</v>
      </c>
      <c r="AP191" s="10">
        <v>195.98199600000001</v>
      </c>
      <c r="AQ191" s="16">
        <v>42.3</v>
      </c>
      <c r="AR191" s="16">
        <v>2604.04</v>
      </c>
      <c r="AS191" s="10">
        <v>7.85</v>
      </c>
      <c r="AT191" s="13">
        <v>0</v>
      </c>
      <c r="AU191" s="10">
        <v>6.73</v>
      </c>
      <c r="AV191" s="17">
        <f t="shared" si="39"/>
        <v>42444.865798026163</v>
      </c>
      <c r="AW191" s="17">
        <v>17864.160561523309</v>
      </c>
      <c r="AX191" s="17">
        <v>16185.017496233937</v>
      </c>
      <c r="AY191" s="17">
        <v>8395.6877402689097</v>
      </c>
      <c r="BA191" s="18"/>
      <c r="BC191" s="19"/>
      <c r="BD191" s="19"/>
      <c r="BE191" s="19"/>
      <c r="BF191" s="19"/>
      <c r="BG191" s="19"/>
      <c r="BI191" s="16">
        <f t="shared" si="29"/>
        <v>0</v>
      </c>
      <c r="BJ191" s="16">
        <f t="shared" si="30"/>
        <v>4167.5</v>
      </c>
      <c r="BK191" s="16">
        <f t="shared" si="31"/>
        <v>4167.5</v>
      </c>
      <c r="BL191" s="16">
        <f t="shared" si="32"/>
        <v>4167.5</v>
      </c>
      <c r="BM191" s="16">
        <f t="shared" si="33"/>
        <v>4167.5</v>
      </c>
      <c r="BN191" s="16">
        <f t="shared" si="34"/>
        <v>4167.5</v>
      </c>
      <c r="BO191" s="16">
        <f t="shared" si="35"/>
        <v>4167.5</v>
      </c>
      <c r="BP191" s="16">
        <f t="shared" si="36"/>
        <v>0</v>
      </c>
    </row>
    <row r="192" spans="1:68" ht="12" customHeight="1" x14ac:dyDescent="0.25">
      <c r="A192" s="5">
        <f t="shared" si="37"/>
        <v>188</v>
      </c>
      <c r="B192" s="6" t="s">
        <v>272</v>
      </c>
      <c r="C192" s="7">
        <f t="shared" si="38"/>
        <v>4184.8</v>
      </c>
      <c r="D192" s="8">
        <v>4184.8</v>
      </c>
      <c r="E192" s="8">
        <v>0</v>
      </c>
      <c r="F192" s="8">
        <v>1100.4000000000001</v>
      </c>
      <c r="G192" s="9">
        <v>2</v>
      </c>
      <c r="H192" s="9">
        <v>0</v>
      </c>
      <c r="I192" s="9">
        <v>400</v>
      </c>
      <c r="J192" s="9">
        <v>0</v>
      </c>
      <c r="K192" s="9" t="s">
        <v>83</v>
      </c>
      <c r="L192" s="10" t="s">
        <v>71</v>
      </c>
      <c r="M192" s="10">
        <v>0</v>
      </c>
      <c r="N192" s="10" t="s">
        <v>72</v>
      </c>
      <c r="O192" s="10" t="s">
        <v>72</v>
      </c>
      <c r="P192" s="5" t="s">
        <v>143</v>
      </c>
      <c r="Q192" s="11">
        <v>3</v>
      </c>
      <c r="R192" s="12">
        <v>41.34</v>
      </c>
      <c r="S192" s="10">
        <v>4.68</v>
      </c>
      <c r="T192" s="10">
        <v>7.92</v>
      </c>
      <c r="U192" s="10">
        <v>12.32</v>
      </c>
      <c r="V192" s="10">
        <v>6.34</v>
      </c>
      <c r="W192" s="10">
        <v>2.89</v>
      </c>
      <c r="X192" s="10">
        <v>1.66</v>
      </c>
      <c r="Y192" s="10">
        <v>5.29</v>
      </c>
      <c r="Z192" s="10">
        <v>0.24</v>
      </c>
      <c r="AA192" s="13">
        <v>7.0000000000000001E-3</v>
      </c>
      <c r="AB192" s="13">
        <v>7.0000000000000001E-3</v>
      </c>
      <c r="AC192" s="14">
        <f t="shared" si="41"/>
        <v>4.193E-4</v>
      </c>
      <c r="AD192" s="13">
        <f t="shared" si="42"/>
        <v>1.4E-2</v>
      </c>
      <c r="AE192" s="13">
        <v>3.23</v>
      </c>
      <c r="AF192" s="10">
        <v>4.29</v>
      </c>
      <c r="AG192" s="10">
        <v>3.17</v>
      </c>
      <c r="AH192" s="15">
        <v>5.9900000000000002E-2</v>
      </c>
      <c r="AI192" s="10">
        <f t="shared" si="40"/>
        <v>7.46</v>
      </c>
      <c r="AJ192" s="10">
        <v>0.02</v>
      </c>
      <c r="AK192" s="10">
        <v>10</v>
      </c>
      <c r="AL192" s="10">
        <v>0</v>
      </c>
      <c r="AM192" s="16">
        <v>40</v>
      </c>
      <c r="AN192" s="16">
        <v>40</v>
      </c>
      <c r="AO192" s="16">
        <v>2604.04</v>
      </c>
      <c r="AP192" s="10">
        <v>195.98199600000001</v>
      </c>
      <c r="AQ192" s="16">
        <v>42.3</v>
      </c>
      <c r="AR192" s="16">
        <v>2604.04</v>
      </c>
      <c r="AS192" s="10">
        <v>7.85</v>
      </c>
      <c r="AT192" s="13">
        <v>0</v>
      </c>
      <c r="AU192" s="10">
        <v>6.73</v>
      </c>
      <c r="AV192" s="17">
        <f t="shared" si="39"/>
        <v>42604.796664658017</v>
      </c>
      <c r="AW192" s="17">
        <v>17931.47083570731</v>
      </c>
      <c r="AX192" s="17">
        <v>16245.996742579731</v>
      </c>
      <c r="AY192" s="17">
        <v>8427.329086370979</v>
      </c>
      <c r="BA192" s="18"/>
      <c r="BC192" s="19"/>
      <c r="BD192" s="19"/>
      <c r="BE192" s="19"/>
      <c r="BF192" s="19"/>
      <c r="BG192" s="19"/>
      <c r="BI192" s="16">
        <f t="shared" si="29"/>
        <v>0</v>
      </c>
      <c r="BJ192" s="16">
        <f t="shared" si="30"/>
        <v>4184.8</v>
      </c>
      <c r="BK192" s="16">
        <f t="shared" si="31"/>
        <v>4184.8</v>
      </c>
      <c r="BL192" s="16">
        <f t="shared" si="32"/>
        <v>4184.8</v>
      </c>
      <c r="BM192" s="16">
        <f t="shared" si="33"/>
        <v>4184.8</v>
      </c>
      <c r="BN192" s="16">
        <f t="shared" si="34"/>
        <v>4184.8</v>
      </c>
      <c r="BO192" s="16">
        <f t="shared" si="35"/>
        <v>4184.8</v>
      </c>
      <c r="BP192" s="16">
        <f t="shared" si="36"/>
        <v>0</v>
      </c>
    </row>
    <row r="193" spans="1:68" ht="12" customHeight="1" x14ac:dyDescent="0.25">
      <c r="A193" s="5">
        <f t="shared" si="37"/>
        <v>189</v>
      </c>
      <c r="B193" s="6" t="s">
        <v>273</v>
      </c>
      <c r="C193" s="7">
        <f t="shared" si="38"/>
        <v>5377.9</v>
      </c>
      <c r="D193" s="8">
        <v>5377.9</v>
      </c>
      <c r="E193" s="8">
        <v>0</v>
      </c>
      <c r="F193" s="8">
        <v>1226.3</v>
      </c>
      <c r="G193" s="9">
        <v>1</v>
      </c>
      <c r="H193" s="9">
        <v>1</v>
      </c>
      <c r="I193" s="9">
        <v>400</v>
      </c>
      <c r="J193" s="9">
        <v>630</v>
      </c>
      <c r="K193" s="9" t="s">
        <v>83</v>
      </c>
      <c r="L193" s="10" t="s">
        <v>71</v>
      </c>
      <c r="M193" s="10">
        <v>0</v>
      </c>
      <c r="N193" s="10" t="s">
        <v>72</v>
      </c>
      <c r="O193" s="10" t="s">
        <v>72</v>
      </c>
      <c r="P193" s="5" t="s">
        <v>143</v>
      </c>
      <c r="Q193" s="11">
        <v>3</v>
      </c>
      <c r="R193" s="12">
        <v>41.34</v>
      </c>
      <c r="S193" s="10">
        <v>4.68</v>
      </c>
      <c r="T193" s="10">
        <v>7.92</v>
      </c>
      <c r="U193" s="10">
        <v>12.32</v>
      </c>
      <c r="V193" s="10">
        <v>6.34</v>
      </c>
      <c r="W193" s="10">
        <v>2.89</v>
      </c>
      <c r="X193" s="10">
        <v>1.66</v>
      </c>
      <c r="Y193" s="10">
        <v>5.29</v>
      </c>
      <c r="Z193" s="10">
        <v>0.24</v>
      </c>
      <c r="AA193" s="13">
        <v>7.0000000000000001E-3</v>
      </c>
      <c r="AB193" s="13">
        <v>7.0000000000000001E-3</v>
      </c>
      <c r="AC193" s="14">
        <f t="shared" si="41"/>
        <v>4.193E-4</v>
      </c>
      <c r="AD193" s="13">
        <f t="shared" si="42"/>
        <v>1.4E-2</v>
      </c>
      <c r="AE193" s="13">
        <v>3.23</v>
      </c>
      <c r="AF193" s="10">
        <v>4.29</v>
      </c>
      <c r="AG193" s="10">
        <v>3.17</v>
      </c>
      <c r="AH193" s="15">
        <v>5.9900000000000002E-2</v>
      </c>
      <c r="AI193" s="10">
        <f t="shared" si="40"/>
        <v>7.46</v>
      </c>
      <c r="AJ193" s="10">
        <v>0.02</v>
      </c>
      <c r="AK193" s="10">
        <v>10</v>
      </c>
      <c r="AL193" s="10">
        <v>0</v>
      </c>
      <c r="AM193" s="16">
        <v>40</v>
      </c>
      <c r="AN193" s="16">
        <v>40</v>
      </c>
      <c r="AO193" s="16">
        <v>2604.04</v>
      </c>
      <c r="AP193" s="10">
        <v>195.98199600000001</v>
      </c>
      <c r="AQ193" s="16">
        <v>42.3</v>
      </c>
      <c r="AR193" s="16">
        <v>2604.04</v>
      </c>
      <c r="AS193" s="10">
        <v>7.85</v>
      </c>
      <c r="AT193" s="13">
        <v>0</v>
      </c>
      <c r="AU193" s="10">
        <v>6.73</v>
      </c>
      <c r="AV193" s="17">
        <f t="shared" si="39"/>
        <v>54716.632228887633</v>
      </c>
      <c r="AW193" s="17">
        <v>23029.093071849809</v>
      </c>
      <c r="AX193" s="17">
        <v>20864.474654008318</v>
      </c>
      <c r="AY193" s="17">
        <v>10823.064503029507</v>
      </c>
      <c r="BA193" s="18"/>
      <c r="BC193" s="19"/>
      <c r="BD193" s="19"/>
      <c r="BE193" s="19"/>
      <c r="BF193" s="19"/>
      <c r="BG193" s="19"/>
      <c r="BI193" s="16">
        <f t="shared" si="29"/>
        <v>0</v>
      </c>
      <c r="BJ193" s="16">
        <f t="shared" si="30"/>
        <v>5377.9</v>
      </c>
      <c r="BK193" s="16">
        <f t="shared" si="31"/>
        <v>5377.9</v>
      </c>
      <c r="BL193" s="16">
        <f t="shared" si="32"/>
        <v>5377.9</v>
      </c>
      <c r="BM193" s="16">
        <f t="shared" si="33"/>
        <v>5377.9</v>
      </c>
      <c r="BN193" s="16">
        <f t="shared" si="34"/>
        <v>5377.9</v>
      </c>
      <c r="BO193" s="16">
        <f t="shared" si="35"/>
        <v>5377.9</v>
      </c>
      <c r="BP193" s="16">
        <f t="shared" si="36"/>
        <v>0</v>
      </c>
    </row>
    <row r="194" spans="1:68" ht="12" customHeight="1" x14ac:dyDescent="0.25">
      <c r="A194" s="5">
        <f t="shared" si="37"/>
        <v>190</v>
      </c>
      <c r="B194" s="6" t="s">
        <v>274</v>
      </c>
      <c r="C194" s="7">
        <f t="shared" si="38"/>
        <v>5357</v>
      </c>
      <c r="D194" s="8">
        <v>5357</v>
      </c>
      <c r="E194" s="8">
        <v>0</v>
      </c>
      <c r="F194" s="8">
        <v>1216.7</v>
      </c>
      <c r="G194" s="9">
        <v>1</v>
      </c>
      <c r="H194" s="9">
        <v>1</v>
      </c>
      <c r="I194" s="9">
        <v>400</v>
      </c>
      <c r="J194" s="9">
        <v>630</v>
      </c>
      <c r="K194" s="9" t="s">
        <v>83</v>
      </c>
      <c r="L194" s="10" t="s">
        <v>71</v>
      </c>
      <c r="M194" s="10">
        <v>0</v>
      </c>
      <c r="N194" s="10" t="s">
        <v>72</v>
      </c>
      <c r="O194" s="10" t="s">
        <v>72</v>
      </c>
      <c r="P194" s="5" t="s">
        <v>143</v>
      </c>
      <c r="Q194" s="11">
        <v>3</v>
      </c>
      <c r="R194" s="12">
        <v>41.34</v>
      </c>
      <c r="S194" s="10">
        <v>4.68</v>
      </c>
      <c r="T194" s="10">
        <v>7.92</v>
      </c>
      <c r="U194" s="10">
        <v>12.32</v>
      </c>
      <c r="V194" s="10">
        <v>6.34</v>
      </c>
      <c r="W194" s="10">
        <v>2.89</v>
      </c>
      <c r="X194" s="10">
        <v>1.66</v>
      </c>
      <c r="Y194" s="10">
        <v>5.29</v>
      </c>
      <c r="Z194" s="10">
        <v>0.24</v>
      </c>
      <c r="AA194" s="13">
        <v>7.0000000000000001E-3</v>
      </c>
      <c r="AB194" s="13">
        <v>7.0000000000000001E-3</v>
      </c>
      <c r="AC194" s="14">
        <f t="shared" si="41"/>
        <v>4.193E-4</v>
      </c>
      <c r="AD194" s="13">
        <f t="shared" si="42"/>
        <v>1.4E-2</v>
      </c>
      <c r="AE194" s="13">
        <v>3.23</v>
      </c>
      <c r="AF194" s="10">
        <v>4.29</v>
      </c>
      <c r="AG194" s="10">
        <v>3.17</v>
      </c>
      <c r="AH194" s="15">
        <v>5.9900000000000002E-2</v>
      </c>
      <c r="AI194" s="10">
        <f t="shared" si="40"/>
        <v>7.46</v>
      </c>
      <c r="AJ194" s="10">
        <v>0.02</v>
      </c>
      <c r="AK194" s="10">
        <v>10</v>
      </c>
      <c r="AL194" s="10">
        <v>0</v>
      </c>
      <c r="AM194" s="16">
        <v>40</v>
      </c>
      <c r="AN194" s="16">
        <v>40</v>
      </c>
      <c r="AO194" s="16">
        <v>2604.04</v>
      </c>
      <c r="AP194" s="10">
        <v>195.98199600000001</v>
      </c>
      <c r="AQ194" s="16">
        <v>42.3</v>
      </c>
      <c r="AR194" s="16">
        <v>2604.04</v>
      </c>
      <c r="AS194" s="10">
        <v>7.85</v>
      </c>
      <c r="AT194" s="13">
        <v>0</v>
      </c>
      <c r="AU194" s="10">
        <v>6.73</v>
      </c>
      <c r="AV194" s="17">
        <f t="shared" si="39"/>
        <v>54550.591023841116</v>
      </c>
      <c r="AW194" s="17">
        <v>22959.217283116988</v>
      </c>
      <c r="AX194" s="17">
        <v>20801.150582537255</v>
      </c>
      <c r="AY194" s="17">
        <v>10790.223158186865</v>
      </c>
      <c r="BA194" s="18"/>
      <c r="BC194" s="19"/>
      <c r="BD194" s="19"/>
      <c r="BE194" s="19"/>
      <c r="BF194" s="19"/>
      <c r="BG194" s="19"/>
      <c r="BI194" s="16">
        <f t="shared" si="29"/>
        <v>0</v>
      </c>
      <c r="BJ194" s="16">
        <f t="shared" si="30"/>
        <v>5357</v>
      </c>
      <c r="BK194" s="16">
        <f t="shared" si="31"/>
        <v>5357</v>
      </c>
      <c r="BL194" s="16">
        <f t="shared" si="32"/>
        <v>5357</v>
      </c>
      <c r="BM194" s="16">
        <f t="shared" si="33"/>
        <v>5357</v>
      </c>
      <c r="BN194" s="16">
        <f t="shared" si="34"/>
        <v>5357</v>
      </c>
      <c r="BO194" s="16">
        <f t="shared" si="35"/>
        <v>5357</v>
      </c>
      <c r="BP194" s="16">
        <f t="shared" si="36"/>
        <v>0</v>
      </c>
    </row>
    <row r="195" spans="1:68" ht="12" customHeight="1" x14ac:dyDescent="0.25">
      <c r="A195" s="5">
        <f t="shared" si="37"/>
        <v>191</v>
      </c>
      <c r="B195" s="6" t="s">
        <v>275</v>
      </c>
      <c r="C195" s="7">
        <f t="shared" si="38"/>
        <v>5375</v>
      </c>
      <c r="D195" s="8">
        <v>5375</v>
      </c>
      <c r="E195" s="8">
        <v>0</v>
      </c>
      <c r="F195" s="8">
        <v>2019.6</v>
      </c>
      <c r="G195" s="9">
        <v>1</v>
      </c>
      <c r="H195" s="9">
        <v>1</v>
      </c>
      <c r="I195" s="9">
        <v>400</v>
      </c>
      <c r="J195" s="9">
        <v>630</v>
      </c>
      <c r="K195" s="9" t="s">
        <v>83</v>
      </c>
      <c r="L195" s="10" t="s">
        <v>71</v>
      </c>
      <c r="M195" s="10">
        <v>0</v>
      </c>
      <c r="N195" s="10" t="s">
        <v>72</v>
      </c>
      <c r="O195" s="10" t="s">
        <v>72</v>
      </c>
      <c r="P195" s="5" t="s">
        <v>143</v>
      </c>
      <c r="Q195" s="11">
        <v>3</v>
      </c>
      <c r="R195" s="12">
        <v>41.34</v>
      </c>
      <c r="S195" s="10">
        <v>4.68</v>
      </c>
      <c r="T195" s="10">
        <v>7.92</v>
      </c>
      <c r="U195" s="10">
        <v>12.32</v>
      </c>
      <c r="V195" s="10">
        <v>6.34</v>
      </c>
      <c r="W195" s="10">
        <v>2.89</v>
      </c>
      <c r="X195" s="10">
        <v>1.66</v>
      </c>
      <c r="Y195" s="10">
        <v>5.29</v>
      </c>
      <c r="Z195" s="10">
        <v>0.24</v>
      </c>
      <c r="AA195" s="13">
        <v>7.0000000000000001E-3</v>
      </c>
      <c r="AB195" s="13">
        <v>7.0000000000000001E-3</v>
      </c>
      <c r="AC195" s="14">
        <f t="shared" si="41"/>
        <v>4.193E-4</v>
      </c>
      <c r="AD195" s="13">
        <f t="shared" si="42"/>
        <v>1.4E-2</v>
      </c>
      <c r="AE195" s="13">
        <v>3.23</v>
      </c>
      <c r="AF195" s="10">
        <v>4.29</v>
      </c>
      <c r="AG195" s="10">
        <v>3.17</v>
      </c>
      <c r="AH195" s="15">
        <v>5.9900000000000002E-2</v>
      </c>
      <c r="AI195" s="10">
        <f t="shared" si="40"/>
        <v>7.46</v>
      </c>
      <c r="AJ195" s="10">
        <v>0.02</v>
      </c>
      <c r="AK195" s="10">
        <v>10</v>
      </c>
      <c r="AL195" s="10">
        <v>0</v>
      </c>
      <c r="AM195" s="16">
        <v>40</v>
      </c>
      <c r="AN195" s="16">
        <v>40</v>
      </c>
      <c r="AO195" s="16">
        <v>2604.04</v>
      </c>
      <c r="AP195" s="10">
        <v>195.98199600000001</v>
      </c>
      <c r="AQ195" s="16">
        <v>42.3</v>
      </c>
      <c r="AR195" s="16">
        <v>2604.04</v>
      </c>
      <c r="AS195" s="10">
        <v>7.85</v>
      </c>
      <c r="AT195" s="13">
        <v>0</v>
      </c>
      <c r="AU195" s="10">
        <v>6.73</v>
      </c>
      <c r="AV195" s="17">
        <f t="shared" si="39"/>
        <v>54662.646078650709</v>
      </c>
      <c r="AW195" s="17">
        <v>23006.375854312708</v>
      </c>
      <c r="AX195" s="17">
        <v>20843.881572172922</v>
      </c>
      <c r="AY195" s="17">
        <v>10812.38865216508</v>
      </c>
      <c r="BA195" s="18"/>
      <c r="BC195" s="19"/>
      <c r="BD195" s="19"/>
      <c r="BE195" s="19"/>
      <c r="BF195" s="19"/>
      <c r="BG195" s="19"/>
      <c r="BI195" s="16">
        <f t="shared" si="29"/>
        <v>0</v>
      </c>
      <c r="BJ195" s="16">
        <f t="shared" si="30"/>
        <v>5375</v>
      </c>
      <c r="BK195" s="16">
        <f t="shared" si="31"/>
        <v>5375</v>
      </c>
      <c r="BL195" s="16">
        <f t="shared" si="32"/>
        <v>5375</v>
      </c>
      <c r="BM195" s="16">
        <f t="shared" si="33"/>
        <v>5375</v>
      </c>
      <c r="BN195" s="16">
        <f t="shared" si="34"/>
        <v>5375</v>
      </c>
      <c r="BO195" s="16">
        <f t="shared" si="35"/>
        <v>5375</v>
      </c>
      <c r="BP195" s="16">
        <f t="shared" si="36"/>
        <v>0</v>
      </c>
    </row>
    <row r="196" spans="1:68" ht="12" customHeight="1" x14ac:dyDescent="0.25">
      <c r="A196" s="5">
        <f t="shared" si="37"/>
        <v>192</v>
      </c>
      <c r="B196" s="6" t="s">
        <v>276</v>
      </c>
      <c r="C196" s="7">
        <f t="shared" si="38"/>
        <v>4210.2</v>
      </c>
      <c r="D196" s="8">
        <v>4210.2</v>
      </c>
      <c r="E196" s="8">
        <v>0</v>
      </c>
      <c r="F196" s="8">
        <v>1155.4000000000001</v>
      </c>
      <c r="G196" s="9">
        <v>2</v>
      </c>
      <c r="H196" s="9">
        <v>0</v>
      </c>
      <c r="I196" s="9">
        <v>400</v>
      </c>
      <c r="J196" s="9">
        <v>0</v>
      </c>
      <c r="K196" s="9" t="s">
        <v>83</v>
      </c>
      <c r="L196" s="10" t="s">
        <v>71</v>
      </c>
      <c r="M196" s="10">
        <v>0</v>
      </c>
      <c r="N196" s="10" t="s">
        <v>72</v>
      </c>
      <c r="O196" s="10" t="s">
        <v>72</v>
      </c>
      <c r="P196" s="5" t="s">
        <v>143</v>
      </c>
      <c r="Q196" s="11">
        <v>3</v>
      </c>
      <c r="R196" s="12">
        <v>41.34</v>
      </c>
      <c r="S196" s="10">
        <v>4.68</v>
      </c>
      <c r="T196" s="10">
        <v>7.92</v>
      </c>
      <c r="U196" s="10">
        <v>12.32</v>
      </c>
      <c r="V196" s="10">
        <v>6.34</v>
      </c>
      <c r="W196" s="10">
        <v>2.89</v>
      </c>
      <c r="X196" s="10">
        <v>1.66</v>
      </c>
      <c r="Y196" s="10">
        <v>5.29</v>
      </c>
      <c r="Z196" s="10">
        <v>0.24</v>
      </c>
      <c r="AA196" s="13">
        <v>7.0000000000000001E-3</v>
      </c>
      <c r="AB196" s="13">
        <v>7.0000000000000001E-3</v>
      </c>
      <c r="AC196" s="14">
        <f t="shared" si="41"/>
        <v>4.193E-4</v>
      </c>
      <c r="AD196" s="13">
        <f t="shared" si="42"/>
        <v>1.4E-2</v>
      </c>
      <c r="AE196" s="13">
        <v>3.23</v>
      </c>
      <c r="AF196" s="10">
        <v>4.29</v>
      </c>
      <c r="AG196" s="10">
        <v>3.17</v>
      </c>
      <c r="AH196" s="15">
        <v>5.9900000000000002E-2</v>
      </c>
      <c r="AI196" s="10">
        <f t="shared" si="40"/>
        <v>7.46</v>
      </c>
      <c r="AJ196" s="10">
        <v>0.02</v>
      </c>
      <c r="AK196" s="10">
        <v>10</v>
      </c>
      <c r="AL196" s="10">
        <v>0</v>
      </c>
      <c r="AM196" s="16">
        <v>40</v>
      </c>
      <c r="AN196" s="16">
        <v>40</v>
      </c>
      <c r="AO196" s="16">
        <v>2604.04</v>
      </c>
      <c r="AP196" s="10">
        <v>195.98199600000001</v>
      </c>
      <c r="AQ196" s="16">
        <v>42.3</v>
      </c>
      <c r="AR196" s="16">
        <v>2604.04</v>
      </c>
      <c r="AS196" s="10">
        <v>7.85</v>
      </c>
      <c r="AT196" s="13">
        <v>0</v>
      </c>
      <c r="AU196" s="10">
        <v>6.73</v>
      </c>
      <c r="AV196" s="17">
        <f t="shared" si="39"/>
        <v>42707.679315301153</v>
      </c>
      <c r="AW196" s="17">
        <v>17974.767341990831</v>
      </c>
      <c r="AX196" s="17">
        <v>16285.238080705447</v>
      </c>
      <c r="AY196" s="17">
        <v>8447.6738926048729</v>
      </c>
      <c r="BA196" s="18"/>
      <c r="BC196" s="19"/>
      <c r="BD196" s="19"/>
      <c r="BE196" s="19"/>
      <c r="BF196" s="19"/>
      <c r="BG196" s="19"/>
      <c r="BI196" s="16">
        <f t="shared" si="29"/>
        <v>0</v>
      </c>
      <c r="BJ196" s="16">
        <f t="shared" si="30"/>
        <v>4210.2</v>
      </c>
      <c r="BK196" s="16">
        <f t="shared" si="31"/>
        <v>4210.2</v>
      </c>
      <c r="BL196" s="16">
        <f t="shared" si="32"/>
        <v>4210.2</v>
      </c>
      <c r="BM196" s="16">
        <f t="shared" si="33"/>
        <v>4210.2</v>
      </c>
      <c r="BN196" s="16">
        <f t="shared" si="34"/>
        <v>4210.2</v>
      </c>
      <c r="BO196" s="16">
        <f t="shared" si="35"/>
        <v>4210.2</v>
      </c>
      <c r="BP196" s="16">
        <f t="shared" si="36"/>
        <v>0</v>
      </c>
    </row>
    <row r="197" spans="1:68" ht="12" customHeight="1" x14ac:dyDescent="0.25">
      <c r="A197" s="5">
        <f t="shared" si="37"/>
        <v>193</v>
      </c>
      <c r="B197" s="6" t="s">
        <v>277</v>
      </c>
      <c r="C197" s="7">
        <f t="shared" si="38"/>
        <v>6338.79</v>
      </c>
      <c r="D197" s="8">
        <v>6313.5</v>
      </c>
      <c r="E197" s="8">
        <v>25.29</v>
      </c>
      <c r="F197" s="8">
        <v>1427.1</v>
      </c>
      <c r="G197" s="9">
        <v>4</v>
      </c>
      <c r="H197" s="9">
        <v>0</v>
      </c>
      <c r="I197" s="9">
        <v>400</v>
      </c>
      <c r="J197" s="9">
        <v>0</v>
      </c>
      <c r="K197" s="9" t="s">
        <v>71</v>
      </c>
      <c r="L197" s="10" t="s">
        <v>71</v>
      </c>
      <c r="M197" s="10">
        <v>0</v>
      </c>
      <c r="N197" s="10" t="s">
        <v>72</v>
      </c>
      <c r="O197" s="10" t="s">
        <v>72</v>
      </c>
      <c r="P197" s="5" t="s">
        <v>143</v>
      </c>
      <c r="Q197" s="11">
        <v>1</v>
      </c>
      <c r="R197" s="12">
        <v>41.1</v>
      </c>
      <c r="S197" s="10">
        <v>4.68</v>
      </c>
      <c r="T197" s="10">
        <v>7.92</v>
      </c>
      <c r="U197" s="10">
        <v>12.32</v>
      </c>
      <c r="V197" s="10">
        <v>6.34</v>
      </c>
      <c r="W197" s="10">
        <v>2.89</v>
      </c>
      <c r="X197" s="10">
        <v>1.66</v>
      </c>
      <c r="Y197" s="10">
        <v>5.29</v>
      </c>
      <c r="Z197" s="10">
        <v>0</v>
      </c>
      <c r="AA197" s="13">
        <v>7.0000000000000001E-3</v>
      </c>
      <c r="AB197" s="13">
        <v>7.0000000000000001E-3</v>
      </c>
      <c r="AC197" s="14">
        <f t="shared" si="41"/>
        <v>4.193E-4</v>
      </c>
      <c r="AD197" s="13">
        <f t="shared" si="42"/>
        <v>1.4E-2</v>
      </c>
      <c r="AE197" s="13">
        <v>3.23</v>
      </c>
      <c r="AF197" s="10">
        <v>4.29</v>
      </c>
      <c r="AG197" s="10">
        <v>3.17</v>
      </c>
      <c r="AH197" s="15">
        <v>5.9900000000000002E-2</v>
      </c>
      <c r="AI197" s="10">
        <f t="shared" si="40"/>
        <v>7.46</v>
      </c>
      <c r="AJ197" s="10">
        <v>0.02</v>
      </c>
      <c r="AK197" s="13">
        <v>0</v>
      </c>
      <c r="AL197" s="10">
        <v>0</v>
      </c>
      <c r="AM197" s="16">
        <v>40</v>
      </c>
      <c r="AN197" s="16">
        <v>40</v>
      </c>
      <c r="AO197" s="16">
        <v>2604.04</v>
      </c>
      <c r="AP197" s="10">
        <v>195.98199600000001</v>
      </c>
      <c r="AQ197" s="16">
        <v>42.3</v>
      </c>
      <c r="AR197" s="16">
        <v>2604.04</v>
      </c>
      <c r="AS197" s="10">
        <v>0</v>
      </c>
      <c r="AT197" s="13">
        <v>0</v>
      </c>
      <c r="AU197" s="10">
        <v>5.05</v>
      </c>
      <c r="AV197" s="17">
        <f t="shared" si="39"/>
        <v>64680.401082042314</v>
      </c>
      <c r="AW197" s="17">
        <v>27222.633498224957</v>
      </c>
      <c r="AX197" s="17">
        <v>24663.836183737883</v>
      </c>
      <c r="AY197" s="17">
        <v>12793.931400079467</v>
      </c>
      <c r="BA197" s="18"/>
      <c r="BC197" s="19"/>
      <c r="BD197" s="19"/>
      <c r="BE197" s="19"/>
      <c r="BF197" s="19"/>
      <c r="BG197" s="19"/>
      <c r="BI197" s="16">
        <f t="shared" ref="BI197:BI243" si="43">IF(Q197=1,C197,0)</f>
        <v>6338.79</v>
      </c>
      <c r="BJ197" s="16">
        <f t="shared" ref="BJ197:BJ243" si="44">IF(Q197=3,C197,0)</f>
        <v>0</v>
      </c>
      <c r="BK197" s="16">
        <f t="shared" ref="BK197:BK243" si="45">IF(AF197&gt;0,C197,0)</f>
        <v>6338.79</v>
      </c>
      <c r="BL197" s="16">
        <f t="shared" ref="BL197:BL243" si="46">IF(AG197&gt;0,C197,0)</f>
        <v>6338.79</v>
      </c>
      <c r="BM197" s="16">
        <f t="shared" ref="BM197:BM243" si="47">IF(AI197&gt;0,C197,0)</f>
        <v>6338.79</v>
      </c>
      <c r="BN197" s="16">
        <f t="shared" ref="BN197:BN243" si="48">IF(AJ197&gt;0,C197,0)</f>
        <v>6338.79</v>
      </c>
      <c r="BO197" s="16">
        <f t="shared" ref="BO197:BO227" si="49">IF(AU197=6.73,C197,0)</f>
        <v>0</v>
      </c>
      <c r="BP197" s="16">
        <f t="shared" ref="BP197:BP229" si="50">IF(AU197=5.05,C197,0)</f>
        <v>6338.79</v>
      </c>
    </row>
    <row r="198" spans="1:68" ht="12" customHeight="1" x14ac:dyDescent="0.25">
      <c r="A198" s="5">
        <f t="shared" si="37"/>
        <v>194</v>
      </c>
      <c r="B198" s="6" t="s">
        <v>278</v>
      </c>
      <c r="C198" s="7">
        <f t="shared" si="38"/>
        <v>28921.599999999984</v>
      </c>
      <c r="D198" s="8">
        <v>23865.599999999984</v>
      </c>
      <c r="E198" s="8">
        <v>5056</v>
      </c>
      <c r="F198" s="8">
        <v>5071.5</v>
      </c>
      <c r="G198" s="9">
        <v>2</v>
      </c>
      <c r="H198" s="9">
        <v>5</v>
      </c>
      <c r="I198" s="9">
        <v>400</v>
      </c>
      <c r="J198" s="9">
        <v>630</v>
      </c>
      <c r="K198" s="9" t="s">
        <v>160</v>
      </c>
      <c r="L198" s="10" t="s">
        <v>71</v>
      </c>
      <c r="M198" s="10">
        <v>0</v>
      </c>
      <c r="N198" s="10" t="s">
        <v>72</v>
      </c>
      <c r="O198" s="10" t="s">
        <v>72</v>
      </c>
      <c r="P198" s="5" t="s">
        <v>143</v>
      </c>
      <c r="Q198" s="11">
        <v>1</v>
      </c>
      <c r="R198" s="21">
        <v>36.54</v>
      </c>
      <c r="S198" s="10">
        <v>4.03</v>
      </c>
      <c r="T198" s="10">
        <v>7</v>
      </c>
      <c r="U198" s="10">
        <v>11</v>
      </c>
      <c r="V198" s="10">
        <v>5.4</v>
      </c>
      <c r="W198" s="10">
        <v>2.67</v>
      </c>
      <c r="X198" s="10">
        <v>1.54</v>
      </c>
      <c r="Y198" s="10">
        <v>4.9000000000000004</v>
      </c>
      <c r="Z198" s="10">
        <v>0</v>
      </c>
      <c r="AA198" s="13">
        <v>5.0000000000000001E-3</v>
      </c>
      <c r="AB198" s="13">
        <v>5.0000000000000001E-3</v>
      </c>
      <c r="AC198" s="14">
        <f t="shared" si="41"/>
        <v>2.9950000000000002E-4</v>
      </c>
      <c r="AD198" s="13">
        <f t="shared" si="42"/>
        <v>0.01</v>
      </c>
      <c r="AE198" s="13">
        <v>3.23</v>
      </c>
      <c r="AF198" s="13">
        <v>4.4080000000000004</v>
      </c>
      <c r="AG198" s="13">
        <v>3.1920000000000002</v>
      </c>
      <c r="AH198" s="15">
        <v>5.9900000000000002E-2</v>
      </c>
      <c r="AI198" s="10">
        <f t="shared" si="40"/>
        <v>7.6000000000000005</v>
      </c>
      <c r="AJ198" s="10">
        <v>0.02</v>
      </c>
      <c r="AK198" s="13">
        <v>0</v>
      </c>
      <c r="AL198" s="10">
        <v>0</v>
      </c>
      <c r="AM198" s="16">
        <v>40</v>
      </c>
      <c r="AN198" s="16">
        <v>40</v>
      </c>
      <c r="AO198" s="16">
        <v>2604.04</v>
      </c>
      <c r="AP198" s="10">
        <v>195.98199600000001</v>
      </c>
      <c r="AQ198" s="16">
        <v>42.3</v>
      </c>
      <c r="AR198" s="16">
        <v>2604.04</v>
      </c>
      <c r="AS198" s="10">
        <v>0</v>
      </c>
      <c r="AT198" s="13">
        <v>0</v>
      </c>
      <c r="AU198" s="10">
        <v>5.05</v>
      </c>
      <c r="AV198" s="17">
        <f t="shared" si="39"/>
        <v>364643.46557468618</v>
      </c>
      <c r="AW198" s="17">
        <v>153470.81823941349</v>
      </c>
      <c r="AX198" s="17">
        <v>139045.37131026541</v>
      </c>
      <c r="AY198" s="17">
        <v>72127.276025007261</v>
      </c>
      <c r="BA198" s="18"/>
      <c r="BC198" s="19"/>
      <c r="BD198" s="19"/>
      <c r="BE198" s="19"/>
      <c r="BF198" s="19"/>
      <c r="BG198" s="19"/>
      <c r="BI198" s="16">
        <f t="shared" si="43"/>
        <v>28921.599999999984</v>
      </c>
      <c r="BJ198" s="16">
        <f t="shared" si="44"/>
        <v>0</v>
      </c>
      <c r="BK198" s="16">
        <f t="shared" si="45"/>
        <v>28921.599999999984</v>
      </c>
      <c r="BL198" s="16">
        <f t="shared" si="46"/>
        <v>28921.599999999984</v>
      </c>
      <c r="BM198" s="16">
        <f t="shared" si="47"/>
        <v>28921.599999999984</v>
      </c>
      <c r="BN198" s="16">
        <f t="shared" si="48"/>
        <v>28921.599999999984</v>
      </c>
      <c r="BO198" s="16">
        <f t="shared" si="49"/>
        <v>0</v>
      </c>
      <c r="BP198" s="16">
        <f t="shared" si="50"/>
        <v>28921.599999999984</v>
      </c>
    </row>
    <row r="199" spans="1:68" ht="12" customHeight="1" x14ac:dyDescent="0.25">
      <c r="A199" s="5">
        <f t="shared" ref="A199:A243" si="51">A198+1</f>
        <v>195</v>
      </c>
      <c r="B199" s="6" t="s">
        <v>279</v>
      </c>
      <c r="C199" s="7">
        <f t="shared" si="38"/>
        <v>3534.12</v>
      </c>
      <c r="D199" s="8">
        <v>3534.12</v>
      </c>
      <c r="E199" s="8">
        <v>0</v>
      </c>
      <c r="F199" s="8">
        <v>596</v>
      </c>
      <c r="G199" s="9">
        <v>0</v>
      </c>
      <c r="H199" s="9">
        <v>0</v>
      </c>
      <c r="I199" s="9">
        <v>0</v>
      </c>
      <c r="J199" s="9">
        <v>0</v>
      </c>
      <c r="K199" s="9" t="s">
        <v>71</v>
      </c>
      <c r="L199" s="10" t="s">
        <v>71</v>
      </c>
      <c r="M199" s="10">
        <v>0</v>
      </c>
      <c r="N199" s="10" t="s">
        <v>72</v>
      </c>
      <c r="O199" s="10" t="s">
        <v>72</v>
      </c>
      <c r="P199" s="5" t="s">
        <v>143</v>
      </c>
      <c r="Q199" s="11">
        <v>7</v>
      </c>
      <c r="R199" s="12">
        <v>28.44</v>
      </c>
      <c r="S199" s="10">
        <v>4.68</v>
      </c>
      <c r="T199" s="10">
        <v>6.05</v>
      </c>
      <c r="U199" s="10">
        <v>8.24</v>
      </c>
      <c r="V199" s="10">
        <v>6.34</v>
      </c>
      <c r="W199" s="10">
        <v>2.89</v>
      </c>
      <c r="X199" s="10">
        <v>0</v>
      </c>
      <c r="Y199" s="10">
        <v>0</v>
      </c>
      <c r="Z199" s="10">
        <v>0.24</v>
      </c>
      <c r="AA199" s="13">
        <v>1.2999999999999999E-2</v>
      </c>
      <c r="AB199" s="13">
        <v>1.2999999999999999E-2</v>
      </c>
      <c r="AC199" s="14">
        <f t="shared" si="41"/>
        <v>7.7870000000000001E-4</v>
      </c>
      <c r="AD199" s="13">
        <f t="shared" si="42"/>
        <v>2.5999999999999999E-2</v>
      </c>
      <c r="AE199" s="13">
        <v>0.68300000000000005</v>
      </c>
      <c r="AF199" s="10">
        <v>4.29</v>
      </c>
      <c r="AG199" s="10">
        <v>3.17</v>
      </c>
      <c r="AH199" s="15">
        <v>5.9900000000000002E-2</v>
      </c>
      <c r="AI199" s="10">
        <f t="shared" si="40"/>
        <v>7.46</v>
      </c>
      <c r="AJ199" s="10">
        <v>0.02</v>
      </c>
      <c r="AK199" s="10">
        <v>10</v>
      </c>
      <c r="AL199" s="10">
        <v>0</v>
      </c>
      <c r="AM199" s="16">
        <v>40</v>
      </c>
      <c r="AN199" s="16">
        <v>40</v>
      </c>
      <c r="AO199" s="16">
        <v>2604.04</v>
      </c>
      <c r="AP199" s="10">
        <v>195.98199600000001</v>
      </c>
      <c r="AQ199" s="16">
        <v>42.3</v>
      </c>
      <c r="AR199" s="16">
        <v>2604.04</v>
      </c>
      <c r="AS199" s="10">
        <v>7.85</v>
      </c>
      <c r="AT199" s="13">
        <v>0</v>
      </c>
      <c r="AU199" s="10">
        <v>6.73</v>
      </c>
      <c r="AV199" s="17">
        <f t="shared" si="39"/>
        <v>28728.425021312571</v>
      </c>
      <c r="AW199" s="17">
        <v>15072.577284453568</v>
      </c>
      <c r="AX199" s="17">
        <v>13655.847736859005</v>
      </c>
      <c r="AY199" s="17">
        <v>0</v>
      </c>
      <c r="BA199" s="18"/>
      <c r="BC199" s="19"/>
      <c r="BD199" s="19"/>
      <c r="BE199" s="19"/>
      <c r="BF199" s="19"/>
      <c r="BG199" s="19"/>
      <c r="BI199" s="16">
        <f t="shared" si="43"/>
        <v>0</v>
      </c>
      <c r="BJ199" s="16">
        <f t="shared" si="44"/>
        <v>0</v>
      </c>
      <c r="BK199" s="16">
        <f t="shared" si="45"/>
        <v>3534.12</v>
      </c>
      <c r="BL199" s="16">
        <f t="shared" si="46"/>
        <v>3534.12</v>
      </c>
      <c r="BM199" s="16">
        <f t="shared" si="47"/>
        <v>3534.12</v>
      </c>
      <c r="BN199" s="16">
        <f t="shared" si="48"/>
        <v>3534.12</v>
      </c>
      <c r="BO199" s="16">
        <f t="shared" si="49"/>
        <v>3534.12</v>
      </c>
      <c r="BP199" s="16">
        <f t="shared" si="50"/>
        <v>0</v>
      </c>
    </row>
    <row r="200" spans="1:68" ht="12" customHeight="1" x14ac:dyDescent="0.25">
      <c r="A200" s="5">
        <f t="shared" si="51"/>
        <v>196</v>
      </c>
      <c r="B200" s="6" t="s">
        <v>280</v>
      </c>
      <c r="C200" s="7">
        <f t="shared" si="38"/>
        <v>7052.6</v>
      </c>
      <c r="D200" s="8">
        <v>6966.3</v>
      </c>
      <c r="E200" s="8">
        <v>86.3</v>
      </c>
      <c r="F200" s="8">
        <v>638</v>
      </c>
      <c r="G200" s="9">
        <v>0</v>
      </c>
      <c r="H200" s="9">
        <v>0</v>
      </c>
      <c r="I200" s="9">
        <v>0</v>
      </c>
      <c r="J200" s="9">
        <v>0</v>
      </c>
      <c r="K200" s="9" t="s">
        <v>71</v>
      </c>
      <c r="L200" s="10" t="s">
        <v>71</v>
      </c>
      <c r="M200" s="10">
        <v>0</v>
      </c>
      <c r="N200" s="10" t="s">
        <v>72</v>
      </c>
      <c r="O200" s="10" t="s">
        <v>72</v>
      </c>
      <c r="P200" s="5" t="s">
        <v>143</v>
      </c>
      <c r="Q200" s="11">
        <v>7</v>
      </c>
      <c r="R200" s="12">
        <v>28.44</v>
      </c>
      <c r="S200" s="10">
        <v>4.68</v>
      </c>
      <c r="T200" s="10">
        <v>6.05</v>
      </c>
      <c r="U200" s="10">
        <v>8.24</v>
      </c>
      <c r="V200" s="10">
        <v>6.34</v>
      </c>
      <c r="W200" s="10">
        <v>2.89</v>
      </c>
      <c r="X200" s="10">
        <v>0</v>
      </c>
      <c r="Y200" s="10">
        <v>0</v>
      </c>
      <c r="Z200" s="10">
        <v>0.24</v>
      </c>
      <c r="AA200" s="13">
        <v>1.2999999999999999E-2</v>
      </c>
      <c r="AB200" s="13">
        <v>1.2999999999999999E-2</v>
      </c>
      <c r="AC200" s="14">
        <f t="shared" si="41"/>
        <v>7.7870000000000001E-4</v>
      </c>
      <c r="AD200" s="13">
        <f t="shared" si="42"/>
        <v>2.5999999999999999E-2</v>
      </c>
      <c r="AE200" s="13">
        <v>0.68300000000000005</v>
      </c>
      <c r="AF200" s="10">
        <v>4.29</v>
      </c>
      <c r="AG200" s="10">
        <v>3.17</v>
      </c>
      <c r="AH200" s="15">
        <v>5.9900000000000002E-2</v>
      </c>
      <c r="AI200" s="10">
        <f t="shared" si="40"/>
        <v>7.46</v>
      </c>
      <c r="AJ200" s="10">
        <v>0.02</v>
      </c>
      <c r="AK200" s="10">
        <v>10</v>
      </c>
      <c r="AL200" s="10">
        <v>0</v>
      </c>
      <c r="AM200" s="16">
        <v>40</v>
      </c>
      <c r="AN200" s="16">
        <v>40</v>
      </c>
      <c r="AO200" s="16">
        <v>2604.04</v>
      </c>
      <c r="AP200" s="10">
        <v>195.98199600000001</v>
      </c>
      <c r="AQ200" s="16">
        <v>42.3</v>
      </c>
      <c r="AR200" s="16">
        <v>2604.04</v>
      </c>
      <c r="AS200" s="10">
        <v>7.85</v>
      </c>
      <c r="AT200" s="13">
        <v>0</v>
      </c>
      <c r="AU200" s="10">
        <v>6.73</v>
      </c>
      <c r="AV200" s="17">
        <f t="shared" si="39"/>
        <v>57307.829509370247</v>
      </c>
      <c r="AW200" s="17">
        <v>30066.989133702071</v>
      </c>
      <c r="AX200" s="17">
        <v>27240.840375668173</v>
      </c>
      <c r="AY200" s="17">
        <v>0</v>
      </c>
      <c r="BA200" s="18"/>
      <c r="BC200" s="19"/>
      <c r="BD200" s="19"/>
      <c r="BE200" s="19"/>
      <c r="BF200" s="19"/>
      <c r="BG200" s="19"/>
      <c r="BI200" s="16">
        <f t="shared" si="43"/>
        <v>0</v>
      </c>
      <c r="BJ200" s="16">
        <f t="shared" si="44"/>
        <v>0</v>
      </c>
      <c r="BK200" s="16">
        <f t="shared" si="45"/>
        <v>7052.6</v>
      </c>
      <c r="BL200" s="16">
        <f t="shared" si="46"/>
        <v>7052.6</v>
      </c>
      <c r="BM200" s="16">
        <f t="shared" si="47"/>
        <v>7052.6</v>
      </c>
      <c r="BN200" s="16">
        <f t="shared" si="48"/>
        <v>7052.6</v>
      </c>
      <c r="BO200" s="16">
        <f t="shared" si="49"/>
        <v>7052.6</v>
      </c>
      <c r="BP200" s="16">
        <f t="shared" si="50"/>
        <v>0</v>
      </c>
    </row>
    <row r="201" spans="1:68" ht="12" customHeight="1" x14ac:dyDescent="0.25">
      <c r="A201" s="5">
        <f t="shared" si="51"/>
        <v>197</v>
      </c>
      <c r="B201" s="6" t="s">
        <v>281</v>
      </c>
      <c r="C201" s="7">
        <f t="shared" si="38"/>
        <v>3498.85</v>
      </c>
      <c r="D201" s="8">
        <v>3498.85</v>
      </c>
      <c r="E201" s="8">
        <v>0</v>
      </c>
      <c r="F201" s="8">
        <v>300.8</v>
      </c>
      <c r="G201" s="9">
        <v>0</v>
      </c>
      <c r="H201" s="9">
        <v>0</v>
      </c>
      <c r="I201" s="9">
        <v>0</v>
      </c>
      <c r="J201" s="9">
        <v>0</v>
      </c>
      <c r="K201" s="9" t="s">
        <v>71</v>
      </c>
      <c r="L201" s="10" t="s">
        <v>71</v>
      </c>
      <c r="M201" s="10">
        <v>0</v>
      </c>
      <c r="N201" s="10" t="s">
        <v>72</v>
      </c>
      <c r="O201" s="10" t="s">
        <v>72</v>
      </c>
      <c r="P201" s="5" t="s">
        <v>143</v>
      </c>
      <c r="Q201" s="11">
        <v>7</v>
      </c>
      <c r="R201" s="12">
        <v>28.44</v>
      </c>
      <c r="S201" s="10">
        <v>4.68</v>
      </c>
      <c r="T201" s="10">
        <v>6.05</v>
      </c>
      <c r="U201" s="10">
        <v>8.24</v>
      </c>
      <c r="V201" s="10">
        <v>6.34</v>
      </c>
      <c r="W201" s="10">
        <v>2.89</v>
      </c>
      <c r="X201" s="10">
        <v>0</v>
      </c>
      <c r="Y201" s="10">
        <v>0</v>
      </c>
      <c r="Z201" s="10">
        <v>0.24</v>
      </c>
      <c r="AA201" s="13">
        <v>1.2999999999999999E-2</v>
      </c>
      <c r="AB201" s="13">
        <v>1.2999999999999999E-2</v>
      </c>
      <c r="AC201" s="14">
        <f t="shared" si="41"/>
        <v>7.7870000000000001E-4</v>
      </c>
      <c r="AD201" s="13">
        <f t="shared" si="42"/>
        <v>2.5999999999999999E-2</v>
      </c>
      <c r="AE201" s="13">
        <v>0.68300000000000005</v>
      </c>
      <c r="AF201" s="10">
        <v>4.29</v>
      </c>
      <c r="AG201" s="10">
        <v>3.17</v>
      </c>
      <c r="AH201" s="15">
        <v>5.9900000000000002E-2</v>
      </c>
      <c r="AI201" s="10">
        <f t="shared" si="40"/>
        <v>7.46</v>
      </c>
      <c r="AJ201" s="10">
        <v>0.02</v>
      </c>
      <c r="AK201" s="10">
        <v>10</v>
      </c>
      <c r="AL201" s="10">
        <v>0</v>
      </c>
      <c r="AM201" s="16">
        <v>40</v>
      </c>
      <c r="AN201" s="16">
        <v>40</v>
      </c>
      <c r="AO201" s="16">
        <v>2604.04</v>
      </c>
      <c r="AP201" s="10">
        <v>195.98199600000001</v>
      </c>
      <c r="AQ201" s="16">
        <v>42.3</v>
      </c>
      <c r="AR201" s="16">
        <v>2604.04</v>
      </c>
      <c r="AS201" s="10">
        <v>7.85</v>
      </c>
      <c r="AT201" s="13">
        <v>0</v>
      </c>
      <c r="AU201" s="10">
        <v>6.73</v>
      </c>
      <c r="AV201" s="17">
        <f t="shared" si="39"/>
        <v>28389.832273224689</v>
      </c>
      <c r="AW201" s="17">
        <v>14894.936091581487</v>
      </c>
      <c r="AX201" s="17">
        <v>13494.896181643202</v>
      </c>
      <c r="AY201" s="17">
        <v>0</v>
      </c>
      <c r="BA201" s="18"/>
      <c r="BC201" s="19"/>
      <c r="BD201" s="19"/>
      <c r="BE201" s="19"/>
      <c r="BF201" s="19"/>
      <c r="BG201" s="19"/>
      <c r="BI201" s="16">
        <f t="shared" si="43"/>
        <v>0</v>
      </c>
      <c r="BJ201" s="16">
        <f t="shared" si="44"/>
        <v>0</v>
      </c>
      <c r="BK201" s="16">
        <f t="shared" si="45"/>
        <v>3498.85</v>
      </c>
      <c r="BL201" s="16">
        <f t="shared" si="46"/>
        <v>3498.85</v>
      </c>
      <c r="BM201" s="16">
        <f t="shared" si="47"/>
        <v>3498.85</v>
      </c>
      <c r="BN201" s="16">
        <f t="shared" si="48"/>
        <v>3498.85</v>
      </c>
      <c r="BO201" s="16">
        <f t="shared" si="49"/>
        <v>3498.85</v>
      </c>
      <c r="BP201" s="16">
        <f t="shared" si="50"/>
        <v>0</v>
      </c>
    </row>
    <row r="202" spans="1:68" ht="12" customHeight="1" x14ac:dyDescent="0.25">
      <c r="A202" s="5">
        <f t="shared" si="51"/>
        <v>198</v>
      </c>
      <c r="B202" s="6" t="s">
        <v>282</v>
      </c>
      <c r="C202" s="7">
        <f t="shared" si="38"/>
        <v>3501.4</v>
      </c>
      <c r="D202" s="8">
        <v>3501.4</v>
      </c>
      <c r="E202" s="8">
        <v>0</v>
      </c>
      <c r="F202" s="8">
        <v>300</v>
      </c>
      <c r="G202" s="9">
        <v>0</v>
      </c>
      <c r="H202" s="9">
        <v>0</v>
      </c>
      <c r="I202" s="9">
        <v>0</v>
      </c>
      <c r="J202" s="9">
        <v>0</v>
      </c>
      <c r="K202" s="9" t="s">
        <v>83</v>
      </c>
      <c r="L202" s="10" t="s">
        <v>71</v>
      </c>
      <c r="M202" s="10">
        <v>0</v>
      </c>
      <c r="N202" s="10" t="s">
        <v>72</v>
      </c>
      <c r="O202" s="10" t="s">
        <v>72</v>
      </c>
      <c r="P202" s="5" t="s">
        <v>143</v>
      </c>
      <c r="Q202" s="11">
        <v>7</v>
      </c>
      <c r="R202" s="12">
        <v>28.44</v>
      </c>
      <c r="S202" s="10">
        <v>4.68</v>
      </c>
      <c r="T202" s="10">
        <v>6.05</v>
      </c>
      <c r="U202" s="10">
        <v>8.24</v>
      </c>
      <c r="V202" s="10">
        <v>6.34</v>
      </c>
      <c r="W202" s="10">
        <v>2.89</v>
      </c>
      <c r="X202" s="10">
        <v>0</v>
      </c>
      <c r="Y202" s="10">
        <v>0</v>
      </c>
      <c r="Z202" s="10">
        <v>0.24</v>
      </c>
      <c r="AA202" s="13">
        <v>1.2999999999999999E-2</v>
      </c>
      <c r="AB202" s="13">
        <v>1.2999999999999999E-2</v>
      </c>
      <c r="AC202" s="14">
        <f t="shared" si="41"/>
        <v>7.7870000000000001E-4</v>
      </c>
      <c r="AD202" s="13">
        <f t="shared" si="42"/>
        <v>2.5999999999999999E-2</v>
      </c>
      <c r="AE202" s="13">
        <v>0.68300000000000005</v>
      </c>
      <c r="AF202" s="10">
        <v>4.29</v>
      </c>
      <c r="AG202" s="10">
        <v>3.17</v>
      </c>
      <c r="AH202" s="15">
        <v>5.9900000000000002E-2</v>
      </c>
      <c r="AI202" s="10">
        <f t="shared" si="40"/>
        <v>7.46</v>
      </c>
      <c r="AJ202" s="10">
        <v>0.02</v>
      </c>
      <c r="AK202" s="10">
        <v>10</v>
      </c>
      <c r="AL202" s="10">
        <v>0</v>
      </c>
      <c r="AM202" s="16">
        <v>40</v>
      </c>
      <c r="AN202" s="16">
        <v>40</v>
      </c>
      <c r="AO202" s="16">
        <v>2604.04</v>
      </c>
      <c r="AP202" s="10">
        <v>195.98199600000001</v>
      </c>
      <c r="AQ202" s="16">
        <v>42.3</v>
      </c>
      <c r="AR202" s="16">
        <v>2604.04</v>
      </c>
      <c r="AS202" s="10">
        <v>7.85</v>
      </c>
      <c r="AT202" s="13">
        <v>0</v>
      </c>
      <c r="AU202" s="10">
        <v>6.73</v>
      </c>
      <c r="AV202" s="17">
        <f t="shared" si="39"/>
        <v>28603.23894580151</v>
      </c>
      <c r="AW202" s="17">
        <v>15006.908387857251</v>
      </c>
      <c r="AX202" s="17">
        <v>13596.33055794426</v>
      </c>
      <c r="AY202" s="17">
        <v>0</v>
      </c>
      <c r="BA202" s="18"/>
      <c r="BC202" s="19"/>
      <c r="BD202" s="19"/>
      <c r="BE202" s="19"/>
      <c r="BF202" s="19"/>
      <c r="BG202" s="19"/>
      <c r="BI202" s="16">
        <f t="shared" si="43"/>
        <v>0</v>
      </c>
      <c r="BJ202" s="16">
        <f t="shared" si="44"/>
        <v>0</v>
      </c>
      <c r="BK202" s="16">
        <f t="shared" si="45"/>
        <v>3501.4</v>
      </c>
      <c r="BL202" s="16">
        <f t="shared" si="46"/>
        <v>3501.4</v>
      </c>
      <c r="BM202" s="16">
        <f t="shared" si="47"/>
        <v>3501.4</v>
      </c>
      <c r="BN202" s="16">
        <f t="shared" si="48"/>
        <v>3501.4</v>
      </c>
      <c r="BO202" s="16">
        <f t="shared" si="49"/>
        <v>3501.4</v>
      </c>
      <c r="BP202" s="16">
        <f t="shared" si="50"/>
        <v>0</v>
      </c>
    </row>
    <row r="203" spans="1:68" ht="12" customHeight="1" x14ac:dyDescent="0.25">
      <c r="A203" s="5">
        <f t="shared" si="51"/>
        <v>199</v>
      </c>
      <c r="B203" s="6" t="s">
        <v>283</v>
      </c>
      <c r="C203" s="7">
        <f t="shared" si="38"/>
        <v>3514.1</v>
      </c>
      <c r="D203" s="8">
        <v>3514.1</v>
      </c>
      <c r="E203" s="8">
        <v>0</v>
      </c>
      <c r="F203" s="8">
        <v>299.7</v>
      </c>
      <c r="G203" s="9">
        <v>0</v>
      </c>
      <c r="H203" s="9">
        <v>0</v>
      </c>
      <c r="I203" s="9">
        <v>0</v>
      </c>
      <c r="J203" s="9">
        <v>0</v>
      </c>
      <c r="K203" s="9" t="s">
        <v>83</v>
      </c>
      <c r="L203" s="10" t="s">
        <v>71</v>
      </c>
      <c r="M203" s="10">
        <v>0</v>
      </c>
      <c r="N203" s="10" t="s">
        <v>72</v>
      </c>
      <c r="O203" s="10" t="s">
        <v>72</v>
      </c>
      <c r="P203" s="5" t="s">
        <v>143</v>
      </c>
      <c r="Q203" s="11">
        <v>7</v>
      </c>
      <c r="R203" s="12">
        <v>28.44</v>
      </c>
      <c r="S203" s="10">
        <v>4.68</v>
      </c>
      <c r="T203" s="10">
        <v>6.05</v>
      </c>
      <c r="U203" s="10">
        <v>8.24</v>
      </c>
      <c r="V203" s="10">
        <v>6.34</v>
      </c>
      <c r="W203" s="10">
        <v>2.89</v>
      </c>
      <c r="X203" s="10">
        <v>0</v>
      </c>
      <c r="Y203" s="10">
        <v>0</v>
      </c>
      <c r="Z203" s="10">
        <v>0.24</v>
      </c>
      <c r="AA203" s="13">
        <v>1.2999999999999999E-2</v>
      </c>
      <c r="AB203" s="13">
        <v>1.2999999999999999E-2</v>
      </c>
      <c r="AC203" s="14">
        <f t="shared" si="41"/>
        <v>7.7870000000000001E-4</v>
      </c>
      <c r="AD203" s="13">
        <f t="shared" si="42"/>
        <v>2.5999999999999999E-2</v>
      </c>
      <c r="AE203" s="13">
        <v>0.68300000000000005</v>
      </c>
      <c r="AF203" s="10">
        <v>4.29</v>
      </c>
      <c r="AG203" s="10">
        <v>3.17</v>
      </c>
      <c r="AH203" s="15">
        <v>5.9900000000000002E-2</v>
      </c>
      <c r="AI203" s="10">
        <f t="shared" si="40"/>
        <v>7.46</v>
      </c>
      <c r="AJ203" s="10">
        <v>0.02</v>
      </c>
      <c r="AK203" s="10">
        <v>10</v>
      </c>
      <c r="AL203" s="10">
        <v>0</v>
      </c>
      <c r="AM203" s="16">
        <v>40</v>
      </c>
      <c r="AN203" s="16">
        <v>40</v>
      </c>
      <c r="AO203" s="16">
        <v>2604.04</v>
      </c>
      <c r="AP203" s="10">
        <v>195.98199600000001</v>
      </c>
      <c r="AQ203" s="16">
        <v>42.3</v>
      </c>
      <c r="AR203" s="16">
        <v>2604.04</v>
      </c>
      <c r="AS203" s="10">
        <v>7.85</v>
      </c>
      <c r="AT203" s="13">
        <v>0</v>
      </c>
      <c r="AU203" s="10">
        <v>6.73</v>
      </c>
      <c r="AV203" s="17">
        <f t="shared" si="39"/>
        <v>28726.631919746203</v>
      </c>
      <c r="AW203" s="17">
        <v>15071.639354403467</v>
      </c>
      <c r="AX203" s="17">
        <v>13654.992565342736</v>
      </c>
      <c r="AY203" s="17">
        <v>0</v>
      </c>
      <c r="BA203" s="18"/>
      <c r="BC203" s="19"/>
      <c r="BD203" s="19"/>
      <c r="BE203" s="19"/>
      <c r="BF203" s="19"/>
      <c r="BG203" s="19"/>
      <c r="BI203" s="16">
        <f t="shared" si="43"/>
        <v>0</v>
      </c>
      <c r="BJ203" s="16">
        <f t="shared" si="44"/>
        <v>0</v>
      </c>
      <c r="BK203" s="16">
        <f t="shared" si="45"/>
        <v>3514.1</v>
      </c>
      <c r="BL203" s="16">
        <f t="shared" si="46"/>
        <v>3514.1</v>
      </c>
      <c r="BM203" s="16">
        <f t="shared" si="47"/>
        <v>3514.1</v>
      </c>
      <c r="BN203" s="16">
        <f t="shared" si="48"/>
        <v>3514.1</v>
      </c>
      <c r="BO203" s="16">
        <f t="shared" si="49"/>
        <v>3514.1</v>
      </c>
      <c r="BP203" s="16">
        <f t="shared" si="50"/>
        <v>0</v>
      </c>
    </row>
    <row r="204" spans="1:68" ht="12" customHeight="1" x14ac:dyDescent="0.25">
      <c r="A204" s="5">
        <f t="shared" si="51"/>
        <v>200</v>
      </c>
      <c r="B204" s="6" t="s">
        <v>284</v>
      </c>
      <c r="C204" s="7">
        <f t="shared" si="38"/>
        <v>3480.8300000000008</v>
      </c>
      <c r="D204" s="8">
        <v>3480.8300000000008</v>
      </c>
      <c r="E204" s="8">
        <v>0</v>
      </c>
      <c r="F204" s="8">
        <v>304.2</v>
      </c>
      <c r="G204" s="9">
        <v>0</v>
      </c>
      <c r="H204" s="9">
        <v>0</v>
      </c>
      <c r="I204" s="9">
        <v>0</v>
      </c>
      <c r="J204" s="9">
        <v>0</v>
      </c>
      <c r="K204" s="9" t="s">
        <v>83</v>
      </c>
      <c r="L204" s="10" t="s">
        <v>71</v>
      </c>
      <c r="M204" s="10">
        <v>0</v>
      </c>
      <c r="N204" s="10" t="s">
        <v>72</v>
      </c>
      <c r="O204" s="10" t="s">
        <v>72</v>
      </c>
      <c r="P204" s="5" t="s">
        <v>143</v>
      </c>
      <c r="Q204" s="11">
        <v>7</v>
      </c>
      <c r="R204" s="12">
        <v>28.44</v>
      </c>
      <c r="S204" s="10">
        <v>4.68</v>
      </c>
      <c r="T204" s="10">
        <v>6.05</v>
      </c>
      <c r="U204" s="10">
        <v>8.24</v>
      </c>
      <c r="V204" s="10">
        <v>6.34</v>
      </c>
      <c r="W204" s="10">
        <v>2.89</v>
      </c>
      <c r="X204" s="10">
        <v>0</v>
      </c>
      <c r="Y204" s="10">
        <v>0</v>
      </c>
      <c r="Z204" s="10">
        <v>0.24</v>
      </c>
      <c r="AA204" s="13">
        <v>1.2999999999999999E-2</v>
      </c>
      <c r="AB204" s="13">
        <v>1.2999999999999999E-2</v>
      </c>
      <c r="AC204" s="14">
        <f t="shared" si="41"/>
        <v>7.7870000000000001E-4</v>
      </c>
      <c r="AD204" s="13">
        <f t="shared" si="42"/>
        <v>2.5999999999999999E-2</v>
      </c>
      <c r="AE204" s="13">
        <v>0.68300000000000005</v>
      </c>
      <c r="AF204" s="10">
        <v>4.29</v>
      </c>
      <c r="AG204" s="10">
        <v>3.17</v>
      </c>
      <c r="AH204" s="15">
        <v>5.9900000000000002E-2</v>
      </c>
      <c r="AI204" s="10">
        <f t="shared" si="40"/>
        <v>7.46</v>
      </c>
      <c r="AJ204" s="10">
        <v>0.02</v>
      </c>
      <c r="AK204" s="10">
        <v>10</v>
      </c>
      <c r="AL204" s="10">
        <v>0</v>
      </c>
      <c r="AM204" s="16">
        <v>40</v>
      </c>
      <c r="AN204" s="16">
        <v>40</v>
      </c>
      <c r="AO204" s="16">
        <v>2604.04</v>
      </c>
      <c r="AP204" s="10">
        <v>195.98199600000001</v>
      </c>
      <c r="AQ204" s="16">
        <v>42.3</v>
      </c>
      <c r="AR204" s="16">
        <v>2604.04</v>
      </c>
      <c r="AS204" s="10">
        <v>7.85</v>
      </c>
      <c r="AT204" s="13">
        <v>0</v>
      </c>
      <c r="AU204" s="10">
        <v>6.73</v>
      </c>
      <c r="AV204" s="17">
        <f t="shared" si="39"/>
        <v>28570.494152581668</v>
      </c>
      <c r="AW204" s="17">
        <v>14989.722198997975</v>
      </c>
      <c r="AX204" s="17">
        <v>13580.771953583693</v>
      </c>
      <c r="AY204" s="17">
        <v>0</v>
      </c>
      <c r="BA204" s="18"/>
      <c r="BC204" s="19"/>
      <c r="BD204" s="19"/>
      <c r="BE204" s="19"/>
      <c r="BF204" s="19"/>
      <c r="BG204" s="19"/>
      <c r="BI204" s="16">
        <f t="shared" si="43"/>
        <v>0</v>
      </c>
      <c r="BJ204" s="16">
        <f t="shared" si="44"/>
        <v>0</v>
      </c>
      <c r="BK204" s="16">
        <f t="shared" si="45"/>
        <v>3480.8300000000008</v>
      </c>
      <c r="BL204" s="16">
        <f t="shared" si="46"/>
        <v>3480.8300000000008</v>
      </c>
      <c r="BM204" s="16">
        <f t="shared" si="47"/>
        <v>3480.8300000000008</v>
      </c>
      <c r="BN204" s="16">
        <f t="shared" si="48"/>
        <v>3480.8300000000008</v>
      </c>
      <c r="BO204" s="16">
        <f t="shared" si="49"/>
        <v>3480.8300000000008</v>
      </c>
      <c r="BP204" s="16">
        <f t="shared" si="50"/>
        <v>0</v>
      </c>
    </row>
    <row r="205" spans="1:68" ht="12" customHeight="1" x14ac:dyDescent="0.25">
      <c r="A205" s="5">
        <f t="shared" si="51"/>
        <v>201</v>
      </c>
      <c r="B205" s="6" t="s">
        <v>285</v>
      </c>
      <c r="C205" s="7">
        <f t="shared" ref="C205:C243" si="52">SUM(D205:E205)</f>
        <v>6969.63</v>
      </c>
      <c r="D205" s="8">
        <v>6969.63</v>
      </c>
      <c r="E205" s="8">
        <v>0</v>
      </c>
      <c r="F205" s="8">
        <v>608.5</v>
      </c>
      <c r="G205" s="9">
        <v>0</v>
      </c>
      <c r="H205" s="9">
        <v>0</v>
      </c>
      <c r="I205" s="9">
        <v>0</v>
      </c>
      <c r="J205" s="9">
        <v>0</v>
      </c>
      <c r="K205" s="9" t="s">
        <v>71</v>
      </c>
      <c r="L205" s="10" t="s">
        <v>71</v>
      </c>
      <c r="M205" s="10">
        <v>0</v>
      </c>
      <c r="N205" s="10" t="s">
        <v>72</v>
      </c>
      <c r="O205" s="10" t="s">
        <v>72</v>
      </c>
      <c r="P205" s="5" t="s">
        <v>143</v>
      </c>
      <c r="Q205" s="11">
        <v>7</v>
      </c>
      <c r="R205" s="12">
        <v>28.44</v>
      </c>
      <c r="S205" s="10">
        <v>4.68</v>
      </c>
      <c r="T205" s="10">
        <v>6.05</v>
      </c>
      <c r="U205" s="10">
        <v>8.24</v>
      </c>
      <c r="V205" s="10">
        <v>6.34</v>
      </c>
      <c r="W205" s="10">
        <v>2.89</v>
      </c>
      <c r="X205" s="10">
        <v>0</v>
      </c>
      <c r="Y205" s="10">
        <v>0</v>
      </c>
      <c r="Z205" s="10">
        <v>0.24</v>
      </c>
      <c r="AA205" s="13">
        <v>1.2999999999999999E-2</v>
      </c>
      <c r="AB205" s="13">
        <v>1.2999999999999999E-2</v>
      </c>
      <c r="AC205" s="14">
        <f t="shared" si="41"/>
        <v>7.7870000000000001E-4</v>
      </c>
      <c r="AD205" s="13">
        <f t="shared" si="42"/>
        <v>2.5999999999999999E-2</v>
      </c>
      <c r="AE205" s="13">
        <v>0.68300000000000005</v>
      </c>
      <c r="AF205" s="10">
        <v>4.29</v>
      </c>
      <c r="AG205" s="10">
        <v>3.17</v>
      </c>
      <c r="AH205" s="15">
        <v>5.9900000000000002E-2</v>
      </c>
      <c r="AI205" s="10">
        <f t="shared" si="40"/>
        <v>7.46</v>
      </c>
      <c r="AJ205" s="10">
        <v>0.02</v>
      </c>
      <c r="AK205" s="10">
        <v>10</v>
      </c>
      <c r="AL205" s="10">
        <v>0</v>
      </c>
      <c r="AM205" s="16">
        <v>40</v>
      </c>
      <c r="AN205" s="16">
        <v>40</v>
      </c>
      <c r="AO205" s="16">
        <v>2604.04</v>
      </c>
      <c r="AP205" s="10">
        <v>195.98199600000001</v>
      </c>
      <c r="AQ205" s="16">
        <v>42.3</v>
      </c>
      <c r="AR205" s="16">
        <v>2604.04</v>
      </c>
      <c r="AS205" s="10">
        <v>7.85</v>
      </c>
      <c r="AT205" s="13">
        <v>0</v>
      </c>
      <c r="AU205" s="10">
        <v>6.73</v>
      </c>
      <c r="AV205" s="17">
        <f t="shared" si="39"/>
        <v>56872.56100067668</v>
      </c>
      <c r="AW205" s="17">
        <v>29838.616959590487</v>
      </c>
      <c r="AX205" s="17">
        <v>27033.944041086197</v>
      </c>
      <c r="AY205" s="17">
        <v>0</v>
      </c>
      <c r="BA205" s="18"/>
      <c r="BC205" s="19"/>
      <c r="BD205" s="19"/>
      <c r="BE205" s="19"/>
      <c r="BF205" s="19"/>
      <c r="BG205" s="19"/>
      <c r="BI205" s="16">
        <f t="shared" si="43"/>
        <v>0</v>
      </c>
      <c r="BJ205" s="16">
        <f t="shared" si="44"/>
        <v>0</v>
      </c>
      <c r="BK205" s="16">
        <f t="shared" si="45"/>
        <v>6969.63</v>
      </c>
      <c r="BL205" s="16">
        <f t="shared" si="46"/>
        <v>6969.63</v>
      </c>
      <c r="BM205" s="16">
        <f t="shared" si="47"/>
        <v>6969.63</v>
      </c>
      <c r="BN205" s="16">
        <f t="shared" si="48"/>
        <v>6969.63</v>
      </c>
      <c r="BO205" s="16">
        <f t="shared" si="49"/>
        <v>6969.63</v>
      </c>
      <c r="BP205" s="16">
        <f t="shared" si="50"/>
        <v>0</v>
      </c>
    </row>
    <row r="206" spans="1:68" ht="12" customHeight="1" x14ac:dyDescent="0.25">
      <c r="A206" s="5">
        <f t="shared" si="51"/>
        <v>202</v>
      </c>
      <c r="B206" s="6" t="s">
        <v>286</v>
      </c>
      <c r="C206" s="7">
        <f t="shared" si="52"/>
        <v>3030.3</v>
      </c>
      <c r="D206" s="8">
        <v>3030.3</v>
      </c>
      <c r="E206" s="8">
        <v>0</v>
      </c>
      <c r="F206" s="8">
        <v>352.32</v>
      </c>
      <c r="G206" s="9">
        <v>1</v>
      </c>
      <c r="H206" s="9">
        <v>0</v>
      </c>
      <c r="I206" s="9">
        <v>400</v>
      </c>
      <c r="J206" s="9">
        <v>0</v>
      </c>
      <c r="K206" s="9" t="s">
        <v>83</v>
      </c>
      <c r="L206" s="10" t="s">
        <v>71</v>
      </c>
      <c r="M206" s="10">
        <v>0</v>
      </c>
      <c r="N206" s="10" t="s">
        <v>72</v>
      </c>
      <c r="O206" s="10" t="s">
        <v>72</v>
      </c>
      <c r="P206" s="5" t="s">
        <v>143</v>
      </c>
      <c r="Q206" s="11">
        <v>3</v>
      </c>
      <c r="R206" s="12">
        <v>41.34</v>
      </c>
      <c r="S206" s="10">
        <v>4.68</v>
      </c>
      <c r="T206" s="10">
        <v>7.92</v>
      </c>
      <c r="U206" s="10">
        <v>12.32</v>
      </c>
      <c r="V206" s="10">
        <v>6.34</v>
      </c>
      <c r="W206" s="10">
        <v>2.89</v>
      </c>
      <c r="X206" s="10">
        <v>1.66</v>
      </c>
      <c r="Y206" s="10">
        <v>5.29</v>
      </c>
      <c r="Z206" s="10">
        <v>0.24</v>
      </c>
      <c r="AA206" s="13">
        <v>1.2E-2</v>
      </c>
      <c r="AB206" s="13">
        <v>1.2E-2</v>
      </c>
      <c r="AC206" s="14">
        <f t="shared" si="41"/>
        <v>7.1880000000000002E-4</v>
      </c>
      <c r="AD206" s="13">
        <f t="shared" si="42"/>
        <v>2.4E-2</v>
      </c>
      <c r="AE206" s="13">
        <v>3.23</v>
      </c>
      <c r="AF206" s="10">
        <v>4.29</v>
      </c>
      <c r="AG206" s="10">
        <v>3.17</v>
      </c>
      <c r="AH206" s="15">
        <v>5.9900000000000002E-2</v>
      </c>
      <c r="AI206" s="10">
        <f t="shared" si="40"/>
        <v>7.46</v>
      </c>
      <c r="AJ206" s="10">
        <v>0.02</v>
      </c>
      <c r="AK206" s="10">
        <v>10</v>
      </c>
      <c r="AL206" s="10">
        <v>0</v>
      </c>
      <c r="AM206" s="16">
        <v>40</v>
      </c>
      <c r="AN206" s="16">
        <v>40</v>
      </c>
      <c r="AO206" s="16">
        <v>2604.04</v>
      </c>
      <c r="AP206" s="10">
        <v>195.98199600000001</v>
      </c>
      <c r="AQ206" s="16">
        <v>42.3</v>
      </c>
      <c r="AR206" s="16">
        <v>2604.04</v>
      </c>
      <c r="AS206" s="10">
        <v>7.85</v>
      </c>
      <c r="AT206" s="13">
        <v>0</v>
      </c>
      <c r="AU206" s="10">
        <v>6.73</v>
      </c>
      <c r="AV206" s="17">
        <f t="shared" ref="AV206:AV243" si="53">SUM(AW206:AY206)</f>
        <v>61947.452226193105</v>
      </c>
      <c r="AW206" s="17">
        <v>26072.386429571976</v>
      </c>
      <c r="AX206" s="17">
        <v>23621.713139537445</v>
      </c>
      <c r="AY206" s="17">
        <v>12253.352657083682</v>
      </c>
      <c r="BA206" s="18"/>
      <c r="BC206" s="19"/>
      <c r="BD206" s="19"/>
      <c r="BE206" s="19"/>
      <c r="BF206" s="19"/>
      <c r="BG206" s="19"/>
      <c r="BI206" s="16">
        <f t="shared" si="43"/>
        <v>0</v>
      </c>
      <c r="BJ206" s="16">
        <f t="shared" si="44"/>
        <v>3030.3</v>
      </c>
      <c r="BK206" s="16">
        <f t="shared" si="45"/>
        <v>3030.3</v>
      </c>
      <c r="BL206" s="16">
        <f t="shared" si="46"/>
        <v>3030.3</v>
      </c>
      <c r="BM206" s="16">
        <f t="shared" si="47"/>
        <v>3030.3</v>
      </c>
      <c r="BN206" s="16">
        <f t="shared" si="48"/>
        <v>3030.3</v>
      </c>
      <c r="BO206" s="16">
        <f t="shared" si="49"/>
        <v>3030.3</v>
      </c>
      <c r="BP206" s="16">
        <f t="shared" si="50"/>
        <v>0</v>
      </c>
    </row>
    <row r="207" spans="1:68" ht="12" customHeight="1" x14ac:dyDescent="0.25">
      <c r="A207" s="5">
        <f t="shared" si="51"/>
        <v>203</v>
      </c>
      <c r="B207" s="6" t="s">
        <v>287</v>
      </c>
      <c r="C207" s="7">
        <f t="shared" si="52"/>
        <v>3059.3</v>
      </c>
      <c r="D207" s="8">
        <v>3059.3</v>
      </c>
      <c r="E207" s="8">
        <v>0</v>
      </c>
      <c r="F207" s="8">
        <v>361.28</v>
      </c>
      <c r="G207" s="9">
        <v>1</v>
      </c>
      <c r="H207" s="9">
        <v>0</v>
      </c>
      <c r="I207" s="9">
        <v>400</v>
      </c>
      <c r="J207" s="9">
        <v>0</v>
      </c>
      <c r="K207" s="9" t="s">
        <v>83</v>
      </c>
      <c r="L207" s="10" t="s">
        <v>71</v>
      </c>
      <c r="M207" s="10">
        <v>0</v>
      </c>
      <c r="N207" s="10" t="s">
        <v>72</v>
      </c>
      <c r="O207" s="10" t="s">
        <v>72</v>
      </c>
      <c r="P207" s="5" t="s">
        <v>143</v>
      </c>
      <c r="Q207" s="11">
        <v>3</v>
      </c>
      <c r="R207" s="12">
        <v>41.34</v>
      </c>
      <c r="S207" s="10">
        <v>4.68</v>
      </c>
      <c r="T207" s="10">
        <v>7.92</v>
      </c>
      <c r="U207" s="10">
        <v>12.32</v>
      </c>
      <c r="V207" s="10">
        <v>6.34</v>
      </c>
      <c r="W207" s="10">
        <v>2.89</v>
      </c>
      <c r="X207" s="10">
        <v>1.66</v>
      </c>
      <c r="Y207" s="10">
        <v>5.29</v>
      </c>
      <c r="Z207" s="10">
        <v>0.24</v>
      </c>
      <c r="AA207" s="13">
        <v>1.2E-2</v>
      </c>
      <c r="AB207" s="13">
        <v>1.2E-2</v>
      </c>
      <c r="AC207" s="14">
        <f t="shared" si="41"/>
        <v>7.1880000000000002E-4</v>
      </c>
      <c r="AD207" s="13">
        <f t="shared" si="42"/>
        <v>2.4E-2</v>
      </c>
      <c r="AE207" s="13">
        <v>3.23</v>
      </c>
      <c r="AF207" s="10">
        <v>4.29</v>
      </c>
      <c r="AG207" s="10">
        <v>3.17</v>
      </c>
      <c r="AH207" s="15">
        <v>5.9900000000000002E-2</v>
      </c>
      <c r="AI207" s="10">
        <f t="shared" ref="AI207:AI238" si="54">SUM(AF207:AG207)</f>
        <v>7.46</v>
      </c>
      <c r="AJ207" s="10">
        <v>0.02</v>
      </c>
      <c r="AK207" s="10">
        <v>10</v>
      </c>
      <c r="AL207" s="10">
        <v>0</v>
      </c>
      <c r="AM207" s="16">
        <v>40</v>
      </c>
      <c r="AN207" s="16">
        <v>40</v>
      </c>
      <c r="AO207" s="16">
        <v>2604.04</v>
      </c>
      <c r="AP207" s="10">
        <v>195.98199600000001</v>
      </c>
      <c r="AQ207" s="16">
        <v>42.3</v>
      </c>
      <c r="AR207" s="16">
        <v>2604.04</v>
      </c>
      <c r="AS207" s="10">
        <v>7.85</v>
      </c>
      <c r="AT207" s="13">
        <v>0</v>
      </c>
      <c r="AU207" s="10">
        <v>6.73</v>
      </c>
      <c r="AV207" s="17">
        <f t="shared" si="53"/>
        <v>61947.452226193105</v>
      </c>
      <c r="AW207" s="17">
        <v>26072.386429571976</v>
      </c>
      <c r="AX207" s="17">
        <v>23621.713139537445</v>
      </c>
      <c r="AY207" s="17">
        <v>12253.352657083682</v>
      </c>
      <c r="BA207" s="18"/>
      <c r="BC207" s="19"/>
      <c r="BD207" s="19"/>
      <c r="BE207" s="19"/>
      <c r="BF207" s="19"/>
      <c r="BG207" s="19"/>
      <c r="BI207" s="16">
        <f t="shared" si="43"/>
        <v>0</v>
      </c>
      <c r="BJ207" s="16">
        <f t="shared" si="44"/>
        <v>3059.3</v>
      </c>
      <c r="BK207" s="16">
        <f t="shared" si="45"/>
        <v>3059.3</v>
      </c>
      <c r="BL207" s="16">
        <f t="shared" si="46"/>
        <v>3059.3</v>
      </c>
      <c r="BM207" s="16">
        <f t="shared" si="47"/>
        <v>3059.3</v>
      </c>
      <c r="BN207" s="16">
        <f t="shared" si="48"/>
        <v>3059.3</v>
      </c>
      <c r="BO207" s="16">
        <f t="shared" si="49"/>
        <v>3059.3</v>
      </c>
      <c r="BP207" s="16">
        <f t="shared" si="50"/>
        <v>0</v>
      </c>
    </row>
    <row r="208" spans="1:68" ht="12" customHeight="1" x14ac:dyDescent="0.25">
      <c r="A208" s="5">
        <f t="shared" si="51"/>
        <v>204</v>
      </c>
      <c r="B208" s="6" t="s">
        <v>288</v>
      </c>
      <c r="C208" s="7">
        <f t="shared" si="52"/>
        <v>6991.3</v>
      </c>
      <c r="D208" s="8">
        <v>6991.3</v>
      </c>
      <c r="E208" s="8">
        <v>0</v>
      </c>
      <c r="F208" s="8">
        <v>619.5</v>
      </c>
      <c r="G208" s="9">
        <v>0</v>
      </c>
      <c r="H208" s="9">
        <v>0</v>
      </c>
      <c r="I208" s="9">
        <v>0</v>
      </c>
      <c r="J208" s="9">
        <v>0</v>
      </c>
      <c r="K208" s="9" t="s">
        <v>71</v>
      </c>
      <c r="L208" s="10" t="s">
        <v>71</v>
      </c>
      <c r="M208" s="10">
        <v>0</v>
      </c>
      <c r="N208" s="10" t="s">
        <v>72</v>
      </c>
      <c r="O208" s="10" t="s">
        <v>72</v>
      </c>
      <c r="P208" s="5" t="s">
        <v>143</v>
      </c>
      <c r="Q208" s="11">
        <v>7</v>
      </c>
      <c r="R208" s="12">
        <v>28.44</v>
      </c>
      <c r="S208" s="10">
        <v>4.68</v>
      </c>
      <c r="T208" s="10">
        <v>6.05</v>
      </c>
      <c r="U208" s="10">
        <v>8.24</v>
      </c>
      <c r="V208" s="10">
        <v>6.34</v>
      </c>
      <c r="W208" s="10">
        <v>2.89</v>
      </c>
      <c r="X208" s="10">
        <v>0</v>
      </c>
      <c r="Y208" s="10">
        <v>0</v>
      </c>
      <c r="Z208" s="10">
        <v>0.24</v>
      </c>
      <c r="AA208" s="13">
        <v>1.2999999999999999E-2</v>
      </c>
      <c r="AB208" s="13">
        <v>1.2999999999999999E-2</v>
      </c>
      <c r="AC208" s="14">
        <f t="shared" si="41"/>
        <v>7.7870000000000001E-4</v>
      </c>
      <c r="AD208" s="13">
        <f t="shared" si="42"/>
        <v>2.5999999999999999E-2</v>
      </c>
      <c r="AE208" s="13">
        <v>0.68300000000000005</v>
      </c>
      <c r="AF208" s="10">
        <v>4.29</v>
      </c>
      <c r="AG208" s="10">
        <v>3.17</v>
      </c>
      <c r="AH208" s="15">
        <v>5.9900000000000002E-2</v>
      </c>
      <c r="AI208" s="10">
        <f t="shared" si="54"/>
        <v>7.46</v>
      </c>
      <c r="AJ208" s="10">
        <v>0.02</v>
      </c>
      <c r="AK208" s="10">
        <v>10</v>
      </c>
      <c r="AL208" s="10">
        <v>0</v>
      </c>
      <c r="AM208" s="16">
        <v>40</v>
      </c>
      <c r="AN208" s="16">
        <v>40</v>
      </c>
      <c r="AO208" s="16">
        <v>2604.04</v>
      </c>
      <c r="AP208" s="10">
        <v>195.98199600000001</v>
      </c>
      <c r="AQ208" s="16">
        <v>42.3</v>
      </c>
      <c r="AR208" s="16">
        <v>2604.04</v>
      </c>
      <c r="AS208" s="10">
        <v>7.85</v>
      </c>
      <c r="AT208" s="13">
        <v>0</v>
      </c>
      <c r="AU208" s="10">
        <v>6.73</v>
      </c>
      <c r="AV208" s="17">
        <f t="shared" si="53"/>
        <v>57142.946923797383</v>
      </c>
      <c r="AW208" s="17">
        <v>29980.478879668859</v>
      </c>
      <c r="AX208" s="17">
        <v>27162.46804412852</v>
      </c>
      <c r="AY208" s="17">
        <v>0</v>
      </c>
      <c r="BA208" s="18"/>
      <c r="BC208" s="19"/>
      <c r="BD208" s="19"/>
      <c r="BE208" s="19"/>
      <c r="BF208" s="19"/>
      <c r="BG208" s="19"/>
      <c r="BI208" s="16">
        <f t="shared" si="43"/>
        <v>0</v>
      </c>
      <c r="BJ208" s="16">
        <f t="shared" si="44"/>
        <v>0</v>
      </c>
      <c r="BK208" s="16">
        <f t="shared" si="45"/>
        <v>6991.3</v>
      </c>
      <c r="BL208" s="16">
        <f t="shared" si="46"/>
        <v>6991.3</v>
      </c>
      <c r="BM208" s="16">
        <f t="shared" si="47"/>
        <v>6991.3</v>
      </c>
      <c r="BN208" s="16">
        <f t="shared" si="48"/>
        <v>6991.3</v>
      </c>
      <c r="BO208" s="16">
        <f t="shared" si="49"/>
        <v>6991.3</v>
      </c>
      <c r="BP208" s="16">
        <f t="shared" si="50"/>
        <v>0</v>
      </c>
    </row>
    <row r="209" spans="1:68" ht="12" customHeight="1" x14ac:dyDescent="0.25">
      <c r="A209" s="5">
        <f t="shared" si="51"/>
        <v>205</v>
      </c>
      <c r="B209" s="6" t="s">
        <v>289</v>
      </c>
      <c r="C209" s="7">
        <f t="shared" si="52"/>
        <v>8371.2500000000018</v>
      </c>
      <c r="D209" s="8">
        <v>7665.5500000000011</v>
      </c>
      <c r="E209" s="8">
        <v>705.7</v>
      </c>
      <c r="F209" s="8">
        <v>5042</v>
      </c>
      <c r="G209" s="9">
        <v>4</v>
      </c>
      <c r="H209" s="9">
        <v>0</v>
      </c>
      <c r="I209" s="9">
        <v>630</v>
      </c>
      <c r="J209" s="9">
        <v>0</v>
      </c>
      <c r="K209" s="9" t="s">
        <v>71</v>
      </c>
      <c r="L209" s="10" t="s">
        <v>71</v>
      </c>
      <c r="M209" s="10">
        <v>0</v>
      </c>
      <c r="N209" s="10" t="s">
        <v>72</v>
      </c>
      <c r="O209" s="10" t="s">
        <v>72</v>
      </c>
      <c r="P209" s="5" t="s">
        <v>73</v>
      </c>
      <c r="Q209" s="11">
        <v>1</v>
      </c>
      <c r="R209" s="12">
        <v>41.1</v>
      </c>
      <c r="S209" s="10">
        <v>4.68</v>
      </c>
      <c r="T209" s="10">
        <v>7.92</v>
      </c>
      <c r="U209" s="10">
        <v>12.32</v>
      </c>
      <c r="V209" s="10">
        <v>6.34</v>
      </c>
      <c r="W209" s="10">
        <v>2.89</v>
      </c>
      <c r="X209" s="10">
        <v>1.66</v>
      </c>
      <c r="Y209" s="10">
        <v>5.29</v>
      </c>
      <c r="Z209" s="10">
        <v>0</v>
      </c>
      <c r="AA209" s="13">
        <v>7.0000000000000001E-3</v>
      </c>
      <c r="AB209" s="13">
        <v>7.0000000000000001E-3</v>
      </c>
      <c r="AC209" s="14">
        <f t="shared" ref="AC209:AC243" si="55">AB209*0.0599</f>
        <v>4.193E-4</v>
      </c>
      <c r="AD209" s="13">
        <f t="shared" ref="AD209:AD243" si="56">SUM(AA209:AB209)</f>
        <v>1.4E-2</v>
      </c>
      <c r="AE209" s="13">
        <v>3.23</v>
      </c>
      <c r="AF209" s="10">
        <v>4.29</v>
      </c>
      <c r="AG209" s="10">
        <v>3.17</v>
      </c>
      <c r="AH209" s="15">
        <v>5.9900000000000002E-2</v>
      </c>
      <c r="AI209" s="10">
        <f t="shared" si="54"/>
        <v>7.46</v>
      </c>
      <c r="AJ209" s="10">
        <v>0.02</v>
      </c>
      <c r="AK209" s="13">
        <v>0</v>
      </c>
      <c r="AL209" s="10">
        <v>0</v>
      </c>
      <c r="AM209" s="16">
        <v>40</v>
      </c>
      <c r="AN209" s="16">
        <v>40</v>
      </c>
      <c r="AO209" s="16">
        <v>2604.04</v>
      </c>
      <c r="AP209" s="10">
        <v>195.98199600000001</v>
      </c>
      <c r="AQ209" s="16">
        <v>42.3</v>
      </c>
      <c r="AR209" s="16">
        <v>2604.04</v>
      </c>
      <c r="AS209" s="10">
        <v>0</v>
      </c>
      <c r="AT209" s="13">
        <v>0</v>
      </c>
      <c r="AU209" s="10">
        <v>5.05</v>
      </c>
      <c r="AV209" s="17">
        <f t="shared" si="53"/>
        <v>84666.200796169956</v>
      </c>
      <c r="AW209" s="17">
        <v>35634.238463167705</v>
      </c>
      <c r="AX209" s="17">
        <v>32284.807495709076</v>
      </c>
      <c r="AY209" s="17">
        <v>16747.154837293168</v>
      </c>
      <c r="BA209" s="18"/>
      <c r="BC209" s="19"/>
      <c r="BD209" s="19"/>
      <c r="BE209" s="19"/>
      <c r="BF209" s="19"/>
      <c r="BG209" s="19"/>
      <c r="BI209" s="16">
        <f t="shared" si="43"/>
        <v>8371.2500000000018</v>
      </c>
      <c r="BJ209" s="16">
        <f t="shared" si="44"/>
        <v>0</v>
      </c>
      <c r="BK209" s="16">
        <f t="shared" si="45"/>
        <v>8371.2500000000018</v>
      </c>
      <c r="BL209" s="16">
        <f t="shared" si="46"/>
        <v>8371.2500000000018</v>
      </c>
      <c r="BM209" s="16">
        <f t="shared" si="47"/>
        <v>8371.2500000000018</v>
      </c>
      <c r="BN209" s="16">
        <f t="shared" si="48"/>
        <v>8371.2500000000018</v>
      </c>
      <c r="BO209" s="16">
        <f t="shared" si="49"/>
        <v>0</v>
      </c>
      <c r="BP209" s="16">
        <f t="shared" si="50"/>
        <v>8371.2500000000018</v>
      </c>
    </row>
    <row r="210" spans="1:68" ht="12" customHeight="1" x14ac:dyDescent="0.25">
      <c r="A210" s="5">
        <f t="shared" si="51"/>
        <v>206</v>
      </c>
      <c r="B210" s="6" t="s">
        <v>290</v>
      </c>
      <c r="C210" s="7">
        <f t="shared" si="52"/>
        <v>635.79999999999995</v>
      </c>
      <c r="D210" s="8">
        <v>635.79999999999995</v>
      </c>
      <c r="E210" s="8">
        <v>0</v>
      </c>
      <c r="F210" s="8">
        <v>74.2</v>
      </c>
      <c r="G210" s="9">
        <v>0</v>
      </c>
      <c r="H210" s="9">
        <v>0</v>
      </c>
      <c r="I210" s="9">
        <v>0</v>
      </c>
      <c r="J210" s="9">
        <v>0</v>
      </c>
      <c r="K210" s="9" t="s">
        <v>71</v>
      </c>
      <c r="L210" s="10" t="s">
        <v>71</v>
      </c>
      <c r="M210" s="10">
        <v>0</v>
      </c>
      <c r="N210" s="10" t="s">
        <v>72</v>
      </c>
      <c r="O210" s="10" t="s">
        <v>72</v>
      </c>
      <c r="P210" s="5" t="s">
        <v>102</v>
      </c>
      <c r="Q210" s="11">
        <v>7</v>
      </c>
      <c r="R210" s="21">
        <v>25.29</v>
      </c>
      <c r="S210" s="10">
        <v>4.32</v>
      </c>
      <c r="T210" s="10">
        <v>5.61</v>
      </c>
      <c r="U210" s="10">
        <v>7.16</v>
      </c>
      <c r="V210" s="10">
        <v>5.31</v>
      </c>
      <c r="W210" s="10">
        <v>2.67</v>
      </c>
      <c r="X210" s="10">
        <v>0</v>
      </c>
      <c r="Y210" s="10">
        <v>0</v>
      </c>
      <c r="Z210" s="10">
        <v>0.22</v>
      </c>
      <c r="AA210" s="13">
        <v>1.2999999999999999E-2</v>
      </c>
      <c r="AB210" s="13">
        <v>1.2999999999999999E-2</v>
      </c>
      <c r="AC210" s="14">
        <f t="shared" si="55"/>
        <v>7.7870000000000001E-4</v>
      </c>
      <c r="AD210" s="13">
        <f t="shared" si="56"/>
        <v>2.5999999999999999E-2</v>
      </c>
      <c r="AE210" s="13">
        <v>0.68300000000000005</v>
      </c>
      <c r="AF210" s="10">
        <v>4.29</v>
      </c>
      <c r="AG210" s="10">
        <v>3.17</v>
      </c>
      <c r="AH210" s="15">
        <v>5.9900000000000002E-2</v>
      </c>
      <c r="AI210" s="10">
        <f t="shared" si="54"/>
        <v>7.46</v>
      </c>
      <c r="AJ210" s="10">
        <v>0.02</v>
      </c>
      <c r="AK210" s="10">
        <v>10</v>
      </c>
      <c r="AL210" s="10">
        <v>0</v>
      </c>
      <c r="AM210" s="16">
        <v>40</v>
      </c>
      <c r="AN210" s="16">
        <v>40</v>
      </c>
      <c r="AO210" s="16">
        <v>2604.04</v>
      </c>
      <c r="AP210" s="10">
        <v>195.98199600000001</v>
      </c>
      <c r="AQ210" s="16">
        <v>42.3</v>
      </c>
      <c r="AR210" s="16">
        <v>2604.04</v>
      </c>
      <c r="AS210" s="10">
        <v>7.85</v>
      </c>
      <c r="AT210" s="13">
        <v>0</v>
      </c>
      <c r="AU210" s="10">
        <v>6.73</v>
      </c>
      <c r="AV210" s="17">
        <f t="shared" si="53"/>
        <v>5192.6566191604834</v>
      </c>
      <c r="AW210" s="17">
        <v>2724.3695545085402</v>
      </c>
      <c r="AX210" s="17">
        <v>2468.2870646519432</v>
      </c>
      <c r="AY210" s="17">
        <v>0</v>
      </c>
      <c r="BA210" s="18"/>
      <c r="BC210" s="19"/>
      <c r="BD210" s="19"/>
      <c r="BE210" s="19" t="s">
        <v>291</v>
      </c>
      <c r="BF210" s="19"/>
      <c r="BG210" s="19" t="s">
        <v>291</v>
      </c>
      <c r="BI210" s="16">
        <f t="shared" si="43"/>
        <v>0</v>
      </c>
      <c r="BJ210" s="16">
        <f t="shared" si="44"/>
        <v>0</v>
      </c>
      <c r="BK210" s="16">
        <f t="shared" si="45"/>
        <v>635.79999999999995</v>
      </c>
      <c r="BL210" s="16">
        <f t="shared" si="46"/>
        <v>635.79999999999995</v>
      </c>
      <c r="BM210" s="16">
        <f t="shared" si="47"/>
        <v>635.79999999999995</v>
      </c>
      <c r="BN210" s="16">
        <f t="shared" si="48"/>
        <v>635.79999999999995</v>
      </c>
      <c r="BO210" s="16">
        <f t="shared" si="49"/>
        <v>635.79999999999995</v>
      </c>
      <c r="BP210" s="16">
        <f t="shared" si="50"/>
        <v>0</v>
      </c>
    </row>
    <row r="211" spans="1:68" ht="12" customHeight="1" x14ac:dyDescent="0.25">
      <c r="A211" s="5">
        <f t="shared" si="51"/>
        <v>207</v>
      </c>
      <c r="B211" s="6" t="s">
        <v>292</v>
      </c>
      <c r="C211" s="7">
        <f t="shared" si="52"/>
        <v>2472.5</v>
      </c>
      <c r="D211" s="8">
        <v>2472.5</v>
      </c>
      <c r="E211" s="8">
        <v>0</v>
      </c>
      <c r="F211" s="8">
        <v>220.8</v>
      </c>
      <c r="G211" s="9">
        <v>0</v>
      </c>
      <c r="H211" s="9">
        <v>0</v>
      </c>
      <c r="I211" s="9">
        <v>0</v>
      </c>
      <c r="J211" s="9">
        <v>0</v>
      </c>
      <c r="K211" s="9" t="s">
        <v>83</v>
      </c>
      <c r="L211" s="10" t="s">
        <v>71</v>
      </c>
      <c r="M211" s="10">
        <v>0</v>
      </c>
      <c r="N211" s="10" t="s">
        <v>72</v>
      </c>
      <c r="O211" s="10" t="s">
        <v>72</v>
      </c>
      <c r="P211" s="5" t="s">
        <v>102</v>
      </c>
      <c r="Q211" s="11">
        <v>7</v>
      </c>
      <c r="R211" s="21">
        <v>25.29</v>
      </c>
      <c r="S211" s="10">
        <v>4.32</v>
      </c>
      <c r="T211" s="10">
        <v>5.61</v>
      </c>
      <c r="U211" s="10">
        <v>7.16</v>
      </c>
      <c r="V211" s="10">
        <v>5.31</v>
      </c>
      <c r="W211" s="10">
        <v>2.67</v>
      </c>
      <c r="X211" s="10">
        <v>0</v>
      </c>
      <c r="Y211" s="10">
        <v>0</v>
      </c>
      <c r="Z211" s="10">
        <v>0.22</v>
      </c>
      <c r="AA211" s="13">
        <v>1.2999999999999999E-2</v>
      </c>
      <c r="AB211" s="13">
        <v>1.2999999999999999E-2</v>
      </c>
      <c r="AC211" s="14">
        <f t="shared" si="55"/>
        <v>7.7870000000000001E-4</v>
      </c>
      <c r="AD211" s="13">
        <f t="shared" si="56"/>
        <v>2.5999999999999999E-2</v>
      </c>
      <c r="AE211" s="13">
        <v>0.68300000000000005</v>
      </c>
      <c r="AF211" s="10">
        <v>4.29</v>
      </c>
      <c r="AG211" s="10">
        <v>3.17</v>
      </c>
      <c r="AH211" s="15">
        <v>5.9900000000000002E-2</v>
      </c>
      <c r="AI211" s="10">
        <f t="shared" si="54"/>
        <v>7.46</v>
      </c>
      <c r="AJ211" s="10">
        <v>0.02</v>
      </c>
      <c r="AK211" s="10">
        <v>10</v>
      </c>
      <c r="AL211" s="10">
        <v>0</v>
      </c>
      <c r="AM211" s="16">
        <v>40</v>
      </c>
      <c r="AN211" s="16">
        <v>40</v>
      </c>
      <c r="AO211" s="16">
        <v>2604.04</v>
      </c>
      <c r="AP211" s="10">
        <v>195.98199600000001</v>
      </c>
      <c r="AQ211" s="16">
        <v>42.3</v>
      </c>
      <c r="AR211" s="16">
        <v>2604.04</v>
      </c>
      <c r="AS211" s="10">
        <v>7.85</v>
      </c>
      <c r="AT211" s="13">
        <v>0</v>
      </c>
      <c r="AU211" s="10">
        <v>6.73</v>
      </c>
      <c r="AV211" s="17">
        <f t="shared" si="53"/>
        <v>20210.047754636551</v>
      </c>
      <c r="AW211" s="17">
        <v>10603.354388792422</v>
      </c>
      <c r="AX211" s="17">
        <v>9606.6933658441303</v>
      </c>
      <c r="AY211" s="17">
        <v>0</v>
      </c>
      <c r="BA211" s="18"/>
      <c r="BC211" s="19"/>
      <c r="BD211" s="19"/>
      <c r="BE211" s="19"/>
      <c r="BF211" s="19"/>
      <c r="BG211" s="19"/>
      <c r="BI211" s="16">
        <f t="shared" si="43"/>
        <v>0</v>
      </c>
      <c r="BJ211" s="16">
        <f t="shared" si="44"/>
        <v>0</v>
      </c>
      <c r="BK211" s="16">
        <f t="shared" si="45"/>
        <v>2472.5</v>
      </c>
      <c r="BL211" s="16">
        <f t="shared" si="46"/>
        <v>2472.5</v>
      </c>
      <c r="BM211" s="16">
        <f t="shared" si="47"/>
        <v>2472.5</v>
      </c>
      <c r="BN211" s="16">
        <f t="shared" si="48"/>
        <v>2472.5</v>
      </c>
      <c r="BO211" s="16">
        <f t="shared" si="49"/>
        <v>2472.5</v>
      </c>
      <c r="BP211" s="16">
        <f t="shared" si="50"/>
        <v>0</v>
      </c>
    </row>
    <row r="212" spans="1:68" ht="12" customHeight="1" x14ac:dyDescent="0.25">
      <c r="A212" s="5">
        <f t="shared" si="51"/>
        <v>208</v>
      </c>
      <c r="B212" s="6" t="s">
        <v>293</v>
      </c>
      <c r="C212" s="7">
        <f t="shared" si="52"/>
        <v>632.29999999999995</v>
      </c>
      <c r="D212" s="8">
        <v>632.29999999999995</v>
      </c>
      <c r="E212" s="8">
        <v>0</v>
      </c>
      <c r="F212" s="8">
        <v>41.3</v>
      </c>
      <c r="G212" s="9">
        <v>0</v>
      </c>
      <c r="H212" s="9">
        <v>0</v>
      </c>
      <c r="I212" s="9">
        <v>0</v>
      </c>
      <c r="J212" s="9">
        <v>0</v>
      </c>
      <c r="K212" s="9" t="s">
        <v>71</v>
      </c>
      <c r="L212" s="10" t="s">
        <v>71</v>
      </c>
      <c r="M212" s="10">
        <v>0</v>
      </c>
      <c r="N212" s="10" t="s">
        <v>72</v>
      </c>
      <c r="O212" s="10" t="s">
        <v>72</v>
      </c>
      <c r="P212" s="5" t="s">
        <v>102</v>
      </c>
      <c r="Q212" s="11">
        <v>7</v>
      </c>
      <c r="R212" s="21">
        <v>25.29</v>
      </c>
      <c r="S212" s="10">
        <v>4.32</v>
      </c>
      <c r="T212" s="10">
        <v>5.61</v>
      </c>
      <c r="U212" s="10">
        <v>7.16</v>
      </c>
      <c r="V212" s="10">
        <v>5.31</v>
      </c>
      <c r="W212" s="10">
        <v>2.67</v>
      </c>
      <c r="X212" s="10">
        <v>0</v>
      </c>
      <c r="Y212" s="10">
        <v>0</v>
      </c>
      <c r="Z212" s="10">
        <v>0.22</v>
      </c>
      <c r="AA212" s="13">
        <v>1.2999999999999999E-2</v>
      </c>
      <c r="AB212" s="13">
        <v>1.2999999999999999E-2</v>
      </c>
      <c r="AC212" s="14">
        <f t="shared" si="55"/>
        <v>7.7870000000000001E-4</v>
      </c>
      <c r="AD212" s="13">
        <f t="shared" si="56"/>
        <v>2.5999999999999999E-2</v>
      </c>
      <c r="AE212" s="13">
        <v>0.68300000000000005</v>
      </c>
      <c r="AF212" s="10">
        <v>4.29</v>
      </c>
      <c r="AG212" s="10">
        <v>3.17</v>
      </c>
      <c r="AH212" s="15">
        <v>5.9900000000000002E-2</v>
      </c>
      <c r="AI212" s="10">
        <f t="shared" si="54"/>
        <v>7.46</v>
      </c>
      <c r="AJ212" s="10">
        <v>0.02</v>
      </c>
      <c r="AK212" s="10">
        <v>10</v>
      </c>
      <c r="AL212" s="10">
        <v>0</v>
      </c>
      <c r="AM212" s="16">
        <v>40</v>
      </c>
      <c r="AN212" s="16">
        <v>40</v>
      </c>
      <c r="AO212" s="16">
        <v>2604.04</v>
      </c>
      <c r="AP212" s="10">
        <v>195.98199600000001</v>
      </c>
      <c r="AQ212" s="16">
        <v>42.3</v>
      </c>
      <c r="AR212" s="16">
        <v>2604.04</v>
      </c>
      <c r="AS212" s="10">
        <v>7.85</v>
      </c>
      <c r="AT212" s="13">
        <v>0</v>
      </c>
      <c r="AU212" s="10">
        <v>6.73</v>
      </c>
      <c r="AV212" s="17">
        <f t="shared" si="53"/>
        <v>5175.4842233901782</v>
      </c>
      <c r="AW212" s="17">
        <v>2715.3488743207658</v>
      </c>
      <c r="AX212" s="17">
        <v>2460.1353490694128</v>
      </c>
      <c r="AY212" s="17">
        <v>0</v>
      </c>
      <c r="BA212" s="18"/>
      <c r="BC212" s="19"/>
      <c r="BD212" s="19"/>
      <c r="BE212" s="19"/>
      <c r="BF212" s="19"/>
      <c r="BG212" s="19"/>
      <c r="BI212" s="16">
        <f t="shared" si="43"/>
        <v>0</v>
      </c>
      <c r="BJ212" s="16">
        <f t="shared" si="44"/>
        <v>0</v>
      </c>
      <c r="BK212" s="16">
        <f t="shared" si="45"/>
        <v>632.29999999999995</v>
      </c>
      <c r="BL212" s="16">
        <f t="shared" si="46"/>
        <v>632.29999999999995</v>
      </c>
      <c r="BM212" s="16">
        <f t="shared" si="47"/>
        <v>632.29999999999995</v>
      </c>
      <c r="BN212" s="16">
        <f t="shared" si="48"/>
        <v>632.29999999999995</v>
      </c>
      <c r="BO212" s="16">
        <f t="shared" si="49"/>
        <v>632.29999999999995</v>
      </c>
      <c r="BP212" s="16">
        <f t="shared" si="50"/>
        <v>0</v>
      </c>
    </row>
    <row r="213" spans="1:68" ht="12" customHeight="1" x14ac:dyDescent="0.25">
      <c r="A213" s="5">
        <f t="shared" si="51"/>
        <v>209</v>
      </c>
      <c r="B213" s="6" t="s">
        <v>294</v>
      </c>
      <c r="C213" s="7">
        <f t="shared" si="52"/>
        <v>651.9</v>
      </c>
      <c r="D213" s="8">
        <v>651.9</v>
      </c>
      <c r="E213" s="8">
        <v>0</v>
      </c>
      <c r="F213" s="8">
        <v>53.7</v>
      </c>
      <c r="G213" s="9">
        <v>0</v>
      </c>
      <c r="H213" s="9">
        <v>0</v>
      </c>
      <c r="I213" s="9">
        <v>0</v>
      </c>
      <c r="J213" s="9">
        <v>0</v>
      </c>
      <c r="K213" s="9" t="s">
        <v>71</v>
      </c>
      <c r="L213" s="10" t="s">
        <v>71</v>
      </c>
      <c r="M213" s="10">
        <v>0</v>
      </c>
      <c r="N213" s="10" t="s">
        <v>72</v>
      </c>
      <c r="O213" s="10" t="s">
        <v>72</v>
      </c>
      <c r="P213" s="5" t="s">
        <v>102</v>
      </c>
      <c r="Q213" s="11">
        <v>7</v>
      </c>
      <c r="R213" s="21">
        <v>25.29</v>
      </c>
      <c r="S213" s="10">
        <v>4.32</v>
      </c>
      <c r="T213" s="10">
        <v>5.61</v>
      </c>
      <c r="U213" s="10">
        <v>7.16</v>
      </c>
      <c r="V213" s="10">
        <v>5.31</v>
      </c>
      <c r="W213" s="10">
        <v>2.67</v>
      </c>
      <c r="X213" s="10">
        <v>0</v>
      </c>
      <c r="Y213" s="10">
        <v>0</v>
      </c>
      <c r="Z213" s="10">
        <v>0.22</v>
      </c>
      <c r="AA213" s="13">
        <v>1.2999999999999999E-2</v>
      </c>
      <c r="AB213" s="13">
        <v>1.2999999999999999E-2</v>
      </c>
      <c r="AC213" s="14">
        <f t="shared" si="55"/>
        <v>7.7870000000000001E-4</v>
      </c>
      <c r="AD213" s="13">
        <f t="shared" si="56"/>
        <v>2.5999999999999999E-2</v>
      </c>
      <c r="AE213" s="13">
        <v>0.68300000000000005</v>
      </c>
      <c r="AF213" s="10">
        <v>4.29</v>
      </c>
      <c r="AG213" s="10">
        <v>3.17</v>
      </c>
      <c r="AH213" s="15">
        <v>5.9900000000000002E-2</v>
      </c>
      <c r="AI213" s="10">
        <f t="shared" si="54"/>
        <v>7.46</v>
      </c>
      <c r="AJ213" s="10">
        <v>0.02</v>
      </c>
      <c r="AK213" s="10">
        <v>10</v>
      </c>
      <c r="AL213" s="10">
        <v>0</v>
      </c>
      <c r="AM213" s="16">
        <v>40</v>
      </c>
      <c r="AN213" s="16">
        <v>40</v>
      </c>
      <c r="AO213" s="16">
        <v>2604.04</v>
      </c>
      <c r="AP213" s="10">
        <v>195.98199600000001</v>
      </c>
      <c r="AQ213" s="16">
        <v>42.3</v>
      </c>
      <c r="AR213" s="16">
        <v>2604.04</v>
      </c>
      <c r="AS213" s="10">
        <v>7.85</v>
      </c>
      <c r="AT213" s="13">
        <v>0</v>
      </c>
      <c r="AU213" s="10">
        <v>6.73</v>
      </c>
      <c r="AV213" s="17">
        <f t="shared" si="53"/>
        <v>5326.6564785247429</v>
      </c>
      <c r="AW213" s="17">
        <v>2794.6729289994955</v>
      </c>
      <c r="AX213" s="17">
        <v>2531.9835495252469</v>
      </c>
      <c r="AY213" s="17">
        <v>0</v>
      </c>
      <c r="BA213" s="18"/>
      <c r="BC213" s="19"/>
      <c r="BD213" s="19"/>
      <c r="BE213" s="19"/>
      <c r="BF213" s="19"/>
      <c r="BG213" s="19"/>
      <c r="BI213" s="16">
        <f t="shared" si="43"/>
        <v>0</v>
      </c>
      <c r="BJ213" s="16">
        <f t="shared" si="44"/>
        <v>0</v>
      </c>
      <c r="BK213" s="16">
        <f t="shared" si="45"/>
        <v>651.9</v>
      </c>
      <c r="BL213" s="16">
        <f t="shared" si="46"/>
        <v>651.9</v>
      </c>
      <c r="BM213" s="16">
        <f t="shared" si="47"/>
        <v>651.9</v>
      </c>
      <c r="BN213" s="16">
        <f t="shared" si="48"/>
        <v>651.9</v>
      </c>
      <c r="BO213" s="16">
        <f t="shared" si="49"/>
        <v>651.9</v>
      </c>
      <c r="BP213" s="16">
        <f t="shared" si="50"/>
        <v>0</v>
      </c>
    </row>
    <row r="214" spans="1:68" ht="12" customHeight="1" x14ac:dyDescent="0.25">
      <c r="A214" s="5">
        <f t="shared" si="51"/>
        <v>210</v>
      </c>
      <c r="B214" s="6" t="s">
        <v>295</v>
      </c>
      <c r="C214" s="7">
        <f t="shared" si="52"/>
        <v>639.5</v>
      </c>
      <c r="D214" s="8">
        <v>639.5</v>
      </c>
      <c r="E214" s="8">
        <v>0</v>
      </c>
      <c r="F214" s="8">
        <v>53.7</v>
      </c>
      <c r="G214" s="9">
        <v>0</v>
      </c>
      <c r="H214" s="9">
        <v>0</v>
      </c>
      <c r="I214" s="9">
        <v>0</v>
      </c>
      <c r="J214" s="9">
        <v>0</v>
      </c>
      <c r="K214" s="9" t="s">
        <v>71</v>
      </c>
      <c r="L214" s="10" t="s">
        <v>71</v>
      </c>
      <c r="M214" s="10">
        <v>0</v>
      </c>
      <c r="N214" s="10" t="s">
        <v>72</v>
      </c>
      <c r="O214" s="10" t="s">
        <v>72</v>
      </c>
      <c r="P214" s="5" t="s">
        <v>102</v>
      </c>
      <c r="Q214" s="11">
        <v>7</v>
      </c>
      <c r="R214" s="21">
        <v>25.29</v>
      </c>
      <c r="S214" s="10">
        <v>4.32</v>
      </c>
      <c r="T214" s="10">
        <v>5.61</v>
      </c>
      <c r="U214" s="10">
        <v>7.16</v>
      </c>
      <c r="V214" s="10">
        <v>5.31</v>
      </c>
      <c r="W214" s="10">
        <v>2.67</v>
      </c>
      <c r="X214" s="10">
        <v>0</v>
      </c>
      <c r="Y214" s="10">
        <v>0</v>
      </c>
      <c r="Z214" s="10">
        <v>0.22</v>
      </c>
      <c r="AA214" s="13">
        <v>1.2999999999999999E-2</v>
      </c>
      <c r="AB214" s="13">
        <v>1.2999999999999999E-2</v>
      </c>
      <c r="AC214" s="14">
        <f t="shared" si="55"/>
        <v>7.7870000000000001E-4</v>
      </c>
      <c r="AD214" s="13">
        <f t="shared" si="56"/>
        <v>2.5999999999999999E-2</v>
      </c>
      <c r="AE214" s="13">
        <v>0.68300000000000005</v>
      </c>
      <c r="AF214" s="10">
        <v>4.29</v>
      </c>
      <c r="AG214" s="10">
        <v>3.17</v>
      </c>
      <c r="AH214" s="15">
        <v>5.9900000000000002E-2</v>
      </c>
      <c r="AI214" s="10">
        <f t="shared" si="54"/>
        <v>7.46</v>
      </c>
      <c r="AJ214" s="10">
        <v>0.02</v>
      </c>
      <c r="AK214" s="10">
        <v>10</v>
      </c>
      <c r="AL214" s="10">
        <v>0</v>
      </c>
      <c r="AM214" s="16">
        <v>40</v>
      </c>
      <c r="AN214" s="16">
        <v>40</v>
      </c>
      <c r="AO214" s="16">
        <v>2604.04</v>
      </c>
      <c r="AP214" s="10">
        <v>195.98199600000001</v>
      </c>
      <c r="AQ214" s="16">
        <v>42.3</v>
      </c>
      <c r="AR214" s="16">
        <v>2604.04</v>
      </c>
      <c r="AS214" s="10">
        <v>7.85</v>
      </c>
      <c r="AT214" s="13">
        <v>0</v>
      </c>
      <c r="AU214" s="10">
        <v>6.73</v>
      </c>
      <c r="AV214" s="17">
        <f t="shared" si="53"/>
        <v>5220.435900350356</v>
      </c>
      <c r="AW214" s="17">
        <v>2738.9350564631113</v>
      </c>
      <c r="AX214" s="17">
        <v>2481.5008438872451</v>
      </c>
      <c r="AY214" s="17">
        <v>0</v>
      </c>
      <c r="BA214" s="18"/>
      <c r="BC214" s="19"/>
      <c r="BD214" s="19"/>
      <c r="BE214" s="19"/>
      <c r="BF214" s="19"/>
      <c r="BG214" s="19"/>
      <c r="BI214" s="16">
        <f t="shared" si="43"/>
        <v>0</v>
      </c>
      <c r="BJ214" s="16">
        <f t="shared" si="44"/>
        <v>0</v>
      </c>
      <c r="BK214" s="16">
        <f t="shared" si="45"/>
        <v>639.5</v>
      </c>
      <c r="BL214" s="16">
        <f t="shared" si="46"/>
        <v>639.5</v>
      </c>
      <c r="BM214" s="16">
        <f t="shared" si="47"/>
        <v>639.5</v>
      </c>
      <c r="BN214" s="16">
        <f t="shared" si="48"/>
        <v>639.5</v>
      </c>
      <c r="BO214" s="16">
        <f t="shared" si="49"/>
        <v>639.5</v>
      </c>
      <c r="BP214" s="16">
        <f t="shared" si="50"/>
        <v>0</v>
      </c>
    </row>
    <row r="215" spans="1:68" ht="12" customHeight="1" x14ac:dyDescent="0.25">
      <c r="A215" s="5">
        <f t="shared" si="51"/>
        <v>211</v>
      </c>
      <c r="B215" s="6" t="s">
        <v>296</v>
      </c>
      <c r="C215" s="7">
        <f t="shared" si="52"/>
        <v>4849.7999999999993</v>
      </c>
      <c r="D215" s="8">
        <v>4090.5999999999995</v>
      </c>
      <c r="E215" s="8">
        <v>759.2</v>
      </c>
      <c r="F215" s="8">
        <v>370.5</v>
      </c>
      <c r="G215" s="9">
        <v>0</v>
      </c>
      <c r="H215" s="9">
        <v>0</v>
      </c>
      <c r="I215" s="9">
        <v>0</v>
      </c>
      <c r="J215" s="9">
        <v>0</v>
      </c>
      <c r="K215" s="9" t="s">
        <v>83</v>
      </c>
      <c r="L215" s="10" t="s">
        <v>71</v>
      </c>
      <c r="M215" s="10">
        <v>0</v>
      </c>
      <c r="N215" s="10" t="s">
        <v>72</v>
      </c>
      <c r="O215" s="10" t="s">
        <v>72</v>
      </c>
      <c r="P215" s="5" t="s">
        <v>102</v>
      </c>
      <c r="Q215" s="11">
        <v>7</v>
      </c>
      <c r="R215" s="21">
        <v>25.29</v>
      </c>
      <c r="S215" s="10">
        <v>4.32</v>
      </c>
      <c r="T215" s="10">
        <v>5.61</v>
      </c>
      <c r="U215" s="10">
        <v>7.16</v>
      </c>
      <c r="V215" s="10">
        <v>5.31</v>
      </c>
      <c r="W215" s="10">
        <v>2.67</v>
      </c>
      <c r="X215" s="10">
        <v>0</v>
      </c>
      <c r="Y215" s="10">
        <v>0</v>
      </c>
      <c r="Z215" s="10">
        <v>0.22</v>
      </c>
      <c r="AA215" s="13">
        <v>1.2999999999999999E-2</v>
      </c>
      <c r="AB215" s="13">
        <v>1.2999999999999999E-2</v>
      </c>
      <c r="AC215" s="14">
        <f t="shared" si="55"/>
        <v>7.7870000000000001E-4</v>
      </c>
      <c r="AD215" s="13">
        <f t="shared" si="56"/>
        <v>2.5999999999999999E-2</v>
      </c>
      <c r="AE215" s="13">
        <v>0.68300000000000005</v>
      </c>
      <c r="AF215" s="10">
        <v>4.29</v>
      </c>
      <c r="AG215" s="10">
        <v>3.17</v>
      </c>
      <c r="AH215" s="15">
        <v>5.9900000000000002E-2</v>
      </c>
      <c r="AI215" s="10">
        <f t="shared" si="54"/>
        <v>7.46</v>
      </c>
      <c r="AJ215" s="10">
        <v>0.02</v>
      </c>
      <c r="AK215" s="10">
        <v>10</v>
      </c>
      <c r="AL215" s="10">
        <v>0</v>
      </c>
      <c r="AM215" s="16">
        <v>40</v>
      </c>
      <c r="AN215" s="16">
        <v>40</v>
      </c>
      <c r="AO215" s="16">
        <v>2604.04</v>
      </c>
      <c r="AP215" s="10">
        <v>195.98199600000001</v>
      </c>
      <c r="AQ215" s="16">
        <v>42.3</v>
      </c>
      <c r="AR215" s="16">
        <v>2604.04</v>
      </c>
      <c r="AS215" s="10">
        <v>7.85</v>
      </c>
      <c r="AT215" s="13">
        <v>0</v>
      </c>
      <c r="AU215" s="10">
        <v>6.73</v>
      </c>
      <c r="AV215" s="17">
        <f t="shared" si="53"/>
        <v>36622.761563622444</v>
      </c>
      <c r="AW215" s="17">
        <v>20749.288568002044</v>
      </c>
      <c r="AX215" s="17">
        <v>15873.472995620399</v>
      </c>
      <c r="AY215" s="17">
        <v>0</v>
      </c>
      <c r="BA215" s="18"/>
      <c r="BC215" s="19"/>
      <c r="BD215" s="19"/>
      <c r="BE215" s="19"/>
      <c r="BF215" s="19"/>
      <c r="BG215" s="19"/>
      <c r="BI215" s="16">
        <f t="shared" si="43"/>
        <v>0</v>
      </c>
      <c r="BJ215" s="16">
        <f t="shared" si="44"/>
        <v>0</v>
      </c>
      <c r="BK215" s="16">
        <f t="shared" si="45"/>
        <v>4849.7999999999993</v>
      </c>
      <c r="BL215" s="16">
        <f t="shared" si="46"/>
        <v>4849.7999999999993</v>
      </c>
      <c r="BM215" s="16">
        <f t="shared" si="47"/>
        <v>4849.7999999999993</v>
      </c>
      <c r="BN215" s="16">
        <f t="shared" si="48"/>
        <v>4849.7999999999993</v>
      </c>
      <c r="BO215" s="16">
        <f t="shared" si="49"/>
        <v>4849.7999999999993</v>
      </c>
      <c r="BP215" s="16">
        <f t="shared" si="50"/>
        <v>0</v>
      </c>
    </row>
    <row r="216" spans="1:68" ht="12" customHeight="1" x14ac:dyDescent="0.25">
      <c r="A216" s="5">
        <f t="shared" si="51"/>
        <v>212</v>
      </c>
      <c r="B216" s="6" t="s">
        <v>297</v>
      </c>
      <c r="C216" s="7">
        <f t="shared" si="52"/>
        <v>637.70000000000005</v>
      </c>
      <c r="D216" s="8">
        <v>637.70000000000005</v>
      </c>
      <c r="E216" s="8">
        <v>0</v>
      </c>
      <c r="F216" s="8">
        <v>56</v>
      </c>
      <c r="G216" s="9">
        <v>0</v>
      </c>
      <c r="H216" s="9">
        <v>0</v>
      </c>
      <c r="I216" s="9">
        <v>0</v>
      </c>
      <c r="J216" s="9">
        <v>0</v>
      </c>
      <c r="K216" s="9" t="s">
        <v>71</v>
      </c>
      <c r="L216" s="10" t="s">
        <v>71</v>
      </c>
      <c r="M216" s="10">
        <v>0</v>
      </c>
      <c r="N216" s="10" t="s">
        <v>72</v>
      </c>
      <c r="O216" s="10" t="s">
        <v>72</v>
      </c>
      <c r="P216" s="5" t="s">
        <v>102</v>
      </c>
      <c r="Q216" s="11">
        <v>7</v>
      </c>
      <c r="R216" s="21">
        <v>25.29</v>
      </c>
      <c r="S216" s="10">
        <v>4.32</v>
      </c>
      <c r="T216" s="10">
        <v>5.61</v>
      </c>
      <c r="U216" s="10">
        <v>7.16</v>
      </c>
      <c r="V216" s="10">
        <v>5.31</v>
      </c>
      <c r="W216" s="10">
        <v>2.67</v>
      </c>
      <c r="X216" s="10">
        <v>0</v>
      </c>
      <c r="Y216" s="10">
        <v>0</v>
      </c>
      <c r="Z216" s="10">
        <v>0.22</v>
      </c>
      <c r="AA216" s="13">
        <v>1.2999999999999999E-2</v>
      </c>
      <c r="AB216" s="13">
        <v>1.2999999999999999E-2</v>
      </c>
      <c r="AC216" s="14">
        <f t="shared" si="55"/>
        <v>7.7870000000000001E-4</v>
      </c>
      <c r="AD216" s="13">
        <f t="shared" si="56"/>
        <v>2.5999999999999999E-2</v>
      </c>
      <c r="AE216" s="13">
        <v>0.68300000000000005</v>
      </c>
      <c r="AF216" s="10">
        <v>4.29</v>
      </c>
      <c r="AG216" s="10">
        <v>3.17</v>
      </c>
      <c r="AH216" s="15">
        <v>5.9900000000000002E-2</v>
      </c>
      <c r="AI216" s="10">
        <f t="shared" si="54"/>
        <v>7.46</v>
      </c>
      <c r="AJ216" s="10">
        <v>0.02</v>
      </c>
      <c r="AK216" s="10">
        <v>10</v>
      </c>
      <c r="AL216" s="10">
        <v>0</v>
      </c>
      <c r="AM216" s="16">
        <v>40</v>
      </c>
      <c r="AN216" s="16">
        <v>40</v>
      </c>
      <c r="AO216" s="16">
        <v>2604.04</v>
      </c>
      <c r="AP216" s="10">
        <v>195.98199600000001</v>
      </c>
      <c r="AQ216" s="16">
        <v>42.3</v>
      </c>
      <c r="AR216" s="16">
        <v>2604.04</v>
      </c>
      <c r="AS216" s="10">
        <v>7.85</v>
      </c>
      <c r="AT216" s="13">
        <v>0</v>
      </c>
      <c r="AU216" s="10">
        <v>6.73</v>
      </c>
      <c r="AV216" s="17">
        <f t="shared" si="53"/>
        <v>5210.6290140911715</v>
      </c>
      <c r="AW216" s="17">
        <v>2733.7902342765065</v>
      </c>
      <c r="AX216" s="17">
        <v>2476.8387798146646</v>
      </c>
      <c r="AY216" s="17">
        <v>0</v>
      </c>
      <c r="BA216" s="18"/>
      <c r="BC216" s="19"/>
      <c r="BD216" s="19"/>
      <c r="BE216" s="19"/>
      <c r="BF216" s="19"/>
      <c r="BG216" s="19"/>
      <c r="BI216" s="16">
        <f t="shared" si="43"/>
        <v>0</v>
      </c>
      <c r="BJ216" s="16">
        <f t="shared" si="44"/>
        <v>0</v>
      </c>
      <c r="BK216" s="16">
        <f t="shared" si="45"/>
        <v>637.70000000000005</v>
      </c>
      <c r="BL216" s="16">
        <f t="shared" si="46"/>
        <v>637.70000000000005</v>
      </c>
      <c r="BM216" s="16">
        <f t="shared" si="47"/>
        <v>637.70000000000005</v>
      </c>
      <c r="BN216" s="16">
        <f t="shared" si="48"/>
        <v>637.70000000000005</v>
      </c>
      <c r="BO216" s="16">
        <f t="shared" si="49"/>
        <v>637.70000000000005</v>
      </c>
      <c r="BP216" s="16">
        <f t="shared" si="50"/>
        <v>0</v>
      </c>
    </row>
    <row r="217" spans="1:68" ht="12" customHeight="1" x14ac:dyDescent="0.25">
      <c r="A217" s="5">
        <f t="shared" si="51"/>
        <v>213</v>
      </c>
      <c r="B217" s="6" t="s">
        <v>298</v>
      </c>
      <c r="C217" s="7">
        <f t="shared" si="52"/>
        <v>655.20000000000005</v>
      </c>
      <c r="D217" s="8">
        <v>655.20000000000005</v>
      </c>
      <c r="E217" s="8">
        <v>0</v>
      </c>
      <c r="F217" s="8">
        <v>56</v>
      </c>
      <c r="G217" s="9">
        <v>0</v>
      </c>
      <c r="H217" s="9">
        <v>0</v>
      </c>
      <c r="I217" s="9">
        <v>0</v>
      </c>
      <c r="J217" s="9">
        <v>0</v>
      </c>
      <c r="K217" s="9" t="s">
        <v>71</v>
      </c>
      <c r="L217" s="10" t="s">
        <v>71</v>
      </c>
      <c r="M217" s="10">
        <v>0</v>
      </c>
      <c r="N217" s="10" t="s">
        <v>72</v>
      </c>
      <c r="O217" s="10" t="s">
        <v>72</v>
      </c>
      <c r="P217" s="5" t="s">
        <v>102</v>
      </c>
      <c r="Q217" s="11">
        <v>7</v>
      </c>
      <c r="R217" s="21">
        <v>25.29</v>
      </c>
      <c r="S217" s="10">
        <v>4.32</v>
      </c>
      <c r="T217" s="10">
        <v>5.61</v>
      </c>
      <c r="U217" s="10">
        <v>7.16</v>
      </c>
      <c r="V217" s="10">
        <v>5.31</v>
      </c>
      <c r="W217" s="10">
        <v>2.67</v>
      </c>
      <c r="X217" s="10">
        <v>0</v>
      </c>
      <c r="Y217" s="10">
        <v>0</v>
      </c>
      <c r="Z217" s="10">
        <v>0.22</v>
      </c>
      <c r="AA217" s="13">
        <v>1.2999999999999999E-2</v>
      </c>
      <c r="AB217" s="13">
        <v>1.2999999999999999E-2</v>
      </c>
      <c r="AC217" s="14">
        <f t="shared" si="55"/>
        <v>7.7870000000000001E-4</v>
      </c>
      <c r="AD217" s="13">
        <f t="shared" si="56"/>
        <v>2.5999999999999999E-2</v>
      </c>
      <c r="AE217" s="13">
        <v>0.68300000000000005</v>
      </c>
      <c r="AF217" s="10">
        <v>4.29</v>
      </c>
      <c r="AG217" s="10">
        <v>3.17</v>
      </c>
      <c r="AH217" s="15">
        <v>5.9900000000000002E-2</v>
      </c>
      <c r="AI217" s="10">
        <f t="shared" si="54"/>
        <v>7.46</v>
      </c>
      <c r="AJ217" s="10">
        <v>0.02</v>
      </c>
      <c r="AK217" s="10">
        <v>10</v>
      </c>
      <c r="AL217" s="10">
        <v>0</v>
      </c>
      <c r="AM217" s="16">
        <v>40</v>
      </c>
      <c r="AN217" s="16">
        <v>40</v>
      </c>
      <c r="AO217" s="16">
        <v>2604.04</v>
      </c>
      <c r="AP217" s="10">
        <v>195.98199600000001</v>
      </c>
      <c r="AQ217" s="16">
        <v>42.3</v>
      </c>
      <c r="AR217" s="16">
        <v>2604.04</v>
      </c>
      <c r="AS217" s="10">
        <v>7.85</v>
      </c>
      <c r="AT217" s="13">
        <v>0</v>
      </c>
      <c r="AU217" s="10">
        <v>6.73</v>
      </c>
      <c r="AV217" s="17">
        <f t="shared" si="53"/>
        <v>5353.6219674652602</v>
      </c>
      <c r="AW217" s="17">
        <v>2808.8108451959306</v>
      </c>
      <c r="AX217" s="17">
        <v>2544.8111222693292</v>
      </c>
      <c r="AY217" s="17">
        <v>0</v>
      </c>
      <c r="BA217" s="18"/>
      <c r="BC217" s="19"/>
      <c r="BD217" s="19"/>
      <c r="BE217" s="19"/>
      <c r="BF217" s="19"/>
      <c r="BG217" s="19"/>
      <c r="BI217" s="16">
        <f t="shared" si="43"/>
        <v>0</v>
      </c>
      <c r="BJ217" s="16">
        <f t="shared" si="44"/>
        <v>0</v>
      </c>
      <c r="BK217" s="16">
        <f t="shared" si="45"/>
        <v>655.20000000000005</v>
      </c>
      <c r="BL217" s="16">
        <f t="shared" si="46"/>
        <v>655.20000000000005</v>
      </c>
      <c r="BM217" s="16">
        <f t="shared" si="47"/>
        <v>655.20000000000005</v>
      </c>
      <c r="BN217" s="16">
        <f t="shared" si="48"/>
        <v>655.20000000000005</v>
      </c>
      <c r="BO217" s="16">
        <f t="shared" si="49"/>
        <v>655.20000000000005</v>
      </c>
      <c r="BP217" s="16">
        <f t="shared" si="50"/>
        <v>0</v>
      </c>
    </row>
    <row r="218" spans="1:68" ht="12" customHeight="1" x14ac:dyDescent="0.25">
      <c r="A218" s="5">
        <f t="shared" si="51"/>
        <v>214</v>
      </c>
      <c r="B218" s="6" t="s">
        <v>299</v>
      </c>
      <c r="C218" s="7">
        <f t="shared" si="52"/>
        <v>228.2</v>
      </c>
      <c r="D218" s="8">
        <v>228.2</v>
      </c>
      <c r="E218" s="8">
        <v>0</v>
      </c>
      <c r="F218" s="8">
        <v>0</v>
      </c>
      <c r="G218" s="9">
        <v>0</v>
      </c>
      <c r="H218" s="9">
        <v>0</v>
      </c>
      <c r="I218" s="9">
        <v>0</v>
      </c>
      <c r="J218" s="9">
        <v>0</v>
      </c>
      <c r="K218" s="9" t="s">
        <v>71</v>
      </c>
      <c r="L218" s="10" t="s">
        <v>71</v>
      </c>
      <c r="M218" s="10">
        <v>0</v>
      </c>
      <c r="N218" s="10" t="s">
        <v>72</v>
      </c>
      <c r="O218" s="10" t="s">
        <v>72</v>
      </c>
      <c r="P218" s="5" t="s">
        <v>102</v>
      </c>
      <c r="Q218" s="11">
        <v>8</v>
      </c>
      <c r="R218" s="21">
        <v>16.02</v>
      </c>
      <c r="S218" s="10">
        <v>0</v>
      </c>
      <c r="T218" s="10">
        <v>3.25</v>
      </c>
      <c r="U218" s="10">
        <v>6.72</v>
      </c>
      <c r="V218" s="10">
        <v>4</v>
      </c>
      <c r="W218" s="10">
        <v>2.0499999999999998</v>
      </c>
      <c r="X218" s="10">
        <v>0</v>
      </c>
      <c r="Y218" s="10">
        <v>0</v>
      </c>
      <c r="Z218" s="10">
        <v>0</v>
      </c>
      <c r="AA218" s="13">
        <v>0</v>
      </c>
      <c r="AB218" s="13">
        <v>0</v>
      </c>
      <c r="AC218" s="14">
        <f t="shared" si="55"/>
        <v>0</v>
      </c>
      <c r="AD218" s="13">
        <f t="shared" si="56"/>
        <v>0</v>
      </c>
      <c r="AE218" s="13">
        <v>0</v>
      </c>
      <c r="AF218" s="10">
        <v>3.86</v>
      </c>
      <c r="AG218" s="13">
        <v>0</v>
      </c>
      <c r="AH218" s="13">
        <v>0</v>
      </c>
      <c r="AI218" s="10">
        <f t="shared" si="54"/>
        <v>3.86</v>
      </c>
      <c r="AJ218" s="10">
        <v>0.02</v>
      </c>
      <c r="AK218" s="13">
        <v>0</v>
      </c>
      <c r="AL218" s="10">
        <v>0</v>
      </c>
      <c r="AM218" s="16">
        <v>40</v>
      </c>
      <c r="AN218" s="16">
        <v>0</v>
      </c>
      <c r="AO218" s="16">
        <v>0</v>
      </c>
      <c r="AP218" s="10">
        <v>0</v>
      </c>
      <c r="AQ218" s="16">
        <v>42.3</v>
      </c>
      <c r="AR218" s="16">
        <v>2604.04</v>
      </c>
      <c r="AS218" s="10">
        <v>0</v>
      </c>
      <c r="AT218" s="13">
        <v>0</v>
      </c>
      <c r="AU218" s="10">
        <v>5.05</v>
      </c>
      <c r="AV218" s="17">
        <f t="shared" si="53"/>
        <v>1864.6187326976262</v>
      </c>
      <c r="AW218" s="17">
        <v>978.2886284374141</v>
      </c>
      <c r="AX218" s="23">
        <v>886.33010426021212</v>
      </c>
      <c r="AY218" s="17">
        <v>0</v>
      </c>
      <c r="BA218" s="22" t="s">
        <v>115</v>
      </c>
      <c r="BC218" s="19"/>
      <c r="BD218" s="19"/>
      <c r="BE218" s="19"/>
      <c r="BF218" s="19"/>
      <c r="BG218" s="19"/>
      <c r="BI218" s="16">
        <f t="shared" si="43"/>
        <v>0</v>
      </c>
      <c r="BJ218" s="16">
        <f t="shared" si="44"/>
        <v>0</v>
      </c>
      <c r="BK218" s="16">
        <f t="shared" si="45"/>
        <v>228.2</v>
      </c>
      <c r="BL218" s="16">
        <f t="shared" si="46"/>
        <v>0</v>
      </c>
      <c r="BM218" s="16">
        <f t="shared" si="47"/>
        <v>228.2</v>
      </c>
      <c r="BN218" s="16">
        <f t="shared" si="48"/>
        <v>228.2</v>
      </c>
      <c r="BO218" s="16">
        <f t="shared" si="49"/>
        <v>0</v>
      </c>
      <c r="BP218" s="16">
        <f t="shared" si="50"/>
        <v>228.2</v>
      </c>
    </row>
    <row r="219" spans="1:68" ht="12" customHeight="1" x14ac:dyDescent="0.25">
      <c r="A219" s="5">
        <f t="shared" si="51"/>
        <v>215</v>
      </c>
      <c r="B219" s="6" t="s">
        <v>300</v>
      </c>
      <c r="C219" s="7">
        <f t="shared" si="52"/>
        <v>4601.2</v>
      </c>
      <c r="D219" s="8">
        <v>4601.2</v>
      </c>
      <c r="E219" s="8">
        <v>0</v>
      </c>
      <c r="F219" s="8">
        <v>1142.4000000000001</v>
      </c>
      <c r="G219" s="9">
        <v>2</v>
      </c>
      <c r="H219" s="9">
        <v>0</v>
      </c>
      <c r="I219" s="9">
        <v>400</v>
      </c>
      <c r="J219" s="9">
        <v>0</v>
      </c>
      <c r="K219" s="9" t="s">
        <v>71</v>
      </c>
      <c r="L219" s="10" t="s">
        <v>71</v>
      </c>
      <c r="M219" s="10">
        <v>0</v>
      </c>
      <c r="N219" s="10" t="s">
        <v>72</v>
      </c>
      <c r="O219" s="10" t="s">
        <v>72</v>
      </c>
      <c r="P219" s="5" t="s">
        <v>102</v>
      </c>
      <c r="Q219" s="11">
        <v>3</v>
      </c>
      <c r="R219" s="21">
        <v>36.75</v>
      </c>
      <c r="S219" s="10">
        <v>4.0199999999999996</v>
      </c>
      <c r="T219" s="10">
        <v>7</v>
      </c>
      <c r="U219" s="10">
        <v>11</v>
      </c>
      <c r="V219" s="10">
        <v>5.4</v>
      </c>
      <c r="W219" s="10">
        <v>2.67</v>
      </c>
      <c r="X219" s="10">
        <v>1.54</v>
      </c>
      <c r="Y219" s="10">
        <v>4.9000000000000004</v>
      </c>
      <c r="Z219" s="10">
        <v>0.22</v>
      </c>
      <c r="AA219" s="13">
        <v>7.0000000000000001E-3</v>
      </c>
      <c r="AB219" s="13">
        <v>7.0000000000000001E-3</v>
      </c>
      <c r="AC219" s="14">
        <f t="shared" si="55"/>
        <v>4.193E-4</v>
      </c>
      <c r="AD219" s="13">
        <f t="shared" si="56"/>
        <v>1.4E-2</v>
      </c>
      <c r="AE219" s="13">
        <v>3.23</v>
      </c>
      <c r="AF219" s="10">
        <v>4.29</v>
      </c>
      <c r="AG219" s="10">
        <v>3.17</v>
      </c>
      <c r="AH219" s="15">
        <v>5.9900000000000002E-2</v>
      </c>
      <c r="AI219" s="10">
        <f t="shared" si="54"/>
        <v>7.46</v>
      </c>
      <c r="AJ219" s="10">
        <v>0.02</v>
      </c>
      <c r="AK219" s="10">
        <v>10</v>
      </c>
      <c r="AL219" s="10">
        <v>0</v>
      </c>
      <c r="AM219" s="16">
        <v>40</v>
      </c>
      <c r="AN219" s="16">
        <v>40</v>
      </c>
      <c r="AO219" s="16">
        <v>2604.04</v>
      </c>
      <c r="AP219" s="10">
        <v>195.98199600000001</v>
      </c>
      <c r="AQ219" s="16">
        <v>42.3</v>
      </c>
      <c r="AR219" s="16">
        <v>2604.04</v>
      </c>
      <c r="AS219" s="10">
        <v>7.85</v>
      </c>
      <c r="AT219" s="13">
        <v>0</v>
      </c>
      <c r="AU219" s="10">
        <v>6.73</v>
      </c>
      <c r="AV219" s="17">
        <f t="shared" si="53"/>
        <v>44095.967513435186</v>
      </c>
      <c r="AW219" s="17">
        <v>19729.85515516076</v>
      </c>
      <c r="AX219" s="17">
        <v>15093.597952047099</v>
      </c>
      <c r="AY219" s="17">
        <v>9272.514406227323</v>
      </c>
      <c r="BA219" s="18"/>
      <c r="BC219" s="19"/>
      <c r="BD219" s="19"/>
      <c r="BE219" s="19" t="s">
        <v>291</v>
      </c>
      <c r="BF219" s="19"/>
      <c r="BG219" s="19" t="s">
        <v>291</v>
      </c>
      <c r="BI219" s="16">
        <f t="shared" si="43"/>
        <v>0</v>
      </c>
      <c r="BJ219" s="16">
        <f t="shared" si="44"/>
        <v>4601.2</v>
      </c>
      <c r="BK219" s="16">
        <f t="shared" si="45"/>
        <v>4601.2</v>
      </c>
      <c r="BL219" s="16">
        <f t="shared" si="46"/>
        <v>4601.2</v>
      </c>
      <c r="BM219" s="16">
        <f t="shared" si="47"/>
        <v>4601.2</v>
      </c>
      <c r="BN219" s="16">
        <f t="shared" si="48"/>
        <v>4601.2</v>
      </c>
      <c r="BO219" s="16">
        <f t="shared" si="49"/>
        <v>4601.2</v>
      </c>
      <c r="BP219" s="16">
        <f t="shared" si="50"/>
        <v>0</v>
      </c>
    </row>
    <row r="220" spans="1:68" ht="12" customHeight="1" x14ac:dyDescent="0.25">
      <c r="A220" s="5">
        <f t="shared" si="51"/>
        <v>216</v>
      </c>
      <c r="B220" s="6" t="s">
        <v>301</v>
      </c>
      <c r="C220" s="7">
        <f t="shared" si="52"/>
        <v>6918.95</v>
      </c>
      <c r="D220" s="8">
        <v>6614.75</v>
      </c>
      <c r="E220" s="8">
        <v>304.2</v>
      </c>
      <c r="F220" s="8">
        <v>962.4</v>
      </c>
      <c r="G220" s="9">
        <v>4</v>
      </c>
      <c r="H220" s="9">
        <v>0</v>
      </c>
      <c r="I220" s="9">
        <v>400</v>
      </c>
      <c r="J220" s="9">
        <v>0</v>
      </c>
      <c r="K220" s="9" t="s">
        <v>83</v>
      </c>
      <c r="L220" s="10" t="s">
        <v>71</v>
      </c>
      <c r="M220" s="10">
        <v>0</v>
      </c>
      <c r="N220" s="10" t="s">
        <v>72</v>
      </c>
      <c r="O220" s="10" t="s">
        <v>72</v>
      </c>
      <c r="P220" s="5" t="s">
        <v>102</v>
      </c>
      <c r="Q220" s="11">
        <v>1</v>
      </c>
      <c r="R220" s="21">
        <v>36.54</v>
      </c>
      <c r="S220" s="10">
        <v>4.03</v>
      </c>
      <c r="T220" s="10">
        <v>7</v>
      </c>
      <c r="U220" s="10">
        <v>11</v>
      </c>
      <c r="V220" s="10">
        <v>5.4</v>
      </c>
      <c r="W220" s="10">
        <v>2.67</v>
      </c>
      <c r="X220" s="10">
        <v>1.54</v>
      </c>
      <c r="Y220" s="10">
        <v>4.9000000000000004</v>
      </c>
      <c r="Z220" s="10">
        <v>0</v>
      </c>
      <c r="AA220" s="13">
        <v>7.0000000000000001E-3</v>
      </c>
      <c r="AB220" s="13">
        <v>7.0000000000000001E-3</v>
      </c>
      <c r="AC220" s="14">
        <f t="shared" si="55"/>
        <v>4.193E-4</v>
      </c>
      <c r="AD220" s="13">
        <f t="shared" si="56"/>
        <v>1.4E-2</v>
      </c>
      <c r="AE220" s="13">
        <v>3.23</v>
      </c>
      <c r="AF220" s="10">
        <v>4.29</v>
      </c>
      <c r="AG220" s="10">
        <v>3.17</v>
      </c>
      <c r="AH220" s="15">
        <v>5.9900000000000002E-2</v>
      </c>
      <c r="AI220" s="10">
        <f t="shared" si="54"/>
        <v>7.46</v>
      </c>
      <c r="AJ220" s="10">
        <v>0.02</v>
      </c>
      <c r="AK220" s="13">
        <v>0</v>
      </c>
      <c r="AL220" s="10">
        <v>0</v>
      </c>
      <c r="AM220" s="16">
        <v>40</v>
      </c>
      <c r="AN220" s="16">
        <v>40</v>
      </c>
      <c r="AO220" s="16">
        <v>2604.04</v>
      </c>
      <c r="AP220" s="10">
        <v>195.98199600000001</v>
      </c>
      <c r="AQ220" s="16">
        <v>42.3</v>
      </c>
      <c r="AR220" s="16">
        <v>2604.04</v>
      </c>
      <c r="AS220" s="10">
        <v>0</v>
      </c>
      <c r="AT220" s="13">
        <v>0</v>
      </c>
      <c r="AU220" s="10">
        <v>5.05</v>
      </c>
      <c r="AV220" s="17">
        <f t="shared" si="53"/>
        <v>66172.785722649016</v>
      </c>
      <c r="AW220" s="17">
        <v>29607.679270930086</v>
      </c>
      <c r="AX220" s="17">
        <v>22650.265883230208</v>
      </c>
      <c r="AY220" s="17">
        <v>13914.840568488722</v>
      </c>
      <c r="BA220" s="18"/>
      <c r="BC220" s="19"/>
      <c r="BD220" s="19"/>
      <c r="BE220" s="19"/>
      <c r="BF220" s="19"/>
      <c r="BG220" s="19"/>
      <c r="BI220" s="16">
        <f t="shared" si="43"/>
        <v>6918.95</v>
      </c>
      <c r="BJ220" s="16">
        <f t="shared" si="44"/>
        <v>0</v>
      </c>
      <c r="BK220" s="16">
        <f t="shared" si="45"/>
        <v>6918.95</v>
      </c>
      <c r="BL220" s="16">
        <f t="shared" si="46"/>
        <v>6918.95</v>
      </c>
      <c r="BM220" s="16">
        <f t="shared" si="47"/>
        <v>6918.95</v>
      </c>
      <c r="BN220" s="16">
        <f t="shared" si="48"/>
        <v>6918.95</v>
      </c>
      <c r="BO220" s="16">
        <f t="shared" si="49"/>
        <v>0</v>
      </c>
      <c r="BP220" s="16">
        <f t="shared" si="50"/>
        <v>6918.95</v>
      </c>
    </row>
    <row r="221" spans="1:68" ht="12" customHeight="1" x14ac:dyDescent="0.25">
      <c r="A221" s="5">
        <f t="shared" si="51"/>
        <v>217</v>
      </c>
      <c r="B221" s="6" t="s">
        <v>302</v>
      </c>
      <c r="C221" s="7">
        <f t="shared" si="52"/>
        <v>17410.200000000004</v>
      </c>
      <c r="D221" s="8">
        <v>16699.800000000003</v>
      </c>
      <c r="E221" s="8">
        <v>710.4</v>
      </c>
      <c r="F221" s="8">
        <v>4474.6000000000004</v>
      </c>
      <c r="G221" s="9">
        <v>4</v>
      </c>
      <c r="H221" s="9">
        <v>4</v>
      </c>
      <c r="I221" s="9">
        <v>400</v>
      </c>
      <c r="J221" s="9">
        <v>630</v>
      </c>
      <c r="K221" s="9" t="s">
        <v>83</v>
      </c>
      <c r="L221" s="10" t="s">
        <v>71</v>
      </c>
      <c r="M221" s="10">
        <v>0</v>
      </c>
      <c r="N221" s="10" t="s">
        <v>72</v>
      </c>
      <c r="O221" s="10" t="s">
        <v>72</v>
      </c>
      <c r="P221" s="5" t="s">
        <v>102</v>
      </c>
      <c r="Q221" s="11">
        <v>1</v>
      </c>
      <c r="R221" s="21">
        <v>36.54</v>
      </c>
      <c r="S221" s="10">
        <v>4.03</v>
      </c>
      <c r="T221" s="10">
        <v>7</v>
      </c>
      <c r="U221" s="10">
        <v>11</v>
      </c>
      <c r="V221" s="10">
        <v>5.4</v>
      </c>
      <c r="W221" s="10">
        <v>2.67</v>
      </c>
      <c r="X221" s="10">
        <v>1.54</v>
      </c>
      <c r="Y221" s="10">
        <v>4.9000000000000004</v>
      </c>
      <c r="Z221" s="10">
        <v>0</v>
      </c>
      <c r="AA221" s="13">
        <v>6.0000000000000001E-3</v>
      </c>
      <c r="AB221" s="13">
        <v>6.0000000000000001E-3</v>
      </c>
      <c r="AC221" s="14">
        <f t="shared" si="55"/>
        <v>3.5940000000000001E-4</v>
      </c>
      <c r="AD221" s="13">
        <f t="shared" si="56"/>
        <v>1.2E-2</v>
      </c>
      <c r="AE221" s="13">
        <v>3.23</v>
      </c>
      <c r="AF221" s="10">
        <v>4.29</v>
      </c>
      <c r="AG221" s="10">
        <v>3.17</v>
      </c>
      <c r="AH221" s="15">
        <v>5.9900000000000002E-2</v>
      </c>
      <c r="AI221" s="10">
        <f t="shared" si="54"/>
        <v>7.46</v>
      </c>
      <c r="AJ221" s="10">
        <v>0.02</v>
      </c>
      <c r="AK221" s="13">
        <v>0</v>
      </c>
      <c r="AL221" s="10">
        <v>0</v>
      </c>
      <c r="AM221" s="16">
        <v>40</v>
      </c>
      <c r="AN221" s="16">
        <v>40</v>
      </c>
      <c r="AO221" s="16">
        <v>2604.04</v>
      </c>
      <c r="AP221" s="10">
        <v>195.98199600000001</v>
      </c>
      <c r="AQ221" s="16">
        <v>42.3</v>
      </c>
      <c r="AR221" s="16">
        <v>2604.04</v>
      </c>
      <c r="AS221" s="10">
        <v>0</v>
      </c>
      <c r="AT221" s="13">
        <v>0</v>
      </c>
      <c r="AU221" s="10">
        <v>5.05</v>
      </c>
      <c r="AV221" s="17">
        <f t="shared" si="53"/>
        <v>167219.2038101865</v>
      </c>
      <c r="AW221" s="17">
        <v>74818.873200118003</v>
      </c>
      <c r="AX221" s="17">
        <v>57237.415790167513</v>
      </c>
      <c r="AY221" s="17">
        <v>35162.914819900994</v>
      </c>
      <c r="BA221" s="18"/>
      <c r="BC221" s="19"/>
      <c r="BD221" s="19"/>
      <c r="BE221" s="19"/>
      <c r="BF221" s="19"/>
      <c r="BG221" s="19"/>
      <c r="BI221" s="16">
        <f t="shared" si="43"/>
        <v>17410.200000000004</v>
      </c>
      <c r="BJ221" s="16">
        <f t="shared" si="44"/>
        <v>0</v>
      </c>
      <c r="BK221" s="16">
        <f t="shared" si="45"/>
        <v>17410.200000000004</v>
      </c>
      <c r="BL221" s="16">
        <f t="shared" si="46"/>
        <v>17410.200000000004</v>
      </c>
      <c r="BM221" s="16">
        <f t="shared" si="47"/>
        <v>17410.200000000004</v>
      </c>
      <c r="BN221" s="16">
        <f t="shared" si="48"/>
        <v>17410.200000000004</v>
      </c>
      <c r="BO221" s="16">
        <f t="shared" si="49"/>
        <v>0</v>
      </c>
      <c r="BP221" s="16">
        <f t="shared" si="50"/>
        <v>17410.200000000004</v>
      </c>
    </row>
    <row r="222" spans="1:68" ht="12" customHeight="1" x14ac:dyDescent="0.25">
      <c r="A222" s="5">
        <f t="shared" si="51"/>
        <v>218</v>
      </c>
      <c r="B222" s="6" t="s">
        <v>303</v>
      </c>
      <c r="C222" s="7">
        <f t="shared" si="52"/>
        <v>8733.14</v>
      </c>
      <c r="D222" s="8">
        <v>8733.14</v>
      </c>
      <c r="E222" s="8">
        <v>0</v>
      </c>
      <c r="F222" s="8">
        <v>2063.9</v>
      </c>
      <c r="G222" s="9">
        <v>2</v>
      </c>
      <c r="H222" s="9">
        <v>2</v>
      </c>
      <c r="I222" s="9">
        <v>400</v>
      </c>
      <c r="J222" s="9">
        <v>630</v>
      </c>
      <c r="K222" s="9" t="s">
        <v>83</v>
      </c>
      <c r="L222" s="10" t="s">
        <v>71</v>
      </c>
      <c r="M222" s="10">
        <v>0</v>
      </c>
      <c r="N222" s="10" t="s">
        <v>72</v>
      </c>
      <c r="O222" s="10" t="s">
        <v>72</v>
      </c>
      <c r="P222" s="5" t="s">
        <v>102</v>
      </c>
      <c r="Q222" s="11">
        <v>3</v>
      </c>
      <c r="R222" s="21">
        <v>36.75</v>
      </c>
      <c r="S222" s="10">
        <v>4.0199999999999996</v>
      </c>
      <c r="T222" s="10">
        <v>7</v>
      </c>
      <c r="U222" s="10">
        <v>11</v>
      </c>
      <c r="V222" s="10">
        <v>5.4</v>
      </c>
      <c r="W222" s="10">
        <v>2.67</v>
      </c>
      <c r="X222" s="10">
        <v>1.54</v>
      </c>
      <c r="Y222" s="10">
        <v>4.9000000000000004</v>
      </c>
      <c r="Z222" s="10">
        <v>0.22</v>
      </c>
      <c r="AA222" s="13">
        <v>7.0000000000000001E-3</v>
      </c>
      <c r="AB222" s="13">
        <v>7.0000000000000001E-3</v>
      </c>
      <c r="AC222" s="14">
        <f t="shared" si="55"/>
        <v>4.193E-4</v>
      </c>
      <c r="AD222" s="13">
        <f t="shared" si="56"/>
        <v>1.4E-2</v>
      </c>
      <c r="AE222" s="13">
        <v>3.23</v>
      </c>
      <c r="AF222" s="10">
        <v>4.29</v>
      </c>
      <c r="AG222" s="10">
        <v>3.17</v>
      </c>
      <c r="AH222" s="15">
        <v>5.9900000000000002E-2</v>
      </c>
      <c r="AI222" s="10">
        <f t="shared" si="54"/>
        <v>7.46</v>
      </c>
      <c r="AJ222" s="10">
        <v>0.02</v>
      </c>
      <c r="AK222" s="10">
        <v>10</v>
      </c>
      <c r="AL222" s="10">
        <v>0</v>
      </c>
      <c r="AM222" s="16">
        <v>40</v>
      </c>
      <c r="AN222" s="16">
        <v>40</v>
      </c>
      <c r="AO222" s="16">
        <v>2604.04</v>
      </c>
      <c r="AP222" s="10">
        <v>195.98199600000001</v>
      </c>
      <c r="AQ222" s="16">
        <v>42.3</v>
      </c>
      <c r="AR222" s="16">
        <v>2604.04</v>
      </c>
      <c r="AS222" s="10">
        <v>7.85</v>
      </c>
      <c r="AT222" s="13">
        <v>0</v>
      </c>
      <c r="AU222" s="10">
        <v>6.73</v>
      </c>
      <c r="AV222" s="17">
        <f t="shared" si="53"/>
        <v>83660.339782877243</v>
      </c>
      <c r="AW222" s="17">
        <v>37432.140024507135</v>
      </c>
      <c r="AX222" s="17">
        <v>28636.080290644157</v>
      </c>
      <c r="AY222" s="17">
        <v>17592.119467725955</v>
      </c>
      <c r="BA222" s="18"/>
      <c r="BC222" s="19"/>
      <c r="BD222" s="19"/>
      <c r="BE222" s="19"/>
      <c r="BF222" s="19"/>
      <c r="BG222" s="19"/>
      <c r="BI222" s="16">
        <f t="shared" si="43"/>
        <v>0</v>
      </c>
      <c r="BJ222" s="16">
        <f t="shared" si="44"/>
        <v>8733.14</v>
      </c>
      <c r="BK222" s="16">
        <f t="shared" si="45"/>
        <v>8733.14</v>
      </c>
      <c r="BL222" s="16">
        <f t="shared" si="46"/>
        <v>8733.14</v>
      </c>
      <c r="BM222" s="16">
        <f t="shared" si="47"/>
        <v>8733.14</v>
      </c>
      <c r="BN222" s="16">
        <f t="shared" si="48"/>
        <v>8733.14</v>
      </c>
      <c r="BO222" s="16">
        <f t="shared" si="49"/>
        <v>8733.14</v>
      </c>
      <c r="BP222" s="16">
        <f t="shared" si="50"/>
        <v>0</v>
      </c>
    </row>
    <row r="223" spans="1:68" ht="12" customHeight="1" x14ac:dyDescent="0.25">
      <c r="A223" s="5">
        <f t="shared" si="51"/>
        <v>219</v>
      </c>
      <c r="B223" s="6" t="s">
        <v>304</v>
      </c>
      <c r="C223" s="7">
        <f t="shared" si="52"/>
        <v>9293.3900000000012</v>
      </c>
      <c r="D223" s="8">
        <v>8850.19</v>
      </c>
      <c r="E223" s="8">
        <v>443.2</v>
      </c>
      <c r="F223" s="8">
        <v>1859</v>
      </c>
      <c r="G223" s="9">
        <v>3</v>
      </c>
      <c r="H223" s="9">
        <v>4</v>
      </c>
      <c r="I223" s="9">
        <v>400</v>
      </c>
      <c r="J223" s="9">
        <v>630</v>
      </c>
      <c r="K223" s="9" t="s">
        <v>83</v>
      </c>
      <c r="L223" s="10" t="s">
        <v>71</v>
      </c>
      <c r="M223" s="10">
        <v>0</v>
      </c>
      <c r="N223" s="10" t="s">
        <v>72</v>
      </c>
      <c r="O223" s="10" t="s">
        <v>72</v>
      </c>
      <c r="P223" s="5" t="s">
        <v>102</v>
      </c>
      <c r="Q223" s="11">
        <v>1</v>
      </c>
      <c r="R223" s="21">
        <v>36.54</v>
      </c>
      <c r="S223" s="10">
        <v>4.03</v>
      </c>
      <c r="T223" s="10">
        <v>7</v>
      </c>
      <c r="U223" s="10">
        <v>11</v>
      </c>
      <c r="V223" s="10">
        <v>5.4</v>
      </c>
      <c r="W223" s="10">
        <v>2.67</v>
      </c>
      <c r="X223" s="10">
        <v>1.54</v>
      </c>
      <c r="Y223" s="10">
        <v>4.9000000000000004</v>
      </c>
      <c r="Z223" s="10">
        <v>0</v>
      </c>
      <c r="AA223" s="13">
        <v>7.0000000000000001E-3</v>
      </c>
      <c r="AB223" s="13">
        <v>7.0000000000000001E-3</v>
      </c>
      <c r="AC223" s="14">
        <f t="shared" si="55"/>
        <v>4.193E-4</v>
      </c>
      <c r="AD223" s="13">
        <f t="shared" si="56"/>
        <v>1.4E-2</v>
      </c>
      <c r="AE223" s="13">
        <v>3.23</v>
      </c>
      <c r="AF223" s="10">
        <v>4.29</v>
      </c>
      <c r="AG223" s="10">
        <v>3.17</v>
      </c>
      <c r="AH223" s="15">
        <v>5.9900000000000002E-2</v>
      </c>
      <c r="AI223" s="10">
        <f t="shared" si="54"/>
        <v>7.46</v>
      </c>
      <c r="AJ223" s="10">
        <v>0.02</v>
      </c>
      <c r="AK223" s="13">
        <v>0</v>
      </c>
      <c r="AL223" s="10">
        <v>0</v>
      </c>
      <c r="AM223" s="16">
        <v>40</v>
      </c>
      <c r="AN223" s="16">
        <v>40</v>
      </c>
      <c r="AO223" s="16">
        <v>2604.04</v>
      </c>
      <c r="AP223" s="10">
        <v>195.98199600000001</v>
      </c>
      <c r="AQ223" s="16">
        <v>42.3</v>
      </c>
      <c r="AR223" s="16">
        <v>2604.04</v>
      </c>
      <c r="AS223" s="10">
        <v>0</v>
      </c>
      <c r="AT223" s="13">
        <v>0</v>
      </c>
      <c r="AU223" s="10">
        <v>5.05</v>
      </c>
      <c r="AV223" s="17">
        <f t="shared" si="53"/>
        <v>89406.71995882396</v>
      </c>
      <c r="AW223" s="17">
        <v>40003.240774357342</v>
      </c>
      <c r="AX223" s="17">
        <v>30603.002364248088</v>
      </c>
      <c r="AY223" s="17">
        <v>18800.476820218526</v>
      </c>
      <c r="BA223" s="18"/>
      <c r="BC223" s="19"/>
      <c r="BD223" s="19"/>
      <c r="BE223" s="19"/>
      <c r="BF223" s="19"/>
      <c r="BG223" s="19"/>
      <c r="BI223" s="16">
        <f t="shared" si="43"/>
        <v>9293.3900000000012</v>
      </c>
      <c r="BJ223" s="16">
        <f t="shared" si="44"/>
        <v>0</v>
      </c>
      <c r="BK223" s="16">
        <f t="shared" si="45"/>
        <v>9293.3900000000012</v>
      </c>
      <c r="BL223" s="16">
        <f t="shared" si="46"/>
        <v>9293.3900000000012</v>
      </c>
      <c r="BM223" s="16">
        <f t="shared" si="47"/>
        <v>9293.3900000000012</v>
      </c>
      <c r="BN223" s="16">
        <f t="shared" si="48"/>
        <v>9293.3900000000012</v>
      </c>
      <c r="BO223" s="16">
        <f t="shared" si="49"/>
        <v>0</v>
      </c>
      <c r="BP223" s="16">
        <f t="shared" si="50"/>
        <v>9293.3900000000012</v>
      </c>
    </row>
    <row r="224" spans="1:68" ht="12" customHeight="1" x14ac:dyDescent="0.25">
      <c r="A224" s="5">
        <f t="shared" si="51"/>
        <v>220</v>
      </c>
      <c r="B224" s="6" t="s">
        <v>305</v>
      </c>
      <c r="C224" s="7">
        <f t="shared" si="52"/>
        <v>3385.67</v>
      </c>
      <c r="D224" s="8">
        <v>3385.67</v>
      </c>
      <c r="E224" s="8">
        <v>0</v>
      </c>
      <c r="F224" s="8">
        <v>310.8</v>
      </c>
      <c r="G224" s="9">
        <v>0</v>
      </c>
      <c r="H224" s="9">
        <v>0</v>
      </c>
      <c r="I224" s="9">
        <v>0</v>
      </c>
      <c r="J224" s="9">
        <v>0</v>
      </c>
      <c r="K224" s="9" t="s">
        <v>83</v>
      </c>
      <c r="L224" s="10" t="s">
        <v>71</v>
      </c>
      <c r="M224" s="10">
        <v>0</v>
      </c>
      <c r="N224" s="10" t="s">
        <v>72</v>
      </c>
      <c r="O224" s="10" t="s">
        <v>72</v>
      </c>
      <c r="P224" s="5" t="s">
        <v>102</v>
      </c>
      <c r="Q224" s="11">
        <v>7</v>
      </c>
      <c r="R224" s="21">
        <v>25.29</v>
      </c>
      <c r="S224" s="10">
        <v>4.32</v>
      </c>
      <c r="T224" s="10">
        <v>5.61</v>
      </c>
      <c r="U224" s="10">
        <v>7.16</v>
      </c>
      <c r="V224" s="10">
        <v>5.31</v>
      </c>
      <c r="W224" s="10">
        <v>2.67</v>
      </c>
      <c r="X224" s="10">
        <v>0</v>
      </c>
      <c r="Y224" s="10">
        <v>0</v>
      </c>
      <c r="Z224" s="10">
        <v>0.22</v>
      </c>
      <c r="AA224" s="13">
        <v>1.2999999999999999E-2</v>
      </c>
      <c r="AB224" s="13">
        <v>1.2999999999999999E-2</v>
      </c>
      <c r="AC224" s="14">
        <f t="shared" si="55"/>
        <v>7.7870000000000001E-4</v>
      </c>
      <c r="AD224" s="13">
        <f t="shared" si="56"/>
        <v>2.5999999999999999E-2</v>
      </c>
      <c r="AE224" s="13">
        <v>0.68300000000000005</v>
      </c>
      <c r="AF224" s="10">
        <v>4.29</v>
      </c>
      <c r="AG224" s="10">
        <v>3.17</v>
      </c>
      <c r="AH224" s="15">
        <v>5.9900000000000002E-2</v>
      </c>
      <c r="AI224" s="10">
        <f t="shared" si="54"/>
        <v>7.46</v>
      </c>
      <c r="AJ224" s="10">
        <v>0.02</v>
      </c>
      <c r="AK224" s="10">
        <v>10</v>
      </c>
      <c r="AL224" s="10">
        <v>0</v>
      </c>
      <c r="AM224" s="16">
        <v>40</v>
      </c>
      <c r="AN224" s="16">
        <v>40</v>
      </c>
      <c r="AO224" s="16">
        <v>2604.04</v>
      </c>
      <c r="AP224" s="10">
        <v>195.98199600000001</v>
      </c>
      <c r="AQ224" s="16">
        <v>42.3</v>
      </c>
      <c r="AR224" s="16">
        <v>2604.04</v>
      </c>
      <c r="AS224" s="10">
        <v>7.85</v>
      </c>
      <c r="AT224" s="13">
        <v>0</v>
      </c>
      <c r="AU224" s="10">
        <v>6.73</v>
      </c>
      <c r="AV224" s="17">
        <f t="shared" si="53"/>
        <v>25618.538630032952</v>
      </c>
      <c r="AW224" s="17">
        <v>14514.646835530841</v>
      </c>
      <c r="AX224" s="17">
        <v>11103.891794502111</v>
      </c>
      <c r="AY224" s="17">
        <v>0</v>
      </c>
      <c r="BA224" s="18"/>
      <c r="BC224" s="19"/>
      <c r="BD224" s="19"/>
      <c r="BE224" s="19"/>
      <c r="BF224" s="19"/>
      <c r="BG224" s="19"/>
      <c r="BI224" s="16">
        <f t="shared" si="43"/>
        <v>0</v>
      </c>
      <c r="BJ224" s="16">
        <f t="shared" si="44"/>
        <v>0</v>
      </c>
      <c r="BK224" s="16">
        <f t="shared" si="45"/>
        <v>3385.67</v>
      </c>
      <c r="BL224" s="16">
        <f t="shared" si="46"/>
        <v>3385.67</v>
      </c>
      <c r="BM224" s="16">
        <f t="shared" si="47"/>
        <v>3385.67</v>
      </c>
      <c r="BN224" s="16">
        <f t="shared" si="48"/>
        <v>3385.67</v>
      </c>
      <c r="BO224" s="16">
        <f t="shared" si="49"/>
        <v>3385.67</v>
      </c>
      <c r="BP224" s="16">
        <f t="shared" si="50"/>
        <v>0</v>
      </c>
    </row>
    <row r="225" spans="1:68" ht="12" customHeight="1" x14ac:dyDescent="0.25">
      <c r="A225" s="5">
        <f t="shared" si="51"/>
        <v>221</v>
      </c>
      <c r="B225" s="6" t="s">
        <v>306</v>
      </c>
      <c r="C225" s="7">
        <f t="shared" si="52"/>
        <v>5287.1</v>
      </c>
      <c r="D225" s="8">
        <v>5287.1</v>
      </c>
      <c r="E225" s="8">
        <v>0</v>
      </c>
      <c r="F225" s="8">
        <v>1016.1</v>
      </c>
      <c r="G225" s="9">
        <v>1</v>
      </c>
      <c r="H225" s="9">
        <v>1</v>
      </c>
      <c r="I225" s="9">
        <v>400</v>
      </c>
      <c r="J225" s="9">
        <v>630</v>
      </c>
      <c r="K225" s="9" t="s">
        <v>83</v>
      </c>
      <c r="L225" s="10" t="s">
        <v>71</v>
      </c>
      <c r="M225" s="10">
        <v>0</v>
      </c>
      <c r="N225" s="10" t="s">
        <v>72</v>
      </c>
      <c r="O225" s="10" t="s">
        <v>72</v>
      </c>
      <c r="P225" s="5" t="s">
        <v>102</v>
      </c>
      <c r="Q225" s="11">
        <v>1</v>
      </c>
      <c r="R225" s="21">
        <v>36.54</v>
      </c>
      <c r="S225" s="10">
        <v>4.03</v>
      </c>
      <c r="T225" s="10">
        <v>7</v>
      </c>
      <c r="U225" s="10">
        <v>11</v>
      </c>
      <c r="V225" s="10">
        <v>5.4</v>
      </c>
      <c r="W225" s="10">
        <v>2.67</v>
      </c>
      <c r="X225" s="10">
        <v>1.54</v>
      </c>
      <c r="Y225" s="10">
        <v>4.9000000000000004</v>
      </c>
      <c r="Z225" s="10">
        <v>0</v>
      </c>
      <c r="AA225" s="13">
        <v>7.0000000000000001E-3</v>
      </c>
      <c r="AB225" s="13">
        <v>7.0000000000000001E-3</v>
      </c>
      <c r="AC225" s="14">
        <f t="shared" si="55"/>
        <v>4.193E-4</v>
      </c>
      <c r="AD225" s="13">
        <f t="shared" si="56"/>
        <v>1.4E-2</v>
      </c>
      <c r="AE225" s="13">
        <v>3.23</v>
      </c>
      <c r="AF225" s="10">
        <v>4.29</v>
      </c>
      <c r="AG225" s="10">
        <v>3.17</v>
      </c>
      <c r="AH225" s="15">
        <v>5.9900000000000002E-2</v>
      </c>
      <c r="AI225" s="10">
        <f t="shared" si="54"/>
        <v>7.46</v>
      </c>
      <c r="AJ225" s="10">
        <v>0.02</v>
      </c>
      <c r="AK225" s="13">
        <v>0</v>
      </c>
      <c r="AL225" s="10">
        <v>0</v>
      </c>
      <c r="AM225" s="16">
        <v>40</v>
      </c>
      <c r="AN225" s="16">
        <v>40</v>
      </c>
      <c r="AO225" s="16">
        <v>2604.04</v>
      </c>
      <c r="AP225" s="10">
        <v>195.98199600000001</v>
      </c>
      <c r="AQ225" s="16">
        <v>42.3</v>
      </c>
      <c r="AR225" s="16">
        <v>2604.04</v>
      </c>
      <c r="AS225" s="10">
        <v>0</v>
      </c>
      <c r="AT225" s="13">
        <v>0</v>
      </c>
      <c r="AU225" s="10">
        <v>5.05</v>
      </c>
      <c r="AV225" s="17">
        <f t="shared" si="53"/>
        <v>53991.515748533697</v>
      </c>
      <c r="AW225" s="17">
        <v>22723.907185252421</v>
      </c>
      <c r="AX225" s="17">
        <v>20587.964599383991</v>
      </c>
      <c r="AY225" s="17">
        <v>10679.643963897284</v>
      </c>
      <c r="BA225" s="18"/>
      <c r="BC225" s="19"/>
      <c r="BD225" s="19"/>
      <c r="BE225" s="19"/>
      <c r="BF225" s="19"/>
      <c r="BG225" s="19"/>
      <c r="BI225" s="16">
        <f t="shared" si="43"/>
        <v>5287.1</v>
      </c>
      <c r="BJ225" s="16">
        <f t="shared" si="44"/>
        <v>0</v>
      </c>
      <c r="BK225" s="16">
        <f t="shared" si="45"/>
        <v>5287.1</v>
      </c>
      <c r="BL225" s="16">
        <f t="shared" si="46"/>
        <v>5287.1</v>
      </c>
      <c r="BM225" s="16">
        <f t="shared" si="47"/>
        <v>5287.1</v>
      </c>
      <c r="BN225" s="16">
        <f t="shared" si="48"/>
        <v>5287.1</v>
      </c>
      <c r="BO225" s="16">
        <f t="shared" si="49"/>
        <v>0</v>
      </c>
      <c r="BP225" s="16">
        <f t="shared" si="50"/>
        <v>5287.1</v>
      </c>
    </row>
    <row r="226" spans="1:68" s="24" customFormat="1" ht="12" customHeight="1" x14ac:dyDescent="0.25">
      <c r="A226" s="5">
        <f t="shared" si="51"/>
        <v>222</v>
      </c>
      <c r="B226" s="6" t="s">
        <v>307</v>
      </c>
      <c r="C226" s="7">
        <f t="shared" si="52"/>
        <v>5321.2</v>
      </c>
      <c r="D226" s="8">
        <v>5321.2</v>
      </c>
      <c r="E226" s="8">
        <v>0</v>
      </c>
      <c r="F226" s="8">
        <v>1014.6</v>
      </c>
      <c r="G226" s="9">
        <v>1</v>
      </c>
      <c r="H226" s="9">
        <v>1</v>
      </c>
      <c r="I226" s="9">
        <v>400</v>
      </c>
      <c r="J226" s="9">
        <v>630</v>
      </c>
      <c r="K226" s="9" t="s">
        <v>71</v>
      </c>
      <c r="L226" s="10" t="s">
        <v>71</v>
      </c>
      <c r="M226" s="10">
        <v>0</v>
      </c>
      <c r="N226" s="10" t="s">
        <v>72</v>
      </c>
      <c r="O226" s="10" t="s">
        <v>72</v>
      </c>
      <c r="P226" s="5" t="s">
        <v>102</v>
      </c>
      <c r="Q226" s="11">
        <v>1</v>
      </c>
      <c r="R226" s="21">
        <v>36.54</v>
      </c>
      <c r="S226" s="10">
        <v>4.03</v>
      </c>
      <c r="T226" s="10">
        <v>7</v>
      </c>
      <c r="U226" s="10">
        <v>11</v>
      </c>
      <c r="V226" s="10">
        <v>5.4</v>
      </c>
      <c r="W226" s="10">
        <v>2.67</v>
      </c>
      <c r="X226" s="10">
        <v>1.54</v>
      </c>
      <c r="Y226" s="10">
        <v>4.9000000000000004</v>
      </c>
      <c r="Z226" s="10">
        <v>0</v>
      </c>
      <c r="AA226" s="13">
        <v>7.0000000000000001E-3</v>
      </c>
      <c r="AB226" s="13">
        <v>7.0000000000000001E-3</v>
      </c>
      <c r="AC226" s="14">
        <f t="shared" si="55"/>
        <v>4.193E-4</v>
      </c>
      <c r="AD226" s="13">
        <f t="shared" si="56"/>
        <v>1.4E-2</v>
      </c>
      <c r="AE226" s="13">
        <v>3.23</v>
      </c>
      <c r="AF226" s="10">
        <v>4.29</v>
      </c>
      <c r="AG226" s="10">
        <v>3.17</v>
      </c>
      <c r="AH226" s="15">
        <v>5.9900000000000002E-2</v>
      </c>
      <c r="AI226" s="10">
        <f t="shared" si="54"/>
        <v>7.46</v>
      </c>
      <c r="AJ226" s="10">
        <v>0.02</v>
      </c>
      <c r="AK226" s="13">
        <v>0</v>
      </c>
      <c r="AL226" s="10">
        <v>0</v>
      </c>
      <c r="AM226" s="16">
        <v>40</v>
      </c>
      <c r="AN226" s="16">
        <v>40</v>
      </c>
      <c r="AO226" s="16">
        <v>2604.04</v>
      </c>
      <c r="AP226" s="10">
        <v>195.98199600000001</v>
      </c>
      <c r="AQ226" s="16">
        <v>42.3</v>
      </c>
      <c r="AR226" s="16">
        <v>2604.04</v>
      </c>
      <c r="AS226" s="10">
        <v>0</v>
      </c>
      <c r="AT226" s="13">
        <v>0</v>
      </c>
      <c r="AU226" s="10">
        <v>5.05</v>
      </c>
      <c r="AV226" s="17">
        <f t="shared" si="53"/>
        <v>51063.477442262658</v>
      </c>
      <c r="AW226" s="17">
        <v>22847.327745375056</v>
      </c>
      <c r="AX226" s="17">
        <v>17478.505793862507</v>
      </c>
      <c r="AY226" s="17">
        <v>10737.643903025099</v>
      </c>
      <c r="BA226" s="25"/>
      <c r="BC226" s="19"/>
      <c r="BD226" s="19"/>
      <c r="BE226" s="19" t="s">
        <v>291</v>
      </c>
      <c r="BF226" s="19"/>
      <c r="BG226" s="19" t="s">
        <v>291</v>
      </c>
      <c r="BI226" s="16">
        <f t="shared" si="43"/>
        <v>5321.2</v>
      </c>
      <c r="BJ226" s="16">
        <f t="shared" si="44"/>
        <v>0</v>
      </c>
      <c r="BK226" s="16">
        <f t="shared" si="45"/>
        <v>5321.2</v>
      </c>
      <c r="BL226" s="16">
        <f t="shared" si="46"/>
        <v>5321.2</v>
      </c>
      <c r="BM226" s="16">
        <f t="shared" si="47"/>
        <v>5321.2</v>
      </c>
      <c r="BN226" s="16">
        <f t="shared" si="48"/>
        <v>5321.2</v>
      </c>
      <c r="BO226" s="16">
        <f t="shared" si="49"/>
        <v>0</v>
      </c>
      <c r="BP226" s="16">
        <f t="shared" si="50"/>
        <v>5321.2</v>
      </c>
    </row>
    <row r="227" spans="1:68" s="24" customFormat="1" ht="12" customHeight="1" x14ac:dyDescent="0.25">
      <c r="A227" s="5">
        <f t="shared" si="51"/>
        <v>223</v>
      </c>
      <c r="B227" s="6" t="s">
        <v>308</v>
      </c>
      <c r="C227" s="7">
        <f t="shared" si="52"/>
        <v>3691.5</v>
      </c>
      <c r="D227" s="8">
        <v>3691.5</v>
      </c>
      <c r="E227" s="8">
        <v>0</v>
      </c>
      <c r="F227" s="8">
        <v>1017.5</v>
      </c>
      <c r="G227" s="9">
        <v>2</v>
      </c>
      <c r="H227" s="9">
        <v>0</v>
      </c>
      <c r="I227" s="9">
        <v>400</v>
      </c>
      <c r="J227" s="9">
        <v>0</v>
      </c>
      <c r="K227" s="9" t="s">
        <v>83</v>
      </c>
      <c r="L227" s="10" t="s">
        <v>71</v>
      </c>
      <c r="M227" s="10">
        <v>0</v>
      </c>
      <c r="N227" s="10" t="s">
        <v>72</v>
      </c>
      <c r="O227" s="10" t="s">
        <v>72</v>
      </c>
      <c r="P227" s="5" t="s">
        <v>98</v>
      </c>
      <c r="Q227" s="11">
        <v>1</v>
      </c>
      <c r="R227" s="12">
        <v>41.1</v>
      </c>
      <c r="S227" s="10">
        <v>4.68</v>
      </c>
      <c r="T227" s="10">
        <v>7.92</v>
      </c>
      <c r="U227" s="10">
        <v>12.32</v>
      </c>
      <c r="V227" s="10">
        <v>6.34</v>
      </c>
      <c r="W227" s="10">
        <v>2.89</v>
      </c>
      <c r="X227" s="10">
        <v>1.66</v>
      </c>
      <c r="Y227" s="10">
        <v>5.29</v>
      </c>
      <c r="Z227" s="10">
        <v>0</v>
      </c>
      <c r="AA227" s="13">
        <v>7.0000000000000001E-3</v>
      </c>
      <c r="AB227" s="13">
        <v>7.0000000000000001E-3</v>
      </c>
      <c r="AC227" s="14">
        <f t="shared" si="55"/>
        <v>4.193E-4</v>
      </c>
      <c r="AD227" s="13">
        <f t="shared" si="56"/>
        <v>1.4E-2</v>
      </c>
      <c r="AE227" s="13">
        <v>3.23</v>
      </c>
      <c r="AF227" s="10">
        <v>4.29</v>
      </c>
      <c r="AG227" s="10">
        <v>3.17</v>
      </c>
      <c r="AH227" s="15">
        <v>5.9900000000000002E-2</v>
      </c>
      <c r="AI227" s="10">
        <f t="shared" si="54"/>
        <v>7.46</v>
      </c>
      <c r="AJ227" s="10">
        <v>0.02</v>
      </c>
      <c r="AK227" s="13">
        <v>0</v>
      </c>
      <c r="AL227" s="10">
        <v>0</v>
      </c>
      <c r="AM227" s="16">
        <v>40</v>
      </c>
      <c r="AN227" s="16">
        <v>40</v>
      </c>
      <c r="AO227" s="16">
        <v>2604.04</v>
      </c>
      <c r="AP227" s="10">
        <v>195.98199600000001</v>
      </c>
      <c r="AQ227" s="16">
        <v>42.3</v>
      </c>
      <c r="AR227" s="16">
        <v>2604.04</v>
      </c>
      <c r="AS227" s="10">
        <v>0</v>
      </c>
      <c r="AT227" s="13">
        <v>0</v>
      </c>
      <c r="AU227" s="10">
        <v>5.05</v>
      </c>
      <c r="AV227" s="17">
        <f t="shared" si="53"/>
        <v>37737.063842414049</v>
      </c>
      <c r="AW227" s="17">
        <v>15882.741951409671</v>
      </c>
      <c r="AX227" s="17">
        <v>14389.846966510997</v>
      </c>
      <c r="AY227" s="17">
        <v>7464.4749244933819</v>
      </c>
      <c r="BA227" s="25"/>
      <c r="BC227" s="19"/>
      <c r="BD227" s="19"/>
      <c r="BE227" s="19"/>
      <c r="BF227" s="19"/>
      <c r="BG227" s="19"/>
      <c r="BI227" s="16">
        <f t="shared" si="43"/>
        <v>3691.5</v>
      </c>
      <c r="BJ227" s="16">
        <f t="shared" si="44"/>
        <v>0</v>
      </c>
      <c r="BK227" s="16">
        <f t="shared" si="45"/>
        <v>3691.5</v>
      </c>
      <c r="BL227" s="16">
        <f t="shared" si="46"/>
        <v>3691.5</v>
      </c>
      <c r="BM227" s="16">
        <f t="shared" si="47"/>
        <v>3691.5</v>
      </c>
      <c r="BN227" s="16">
        <f t="shared" si="48"/>
        <v>3691.5</v>
      </c>
      <c r="BO227" s="16">
        <f t="shared" si="49"/>
        <v>0</v>
      </c>
      <c r="BP227" s="16">
        <f t="shared" si="50"/>
        <v>3691.5</v>
      </c>
    </row>
    <row r="228" spans="1:68" s="24" customFormat="1" ht="12" customHeight="1" x14ac:dyDescent="0.25">
      <c r="A228" s="5">
        <f t="shared" si="51"/>
        <v>224</v>
      </c>
      <c r="B228" s="6" t="s">
        <v>309</v>
      </c>
      <c r="C228" s="7">
        <f t="shared" si="52"/>
        <v>2068.33</v>
      </c>
      <c r="D228" s="8">
        <v>2068.33</v>
      </c>
      <c r="E228" s="8">
        <v>0</v>
      </c>
      <c r="F228" s="8">
        <v>257.7</v>
      </c>
      <c r="G228" s="9">
        <v>0</v>
      </c>
      <c r="H228" s="9">
        <v>0</v>
      </c>
      <c r="I228" s="9">
        <v>0</v>
      </c>
      <c r="J228" s="9">
        <v>0</v>
      </c>
      <c r="K228" s="9" t="s">
        <v>71</v>
      </c>
      <c r="L228" s="10" t="s">
        <v>71</v>
      </c>
      <c r="M228" s="10">
        <v>0</v>
      </c>
      <c r="N228" s="10" t="s">
        <v>72</v>
      </c>
      <c r="O228" s="10" t="s">
        <v>72</v>
      </c>
      <c r="P228" s="5" t="s">
        <v>310</v>
      </c>
      <c r="Q228" s="11">
        <v>7</v>
      </c>
      <c r="R228" s="21">
        <v>19.64</v>
      </c>
      <c r="S228" s="10">
        <v>3.02</v>
      </c>
      <c r="T228" s="10">
        <v>4</v>
      </c>
      <c r="U228" s="10">
        <v>6.16</v>
      </c>
      <c r="V228" s="10">
        <v>4.1900000000000004</v>
      </c>
      <c r="W228" s="10">
        <v>2.0499999999999998</v>
      </c>
      <c r="X228" s="10">
        <v>0</v>
      </c>
      <c r="Y228" s="10">
        <v>0</v>
      </c>
      <c r="Z228" s="10">
        <v>0.22</v>
      </c>
      <c r="AA228" s="13">
        <v>1.2999999999999999E-2</v>
      </c>
      <c r="AB228" s="13">
        <v>1.2999999999999999E-2</v>
      </c>
      <c r="AC228" s="14">
        <f t="shared" si="55"/>
        <v>7.7870000000000001E-4</v>
      </c>
      <c r="AD228" s="13">
        <f t="shared" si="56"/>
        <v>2.5999999999999999E-2</v>
      </c>
      <c r="AE228" s="13">
        <v>0.68300000000000005</v>
      </c>
      <c r="AF228" s="10">
        <v>4.29</v>
      </c>
      <c r="AG228" s="10">
        <v>3.17</v>
      </c>
      <c r="AH228" s="15">
        <v>5.9900000000000002E-2</v>
      </c>
      <c r="AI228" s="10">
        <f t="shared" si="54"/>
        <v>7.46</v>
      </c>
      <c r="AJ228" s="10">
        <v>0.02</v>
      </c>
      <c r="AK228" s="10">
        <v>10</v>
      </c>
      <c r="AL228" s="10">
        <v>0</v>
      </c>
      <c r="AM228" s="16">
        <v>34.78</v>
      </c>
      <c r="AN228" s="16">
        <v>34.78</v>
      </c>
      <c r="AO228" s="16">
        <v>2193.54</v>
      </c>
      <c r="AP228" s="10">
        <v>166.173046</v>
      </c>
      <c r="AQ228" s="16">
        <v>42.3</v>
      </c>
      <c r="AR228" s="16">
        <v>2193.54</v>
      </c>
      <c r="AS228" s="10">
        <v>7.85</v>
      </c>
      <c r="AT228" s="13">
        <v>0</v>
      </c>
      <c r="AU228" s="10">
        <v>4.71</v>
      </c>
      <c r="AV228" s="17">
        <f t="shared" si="53"/>
        <v>15435.41828295447</v>
      </c>
      <c r="AW228" s="17">
        <v>8745.2184079117014</v>
      </c>
      <c r="AX228" s="17">
        <v>6690.1998750427683</v>
      </c>
      <c r="AY228" s="17">
        <v>0</v>
      </c>
      <c r="BA228" s="25"/>
      <c r="BC228" s="19" t="s">
        <v>311</v>
      </c>
      <c r="BD228" s="19" t="s">
        <v>311</v>
      </c>
      <c r="BE228" s="19" t="s">
        <v>312</v>
      </c>
      <c r="BF228" s="19" t="s">
        <v>313</v>
      </c>
      <c r="BG228" s="19" t="s">
        <v>313</v>
      </c>
      <c r="BI228" s="16">
        <f t="shared" si="43"/>
        <v>0</v>
      </c>
      <c r="BJ228" s="16">
        <f t="shared" si="44"/>
        <v>0</v>
      </c>
      <c r="BK228" s="16">
        <f t="shared" si="45"/>
        <v>2068.33</v>
      </c>
      <c r="BL228" s="16">
        <f t="shared" si="46"/>
        <v>2068.33</v>
      </c>
      <c r="BM228" s="16">
        <f t="shared" si="47"/>
        <v>2068.33</v>
      </c>
      <c r="BN228" s="16">
        <f t="shared" si="48"/>
        <v>2068.33</v>
      </c>
      <c r="BO228" s="16">
        <f>C228</f>
        <v>2068.33</v>
      </c>
      <c r="BP228" s="16">
        <f t="shared" si="50"/>
        <v>0</v>
      </c>
    </row>
    <row r="229" spans="1:68" s="24" customFormat="1" ht="12" customHeight="1" x14ac:dyDescent="0.25">
      <c r="A229" s="5">
        <f t="shared" si="51"/>
        <v>225</v>
      </c>
      <c r="B229" s="6" t="s">
        <v>314</v>
      </c>
      <c r="C229" s="7">
        <f t="shared" si="52"/>
        <v>3374.69</v>
      </c>
      <c r="D229" s="8">
        <v>3374.69</v>
      </c>
      <c r="E229" s="8">
        <v>0</v>
      </c>
      <c r="F229" s="8">
        <v>301.2</v>
      </c>
      <c r="G229" s="9">
        <v>0</v>
      </c>
      <c r="H229" s="9">
        <v>0</v>
      </c>
      <c r="I229" s="9">
        <v>0</v>
      </c>
      <c r="J229" s="9">
        <v>0</v>
      </c>
      <c r="K229" s="9" t="s">
        <v>83</v>
      </c>
      <c r="L229" s="10" t="s">
        <v>71</v>
      </c>
      <c r="M229" s="10">
        <v>0</v>
      </c>
      <c r="N229" s="10" t="s">
        <v>72</v>
      </c>
      <c r="O229" s="10" t="s">
        <v>72</v>
      </c>
      <c r="P229" s="5" t="s">
        <v>310</v>
      </c>
      <c r="Q229" s="11">
        <v>7</v>
      </c>
      <c r="R229" s="21">
        <v>19.64</v>
      </c>
      <c r="S229" s="10">
        <v>3.02</v>
      </c>
      <c r="T229" s="10">
        <v>4</v>
      </c>
      <c r="U229" s="10">
        <v>6.16</v>
      </c>
      <c r="V229" s="10">
        <v>4.1900000000000004</v>
      </c>
      <c r="W229" s="10">
        <v>2.0499999999999998</v>
      </c>
      <c r="X229" s="10">
        <v>0</v>
      </c>
      <c r="Y229" s="10">
        <v>0</v>
      </c>
      <c r="Z229" s="10">
        <v>0.22</v>
      </c>
      <c r="AA229" s="13">
        <v>1.2999999999999999E-2</v>
      </c>
      <c r="AB229" s="13">
        <v>1.2999999999999999E-2</v>
      </c>
      <c r="AC229" s="14">
        <f t="shared" si="55"/>
        <v>7.7870000000000001E-4</v>
      </c>
      <c r="AD229" s="13">
        <f t="shared" si="56"/>
        <v>2.5999999999999999E-2</v>
      </c>
      <c r="AE229" s="13">
        <v>0.68300000000000005</v>
      </c>
      <c r="AF229" s="10">
        <v>4.29</v>
      </c>
      <c r="AG229" s="10">
        <v>3.17</v>
      </c>
      <c r="AH229" s="15">
        <v>5.9900000000000002E-2</v>
      </c>
      <c r="AI229" s="10">
        <f t="shared" si="54"/>
        <v>7.46</v>
      </c>
      <c r="AJ229" s="10">
        <v>0.02</v>
      </c>
      <c r="AK229" s="10">
        <v>10</v>
      </c>
      <c r="AL229" s="10">
        <v>0</v>
      </c>
      <c r="AM229" s="16">
        <v>34.78</v>
      </c>
      <c r="AN229" s="16">
        <v>34.78</v>
      </c>
      <c r="AO229" s="16">
        <v>2193.54</v>
      </c>
      <c r="AP229" s="10">
        <v>166.173046</v>
      </c>
      <c r="AQ229" s="16">
        <v>42.3</v>
      </c>
      <c r="AR229" s="16">
        <v>2193.54</v>
      </c>
      <c r="AS229" s="10">
        <v>7.85</v>
      </c>
      <c r="AT229" s="13">
        <v>0</v>
      </c>
      <c r="AU229" s="10">
        <v>4.71</v>
      </c>
      <c r="AV229" s="17">
        <f t="shared" si="53"/>
        <v>25539.986988336666</v>
      </c>
      <c r="AW229" s="17">
        <v>14470.136537417777</v>
      </c>
      <c r="AX229" s="17">
        <v>11069.85045091889</v>
      </c>
      <c r="AY229" s="17">
        <v>0</v>
      </c>
      <c r="BA229" s="25"/>
      <c r="BC229" s="19" t="s">
        <v>312</v>
      </c>
      <c r="BD229" s="19" t="s">
        <v>312</v>
      </c>
      <c r="BE229" s="19" t="s">
        <v>312</v>
      </c>
      <c r="BF229" s="19" t="s">
        <v>313</v>
      </c>
      <c r="BG229" s="19" t="s">
        <v>313</v>
      </c>
      <c r="BI229" s="16">
        <f t="shared" si="43"/>
        <v>0</v>
      </c>
      <c r="BJ229" s="16">
        <f t="shared" si="44"/>
        <v>0</v>
      </c>
      <c r="BK229" s="16">
        <f t="shared" si="45"/>
        <v>3374.69</v>
      </c>
      <c r="BL229" s="16">
        <f t="shared" si="46"/>
        <v>3374.69</v>
      </c>
      <c r="BM229" s="16">
        <f t="shared" si="47"/>
        <v>3374.69</v>
      </c>
      <c r="BN229" s="16">
        <f t="shared" si="48"/>
        <v>3374.69</v>
      </c>
      <c r="BO229" s="16">
        <f>C229</f>
        <v>3374.69</v>
      </c>
      <c r="BP229" s="16">
        <f t="shared" si="50"/>
        <v>0</v>
      </c>
    </row>
    <row r="230" spans="1:68" s="24" customFormat="1" ht="12" customHeight="1" x14ac:dyDescent="0.25">
      <c r="A230" s="5">
        <f t="shared" si="51"/>
        <v>226</v>
      </c>
      <c r="B230" s="6" t="s">
        <v>315</v>
      </c>
      <c r="C230" s="7">
        <f t="shared" si="52"/>
        <v>3804.8699999999994</v>
      </c>
      <c r="D230" s="8">
        <v>3747.7699999999995</v>
      </c>
      <c r="E230" s="8">
        <v>57.1</v>
      </c>
      <c r="F230" s="8">
        <v>483.3</v>
      </c>
      <c r="G230" s="9">
        <v>1</v>
      </c>
      <c r="H230" s="9">
        <v>0</v>
      </c>
      <c r="I230" s="9">
        <v>400</v>
      </c>
      <c r="J230" s="9">
        <v>0</v>
      </c>
      <c r="K230" s="9" t="s">
        <v>71</v>
      </c>
      <c r="L230" s="10" t="s">
        <v>71</v>
      </c>
      <c r="M230" s="10">
        <v>0</v>
      </c>
      <c r="N230" s="10" t="s">
        <v>72</v>
      </c>
      <c r="O230" s="10" t="s">
        <v>72</v>
      </c>
      <c r="P230" s="5" t="s">
        <v>310</v>
      </c>
      <c r="Q230" s="11">
        <v>1</v>
      </c>
      <c r="R230" s="21">
        <v>32.07</v>
      </c>
      <c r="S230" s="10">
        <v>4.03</v>
      </c>
      <c r="T230" s="10">
        <v>5.61</v>
      </c>
      <c r="U230" s="10">
        <v>7.92</v>
      </c>
      <c r="V230" s="10">
        <v>5.4</v>
      </c>
      <c r="W230" s="10">
        <v>2.67</v>
      </c>
      <c r="X230" s="10">
        <v>1.54</v>
      </c>
      <c r="Y230" s="10">
        <v>4.9000000000000004</v>
      </c>
      <c r="Z230" s="10">
        <v>0</v>
      </c>
      <c r="AA230" s="13">
        <v>1.2E-2</v>
      </c>
      <c r="AB230" s="13">
        <v>1.2E-2</v>
      </c>
      <c r="AC230" s="14">
        <f t="shared" si="55"/>
        <v>7.1880000000000002E-4</v>
      </c>
      <c r="AD230" s="13">
        <f t="shared" si="56"/>
        <v>2.4E-2</v>
      </c>
      <c r="AE230" s="13">
        <v>3.23</v>
      </c>
      <c r="AF230" s="10">
        <v>4.29</v>
      </c>
      <c r="AG230" s="10">
        <v>3.17</v>
      </c>
      <c r="AH230" s="15">
        <v>5.9900000000000002E-2</v>
      </c>
      <c r="AI230" s="10">
        <f t="shared" si="54"/>
        <v>7.46</v>
      </c>
      <c r="AJ230" s="10">
        <v>0.02</v>
      </c>
      <c r="AK230" s="13">
        <v>0</v>
      </c>
      <c r="AL230" s="10">
        <v>0</v>
      </c>
      <c r="AM230" s="16">
        <v>40</v>
      </c>
      <c r="AN230" s="16">
        <v>40</v>
      </c>
      <c r="AO230" s="16">
        <v>2604.04</v>
      </c>
      <c r="AP230" s="10">
        <v>195.98199600000001</v>
      </c>
      <c r="AQ230" s="16">
        <v>42.3</v>
      </c>
      <c r="AR230" s="16">
        <v>2604.04</v>
      </c>
      <c r="AS230" s="10">
        <v>0</v>
      </c>
      <c r="AT230" s="13">
        <v>0</v>
      </c>
      <c r="AU230" s="10">
        <v>4.71</v>
      </c>
      <c r="AV230" s="17">
        <f t="shared" si="53"/>
        <v>36435.437622291924</v>
      </c>
      <c r="AW230" s="17">
        <v>16302.300131763976</v>
      </c>
      <c r="AX230" s="17">
        <v>12471.476566088972</v>
      </c>
      <c r="AY230" s="17">
        <v>7661.6609244389774</v>
      </c>
      <c r="BA230" s="25"/>
      <c r="BC230" s="19" t="s">
        <v>316</v>
      </c>
      <c r="BD230" s="19" t="s">
        <v>316</v>
      </c>
      <c r="BE230" s="19"/>
      <c r="BF230" s="19" t="s">
        <v>316</v>
      </c>
      <c r="BG230" s="19"/>
      <c r="BI230" s="16">
        <f t="shared" si="43"/>
        <v>3804.8699999999994</v>
      </c>
      <c r="BJ230" s="16">
        <f t="shared" si="44"/>
        <v>0</v>
      </c>
      <c r="BK230" s="16">
        <f t="shared" si="45"/>
        <v>3804.8699999999994</v>
      </c>
      <c r="BL230" s="16">
        <f t="shared" si="46"/>
        <v>3804.8699999999994</v>
      </c>
      <c r="BM230" s="16">
        <f t="shared" si="47"/>
        <v>3804.8699999999994</v>
      </c>
      <c r="BN230" s="16">
        <f t="shared" si="48"/>
        <v>3804.8699999999994</v>
      </c>
      <c r="BO230" s="16">
        <f>IF(AU230=6.73,C230,0)</f>
        <v>0</v>
      </c>
      <c r="BP230" s="16">
        <f>C230</f>
        <v>3804.8699999999994</v>
      </c>
    </row>
    <row r="231" spans="1:68" s="24" customFormat="1" ht="12" customHeight="1" x14ac:dyDescent="0.25">
      <c r="A231" s="5">
        <f t="shared" si="51"/>
        <v>227</v>
      </c>
      <c r="B231" s="6" t="s">
        <v>317</v>
      </c>
      <c r="C231" s="7">
        <f t="shared" si="52"/>
        <v>856.1</v>
      </c>
      <c r="D231" s="8">
        <v>770.6</v>
      </c>
      <c r="E231" s="8">
        <v>85.5</v>
      </c>
      <c r="F231" s="8">
        <v>166.1</v>
      </c>
      <c r="G231" s="9">
        <v>0</v>
      </c>
      <c r="H231" s="9">
        <v>0</v>
      </c>
      <c r="I231" s="9">
        <v>0</v>
      </c>
      <c r="J231" s="9">
        <v>0</v>
      </c>
      <c r="K231" s="9" t="s">
        <v>71</v>
      </c>
      <c r="L231" s="10" t="s">
        <v>71</v>
      </c>
      <c r="M231" s="10">
        <v>0</v>
      </c>
      <c r="N231" s="10" t="s">
        <v>72</v>
      </c>
      <c r="O231" s="10" t="s">
        <v>72</v>
      </c>
      <c r="P231" s="5" t="s">
        <v>310</v>
      </c>
      <c r="Q231" s="11">
        <v>9</v>
      </c>
      <c r="R231" s="21">
        <v>19.37</v>
      </c>
      <c r="S231" s="10">
        <v>2.86</v>
      </c>
      <c r="T231" s="10">
        <v>3.7399999999999998</v>
      </c>
      <c r="U231" s="10">
        <v>6.5</v>
      </c>
      <c r="V231" s="10">
        <v>4</v>
      </c>
      <c r="W231" s="10">
        <v>2.0499999999999998</v>
      </c>
      <c r="X231" s="10">
        <v>0</v>
      </c>
      <c r="Y231" s="10">
        <v>0</v>
      </c>
      <c r="Z231" s="10">
        <v>0.22</v>
      </c>
      <c r="AA231" s="13">
        <v>0.01</v>
      </c>
      <c r="AB231" s="13">
        <v>0</v>
      </c>
      <c r="AC231" s="14">
        <f t="shared" si="55"/>
        <v>0</v>
      </c>
      <c r="AD231" s="13">
        <f t="shared" si="56"/>
        <v>0.01</v>
      </c>
      <c r="AE231" s="13">
        <v>0.68300000000000005</v>
      </c>
      <c r="AF231" s="10">
        <v>3.86</v>
      </c>
      <c r="AG231" s="13">
        <v>0</v>
      </c>
      <c r="AH231" s="13">
        <v>0</v>
      </c>
      <c r="AI231" s="10">
        <f t="shared" si="54"/>
        <v>3.86</v>
      </c>
      <c r="AJ231" s="10">
        <v>0.02</v>
      </c>
      <c r="AK231" s="10">
        <v>11.6</v>
      </c>
      <c r="AL231" s="10">
        <v>0</v>
      </c>
      <c r="AM231" s="16">
        <v>40</v>
      </c>
      <c r="AN231" s="16">
        <v>0</v>
      </c>
      <c r="AO231" s="16">
        <v>0</v>
      </c>
      <c r="AP231" s="10">
        <v>0</v>
      </c>
      <c r="AQ231" s="16">
        <v>42.3</v>
      </c>
      <c r="AR231" s="16">
        <v>2604.04</v>
      </c>
      <c r="AS231" s="10">
        <v>7.85</v>
      </c>
      <c r="AT231" s="13">
        <v>0</v>
      </c>
      <c r="AU231" s="10">
        <v>4.71</v>
      </c>
      <c r="AV231" s="17">
        <f t="shared" si="53"/>
        <v>6476.2000996401439</v>
      </c>
      <c r="AW231" s="17">
        <v>3669.2099421885346</v>
      </c>
      <c r="AX231" s="17">
        <v>2806.9901574516093</v>
      </c>
      <c r="AY231" s="17">
        <v>0</v>
      </c>
      <c r="BA231" s="25"/>
      <c r="BC231" s="19" t="s">
        <v>316</v>
      </c>
      <c r="BD231" s="19"/>
      <c r="BE231" s="19"/>
      <c r="BF231" s="19" t="s">
        <v>316</v>
      </c>
      <c r="BG231" s="19"/>
      <c r="BI231" s="16">
        <f t="shared" si="43"/>
        <v>0</v>
      </c>
      <c r="BJ231" s="16">
        <f t="shared" si="44"/>
        <v>0</v>
      </c>
      <c r="BK231" s="16">
        <f t="shared" si="45"/>
        <v>856.1</v>
      </c>
      <c r="BL231" s="16">
        <f t="shared" si="46"/>
        <v>0</v>
      </c>
      <c r="BM231" s="16">
        <f t="shared" si="47"/>
        <v>856.1</v>
      </c>
      <c r="BN231" s="16">
        <f t="shared" si="48"/>
        <v>856.1</v>
      </c>
      <c r="BO231" s="16">
        <f>C231</f>
        <v>856.1</v>
      </c>
      <c r="BP231" s="16">
        <f>IF(AU231=5.05,C231,0)</f>
        <v>0</v>
      </c>
    </row>
    <row r="232" spans="1:68" s="24" customFormat="1" ht="12" customHeight="1" x14ac:dyDescent="0.25">
      <c r="A232" s="5">
        <f t="shared" si="51"/>
        <v>228</v>
      </c>
      <c r="B232" s="6" t="s">
        <v>318</v>
      </c>
      <c r="C232" s="7">
        <f t="shared" si="52"/>
        <v>769.27</v>
      </c>
      <c r="D232" s="8">
        <v>769.27</v>
      </c>
      <c r="E232" s="8">
        <v>0</v>
      </c>
      <c r="F232" s="8">
        <v>126.6</v>
      </c>
      <c r="G232" s="9">
        <v>0</v>
      </c>
      <c r="H232" s="9">
        <v>0</v>
      </c>
      <c r="I232" s="9">
        <v>0</v>
      </c>
      <c r="J232" s="9">
        <v>0</v>
      </c>
      <c r="K232" s="9" t="s">
        <v>71</v>
      </c>
      <c r="L232" s="10" t="s">
        <v>71</v>
      </c>
      <c r="M232" s="10">
        <v>0</v>
      </c>
      <c r="N232" s="10" t="s">
        <v>72</v>
      </c>
      <c r="O232" s="10" t="s">
        <v>72</v>
      </c>
      <c r="P232" s="5" t="s">
        <v>310</v>
      </c>
      <c r="Q232" s="11">
        <v>9</v>
      </c>
      <c r="R232" s="21">
        <v>19.37</v>
      </c>
      <c r="S232" s="10">
        <v>2.86</v>
      </c>
      <c r="T232" s="10">
        <v>3.7399999999999998</v>
      </c>
      <c r="U232" s="10">
        <v>6.5</v>
      </c>
      <c r="V232" s="10">
        <v>4</v>
      </c>
      <c r="W232" s="10">
        <v>2.0499999999999998</v>
      </c>
      <c r="X232" s="10">
        <v>0</v>
      </c>
      <c r="Y232" s="10">
        <v>0</v>
      </c>
      <c r="Z232" s="10">
        <v>0.22</v>
      </c>
      <c r="AA232" s="13">
        <v>0.01</v>
      </c>
      <c r="AB232" s="13">
        <v>0</v>
      </c>
      <c r="AC232" s="14">
        <f t="shared" si="55"/>
        <v>0</v>
      </c>
      <c r="AD232" s="13">
        <f t="shared" si="56"/>
        <v>0.01</v>
      </c>
      <c r="AE232" s="13">
        <v>0.68300000000000005</v>
      </c>
      <c r="AF232" s="10">
        <v>3.86</v>
      </c>
      <c r="AG232" s="13">
        <v>0</v>
      </c>
      <c r="AH232" s="13">
        <v>0</v>
      </c>
      <c r="AI232" s="10">
        <f t="shared" si="54"/>
        <v>3.86</v>
      </c>
      <c r="AJ232" s="10">
        <v>0.02</v>
      </c>
      <c r="AK232" s="10">
        <v>11.6</v>
      </c>
      <c r="AL232" s="10">
        <v>0</v>
      </c>
      <c r="AM232" s="16">
        <v>40</v>
      </c>
      <c r="AN232" s="16">
        <v>0</v>
      </c>
      <c r="AO232" s="16">
        <v>0</v>
      </c>
      <c r="AP232" s="10">
        <v>0</v>
      </c>
      <c r="AQ232" s="16">
        <v>42.3</v>
      </c>
      <c r="AR232" s="16">
        <v>2604.04</v>
      </c>
      <c r="AS232" s="10">
        <v>7.85</v>
      </c>
      <c r="AT232" s="13">
        <v>0</v>
      </c>
      <c r="AU232" s="10">
        <v>4.71</v>
      </c>
      <c r="AV232" s="17">
        <f t="shared" si="53"/>
        <v>5805.5663207261277</v>
      </c>
      <c r="AW232" s="17">
        <v>3289.2517202732229</v>
      </c>
      <c r="AX232" s="17">
        <v>2516.3146004529053</v>
      </c>
      <c r="AY232" s="17">
        <v>0</v>
      </c>
      <c r="BA232" s="25"/>
      <c r="BC232" s="19" t="s">
        <v>316</v>
      </c>
      <c r="BD232" s="19"/>
      <c r="BE232" s="19"/>
      <c r="BF232" s="19" t="s">
        <v>316</v>
      </c>
      <c r="BG232" s="19"/>
      <c r="BI232" s="16">
        <f t="shared" si="43"/>
        <v>0</v>
      </c>
      <c r="BJ232" s="16">
        <f t="shared" si="44"/>
        <v>0</v>
      </c>
      <c r="BK232" s="16">
        <f t="shared" si="45"/>
        <v>769.27</v>
      </c>
      <c r="BL232" s="16">
        <f t="shared" si="46"/>
        <v>0</v>
      </c>
      <c r="BM232" s="16">
        <f t="shared" si="47"/>
        <v>769.27</v>
      </c>
      <c r="BN232" s="16">
        <f t="shared" si="48"/>
        <v>769.27</v>
      </c>
      <c r="BO232" s="16">
        <f>C232</f>
        <v>769.27</v>
      </c>
      <c r="BP232" s="16">
        <f>IF(AU232=5.05,C232,0)</f>
        <v>0</v>
      </c>
    </row>
    <row r="233" spans="1:68" s="24" customFormat="1" ht="12" customHeight="1" x14ac:dyDescent="0.25">
      <c r="A233" s="5">
        <f t="shared" si="51"/>
        <v>229</v>
      </c>
      <c r="B233" s="6" t="s">
        <v>319</v>
      </c>
      <c r="C233" s="7">
        <f t="shared" si="52"/>
        <v>894.63</v>
      </c>
      <c r="D233" s="8">
        <v>894.63</v>
      </c>
      <c r="E233" s="8">
        <v>0</v>
      </c>
      <c r="F233" s="8">
        <v>129.9</v>
      </c>
      <c r="G233" s="9">
        <v>0</v>
      </c>
      <c r="H233" s="9">
        <v>0</v>
      </c>
      <c r="I233" s="9">
        <v>0</v>
      </c>
      <c r="J233" s="9">
        <v>0</v>
      </c>
      <c r="K233" s="9" t="s">
        <v>71</v>
      </c>
      <c r="L233" s="10" t="s">
        <v>71</v>
      </c>
      <c r="M233" s="10">
        <v>0</v>
      </c>
      <c r="N233" s="10" t="s">
        <v>72</v>
      </c>
      <c r="O233" s="10" t="s">
        <v>72</v>
      </c>
      <c r="P233" s="5" t="s">
        <v>310</v>
      </c>
      <c r="Q233" s="11">
        <v>9</v>
      </c>
      <c r="R233" s="21">
        <v>19.37</v>
      </c>
      <c r="S233" s="10">
        <v>2.86</v>
      </c>
      <c r="T233" s="10">
        <v>3.7399999999999998</v>
      </c>
      <c r="U233" s="10">
        <v>6.5</v>
      </c>
      <c r="V233" s="10">
        <v>4</v>
      </c>
      <c r="W233" s="10">
        <v>2.0499999999999998</v>
      </c>
      <c r="X233" s="10">
        <v>0</v>
      </c>
      <c r="Y233" s="10">
        <v>0</v>
      </c>
      <c r="Z233" s="10">
        <v>0.22</v>
      </c>
      <c r="AA233" s="13">
        <v>0.01</v>
      </c>
      <c r="AB233" s="13">
        <v>0</v>
      </c>
      <c r="AC233" s="14">
        <f t="shared" si="55"/>
        <v>0</v>
      </c>
      <c r="AD233" s="13">
        <f t="shared" si="56"/>
        <v>0.01</v>
      </c>
      <c r="AE233" s="13">
        <v>0.68300000000000005</v>
      </c>
      <c r="AF233" s="10">
        <v>3.86</v>
      </c>
      <c r="AG233" s="13">
        <v>0</v>
      </c>
      <c r="AH233" s="13">
        <v>0</v>
      </c>
      <c r="AI233" s="10">
        <f t="shared" si="54"/>
        <v>3.86</v>
      </c>
      <c r="AJ233" s="10">
        <v>0.02</v>
      </c>
      <c r="AK233" s="10">
        <v>11.6</v>
      </c>
      <c r="AL233" s="10">
        <v>0</v>
      </c>
      <c r="AM233" s="16">
        <v>40</v>
      </c>
      <c r="AN233" s="16">
        <v>0</v>
      </c>
      <c r="AO233" s="16">
        <v>0</v>
      </c>
      <c r="AP233" s="10">
        <v>0</v>
      </c>
      <c r="AQ233" s="16">
        <v>42.3</v>
      </c>
      <c r="AR233" s="16">
        <v>2604.04</v>
      </c>
      <c r="AS233" s="10">
        <v>7.85</v>
      </c>
      <c r="AT233" s="13">
        <v>0</v>
      </c>
      <c r="AU233" s="10">
        <v>4.71</v>
      </c>
      <c r="AV233" s="17">
        <f t="shared" si="53"/>
        <v>6725.5101828114257</v>
      </c>
      <c r="AW233" s="17">
        <v>3810.4649663521363</v>
      </c>
      <c r="AX233" s="17">
        <v>2915.0452164592889</v>
      </c>
      <c r="AY233" s="17">
        <v>0</v>
      </c>
      <c r="BA233" s="25"/>
      <c r="BC233" s="19" t="s">
        <v>316</v>
      </c>
      <c r="BD233" s="19"/>
      <c r="BE233" s="19"/>
      <c r="BF233" s="19" t="s">
        <v>316</v>
      </c>
      <c r="BG233" s="19"/>
      <c r="BI233" s="16">
        <f t="shared" si="43"/>
        <v>0</v>
      </c>
      <c r="BJ233" s="16">
        <f t="shared" si="44"/>
        <v>0</v>
      </c>
      <c r="BK233" s="16">
        <f t="shared" si="45"/>
        <v>894.63</v>
      </c>
      <c r="BL233" s="16">
        <f t="shared" si="46"/>
        <v>0</v>
      </c>
      <c r="BM233" s="16">
        <f t="shared" si="47"/>
        <v>894.63</v>
      </c>
      <c r="BN233" s="16">
        <f t="shared" si="48"/>
        <v>894.63</v>
      </c>
      <c r="BO233" s="16">
        <f>C233</f>
        <v>894.63</v>
      </c>
      <c r="BP233" s="16">
        <f>IF(AU233=5.05,C233,0)</f>
        <v>0</v>
      </c>
    </row>
    <row r="234" spans="1:68" s="24" customFormat="1" ht="12" customHeight="1" x14ac:dyDescent="0.25">
      <c r="A234" s="5">
        <f t="shared" si="51"/>
        <v>230</v>
      </c>
      <c r="B234" s="6" t="s">
        <v>320</v>
      </c>
      <c r="C234" s="7">
        <f t="shared" si="52"/>
        <v>5793.4</v>
      </c>
      <c r="D234" s="8">
        <v>5727.7</v>
      </c>
      <c r="E234" s="8">
        <v>65.7</v>
      </c>
      <c r="F234" s="8">
        <v>1583.5</v>
      </c>
      <c r="G234" s="9">
        <v>3</v>
      </c>
      <c r="H234" s="9">
        <v>0</v>
      </c>
      <c r="I234" s="9">
        <v>630</v>
      </c>
      <c r="J234" s="9">
        <v>0</v>
      </c>
      <c r="K234" s="9" t="s">
        <v>160</v>
      </c>
      <c r="L234" s="10" t="s">
        <v>71</v>
      </c>
      <c r="M234" s="10">
        <v>0</v>
      </c>
      <c r="N234" s="10" t="s">
        <v>72</v>
      </c>
      <c r="O234" s="10" t="s">
        <v>72</v>
      </c>
      <c r="P234" s="5" t="s">
        <v>310</v>
      </c>
      <c r="Q234" s="11">
        <v>1</v>
      </c>
      <c r="R234" s="21">
        <v>32.07</v>
      </c>
      <c r="S234" s="10">
        <v>4.03</v>
      </c>
      <c r="T234" s="10">
        <v>5.61</v>
      </c>
      <c r="U234" s="10">
        <v>7.92</v>
      </c>
      <c r="V234" s="10">
        <v>5.4</v>
      </c>
      <c r="W234" s="10">
        <v>2.67</v>
      </c>
      <c r="X234" s="10">
        <v>1.54</v>
      </c>
      <c r="Y234" s="10">
        <v>4.9000000000000004</v>
      </c>
      <c r="Z234" s="10">
        <v>0</v>
      </c>
      <c r="AA234" s="13">
        <v>1.2E-2</v>
      </c>
      <c r="AB234" s="13">
        <v>1.2E-2</v>
      </c>
      <c r="AC234" s="14">
        <f t="shared" si="55"/>
        <v>7.1880000000000002E-4</v>
      </c>
      <c r="AD234" s="13">
        <f t="shared" si="56"/>
        <v>2.4E-2</v>
      </c>
      <c r="AE234" s="13">
        <v>3.23</v>
      </c>
      <c r="AF234" s="13">
        <v>4.4080000000000004</v>
      </c>
      <c r="AG234" s="13">
        <v>3.1920000000000002</v>
      </c>
      <c r="AH234" s="15">
        <v>5.9900000000000002E-2</v>
      </c>
      <c r="AI234" s="10">
        <f t="shared" si="54"/>
        <v>7.6000000000000005</v>
      </c>
      <c r="AJ234" s="10">
        <v>0.02</v>
      </c>
      <c r="AK234" s="13">
        <v>0</v>
      </c>
      <c r="AL234" s="10">
        <v>0</v>
      </c>
      <c r="AM234" s="16">
        <v>40</v>
      </c>
      <c r="AN234" s="16">
        <v>40</v>
      </c>
      <c r="AO234" s="16">
        <v>2604.04</v>
      </c>
      <c r="AP234" s="10">
        <v>195.98199600000001</v>
      </c>
      <c r="AQ234" s="16">
        <v>42.3</v>
      </c>
      <c r="AR234" s="16">
        <v>2604.04</v>
      </c>
      <c r="AS234" s="10">
        <v>0</v>
      </c>
      <c r="AT234" s="13">
        <v>0</v>
      </c>
      <c r="AU234" s="10">
        <v>4.71</v>
      </c>
      <c r="AV234" s="17">
        <f t="shared" si="53"/>
        <v>44305.829362146163</v>
      </c>
      <c r="AW234" s="17">
        <v>25102.263309806061</v>
      </c>
      <c r="AX234" s="17">
        <v>19203.566052340106</v>
      </c>
      <c r="AY234" s="17">
        <v>0</v>
      </c>
      <c r="BA234" s="25"/>
      <c r="BC234" s="19" t="s">
        <v>316</v>
      </c>
      <c r="BD234" s="19" t="s">
        <v>316</v>
      </c>
      <c r="BE234" s="19" t="s">
        <v>321</v>
      </c>
      <c r="BF234" s="19" t="s">
        <v>316</v>
      </c>
      <c r="BG234" s="19" t="s">
        <v>321</v>
      </c>
      <c r="BI234" s="16">
        <f t="shared" si="43"/>
        <v>5793.4</v>
      </c>
      <c r="BJ234" s="16">
        <f t="shared" si="44"/>
        <v>0</v>
      </c>
      <c r="BK234" s="16">
        <f t="shared" si="45"/>
        <v>5793.4</v>
      </c>
      <c r="BL234" s="16">
        <f t="shared" si="46"/>
        <v>5793.4</v>
      </c>
      <c r="BM234" s="16">
        <f t="shared" si="47"/>
        <v>5793.4</v>
      </c>
      <c r="BN234" s="16">
        <f t="shared" si="48"/>
        <v>5793.4</v>
      </c>
      <c r="BO234" s="16">
        <f>IF(AU234=6.73,C234,0)</f>
        <v>0</v>
      </c>
      <c r="BP234" s="16">
        <f>C234</f>
        <v>5793.4</v>
      </c>
    </row>
    <row r="235" spans="1:68" s="24" customFormat="1" ht="12" customHeight="1" x14ac:dyDescent="0.25">
      <c r="A235" s="5">
        <f t="shared" si="51"/>
        <v>231</v>
      </c>
      <c r="B235" s="6" t="s">
        <v>322</v>
      </c>
      <c r="C235" s="7">
        <f t="shared" si="52"/>
        <v>2479.9</v>
      </c>
      <c r="D235" s="8">
        <v>2479.9</v>
      </c>
      <c r="E235" s="8">
        <v>0</v>
      </c>
      <c r="F235" s="8">
        <v>255</v>
      </c>
      <c r="G235" s="9">
        <v>0</v>
      </c>
      <c r="H235" s="9">
        <v>0</v>
      </c>
      <c r="I235" s="9">
        <v>0</v>
      </c>
      <c r="J235" s="9">
        <v>0</v>
      </c>
      <c r="K235" s="9" t="s">
        <v>71</v>
      </c>
      <c r="L235" s="10" t="s">
        <v>71</v>
      </c>
      <c r="M235" s="10">
        <v>0</v>
      </c>
      <c r="N235" s="10" t="s">
        <v>72</v>
      </c>
      <c r="O235" s="10" t="s">
        <v>72</v>
      </c>
      <c r="P235" s="5" t="s">
        <v>310</v>
      </c>
      <c r="Q235" s="11">
        <v>7</v>
      </c>
      <c r="R235" s="21">
        <v>23.45</v>
      </c>
      <c r="S235" s="10">
        <v>4.32</v>
      </c>
      <c r="T235" s="10">
        <v>4.8899999999999997</v>
      </c>
      <c r="U235" s="10">
        <v>7.16</v>
      </c>
      <c r="V235" s="10">
        <v>4.1900000000000004</v>
      </c>
      <c r="W235" s="10">
        <v>2.67</v>
      </c>
      <c r="X235" s="10">
        <v>0</v>
      </c>
      <c r="Y235" s="10">
        <v>0</v>
      </c>
      <c r="Z235" s="10">
        <v>0.22</v>
      </c>
      <c r="AA235" s="13">
        <v>1.2999999999999999E-2</v>
      </c>
      <c r="AB235" s="13">
        <v>1.2999999999999999E-2</v>
      </c>
      <c r="AC235" s="14">
        <f t="shared" si="55"/>
        <v>7.7870000000000001E-4</v>
      </c>
      <c r="AD235" s="13">
        <f t="shared" si="56"/>
        <v>2.5999999999999999E-2</v>
      </c>
      <c r="AE235" s="13">
        <v>0.68300000000000005</v>
      </c>
      <c r="AF235" s="10">
        <v>4.29</v>
      </c>
      <c r="AG235" s="10">
        <v>3.17</v>
      </c>
      <c r="AH235" s="15">
        <v>5.9900000000000002E-2</v>
      </c>
      <c r="AI235" s="10">
        <f t="shared" si="54"/>
        <v>7.46</v>
      </c>
      <c r="AJ235" s="10">
        <v>0.02</v>
      </c>
      <c r="AK235" s="10">
        <v>10</v>
      </c>
      <c r="AL235" s="10">
        <v>0</v>
      </c>
      <c r="AM235" s="16">
        <v>40</v>
      </c>
      <c r="AN235" s="16">
        <v>40</v>
      </c>
      <c r="AO235" s="16">
        <v>2604.04</v>
      </c>
      <c r="AP235" s="10">
        <v>195.98199600000001</v>
      </c>
      <c r="AQ235" s="16">
        <v>42.3</v>
      </c>
      <c r="AR235" s="16">
        <v>2604.04</v>
      </c>
      <c r="AS235" s="10">
        <v>7.85</v>
      </c>
      <c r="AT235" s="13">
        <v>0</v>
      </c>
      <c r="AU235" s="10">
        <v>4.71</v>
      </c>
      <c r="AV235" s="17">
        <f t="shared" si="53"/>
        <v>18805.111298113163</v>
      </c>
      <c r="AW235" s="17">
        <v>10654.375024900339</v>
      </c>
      <c r="AX235" s="17">
        <v>8150.736273212824</v>
      </c>
      <c r="AY235" s="17">
        <v>0</v>
      </c>
      <c r="BA235" s="25"/>
      <c r="BC235" s="19" t="s">
        <v>316</v>
      </c>
      <c r="BD235" s="19" t="s">
        <v>316</v>
      </c>
      <c r="BE235" s="19"/>
      <c r="BF235" s="19" t="s">
        <v>316</v>
      </c>
      <c r="BG235" s="19"/>
      <c r="BI235" s="16">
        <f t="shared" si="43"/>
        <v>0</v>
      </c>
      <c r="BJ235" s="16">
        <f t="shared" si="44"/>
        <v>0</v>
      </c>
      <c r="BK235" s="16">
        <f t="shared" si="45"/>
        <v>2479.9</v>
      </c>
      <c r="BL235" s="16">
        <f t="shared" si="46"/>
        <v>2479.9</v>
      </c>
      <c r="BM235" s="16">
        <f t="shared" si="47"/>
        <v>2479.9</v>
      </c>
      <c r="BN235" s="16">
        <f t="shared" si="48"/>
        <v>2479.9</v>
      </c>
      <c r="BO235" s="16">
        <f>C235</f>
        <v>2479.9</v>
      </c>
      <c r="BP235" s="16">
        <f>IF(AU235=5.05,C235,0)</f>
        <v>0</v>
      </c>
    </row>
    <row r="236" spans="1:68" s="24" customFormat="1" ht="12" customHeight="1" x14ac:dyDescent="0.25">
      <c r="A236" s="5">
        <f t="shared" si="51"/>
        <v>232</v>
      </c>
      <c r="B236" s="6" t="s">
        <v>323</v>
      </c>
      <c r="C236" s="7">
        <f t="shared" si="52"/>
        <v>2720.4</v>
      </c>
      <c r="D236" s="8">
        <v>2529.6</v>
      </c>
      <c r="E236" s="8">
        <v>190.8</v>
      </c>
      <c r="F236" s="8">
        <v>221.4</v>
      </c>
      <c r="G236" s="9">
        <v>0</v>
      </c>
      <c r="H236" s="9">
        <v>0</v>
      </c>
      <c r="I236" s="9">
        <v>0</v>
      </c>
      <c r="J236" s="9">
        <v>0</v>
      </c>
      <c r="K236" s="9" t="s">
        <v>71</v>
      </c>
      <c r="L236" s="10" t="s">
        <v>71</v>
      </c>
      <c r="M236" s="10">
        <v>0</v>
      </c>
      <c r="N236" s="10" t="s">
        <v>72</v>
      </c>
      <c r="O236" s="10" t="s">
        <v>72</v>
      </c>
      <c r="P236" s="5" t="s">
        <v>310</v>
      </c>
      <c r="Q236" s="11">
        <v>7</v>
      </c>
      <c r="R236" s="21">
        <v>23.45</v>
      </c>
      <c r="S236" s="10">
        <v>4.32</v>
      </c>
      <c r="T236" s="10">
        <v>4.8899999999999997</v>
      </c>
      <c r="U236" s="10">
        <v>7.16</v>
      </c>
      <c r="V236" s="10">
        <v>4.1900000000000004</v>
      </c>
      <c r="W236" s="10">
        <v>2.67</v>
      </c>
      <c r="X236" s="10">
        <v>0</v>
      </c>
      <c r="Y236" s="10">
        <v>0</v>
      </c>
      <c r="Z236" s="10">
        <v>0.22</v>
      </c>
      <c r="AA236" s="13">
        <v>1.2999999999999999E-2</v>
      </c>
      <c r="AB236" s="13">
        <v>1.2999999999999999E-2</v>
      </c>
      <c r="AC236" s="14">
        <f t="shared" si="55"/>
        <v>7.7870000000000001E-4</v>
      </c>
      <c r="AD236" s="13">
        <f t="shared" si="56"/>
        <v>2.5999999999999999E-2</v>
      </c>
      <c r="AE236" s="13">
        <v>0.68300000000000005</v>
      </c>
      <c r="AF236" s="10">
        <v>4.29</v>
      </c>
      <c r="AG236" s="10">
        <v>3.17</v>
      </c>
      <c r="AH236" s="15">
        <v>5.9900000000000002E-2</v>
      </c>
      <c r="AI236" s="10">
        <f t="shared" si="54"/>
        <v>7.46</v>
      </c>
      <c r="AJ236" s="10">
        <v>0.02</v>
      </c>
      <c r="AK236" s="10">
        <v>10</v>
      </c>
      <c r="AL236" s="10">
        <v>0</v>
      </c>
      <c r="AM236" s="16">
        <v>40</v>
      </c>
      <c r="AN236" s="16">
        <v>40</v>
      </c>
      <c r="AO236" s="16">
        <v>2604.04</v>
      </c>
      <c r="AP236" s="10">
        <v>195.98199600000001</v>
      </c>
      <c r="AQ236" s="16">
        <v>42.3</v>
      </c>
      <c r="AR236" s="16">
        <v>2604.04</v>
      </c>
      <c r="AS236" s="10">
        <v>7.85</v>
      </c>
      <c r="AT236" s="13">
        <v>0</v>
      </c>
      <c r="AU236" s="10">
        <v>4.71</v>
      </c>
      <c r="AV236" s="17">
        <f t="shared" si="53"/>
        <v>20583.233569866548</v>
      </c>
      <c r="AW236" s="17">
        <v>11661.808450335868</v>
      </c>
      <c r="AX236" s="17">
        <v>8921.4251195306824</v>
      </c>
      <c r="AY236" s="17">
        <v>0</v>
      </c>
      <c r="BA236" s="25"/>
      <c r="BC236" s="19" t="s">
        <v>316</v>
      </c>
      <c r="BD236" s="19" t="s">
        <v>316</v>
      </c>
      <c r="BE236" s="19"/>
      <c r="BF236" s="19" t="s">
        <v>316</v>
      </c>
      <c r="BG236" s="19"/>
      <c r="BI236" s="16">
        <f t="shared" si="43"/>
        <v>0</v>
      </c>
      <c r="BJ236" s="16">
        <f t="shared" si="44"/>
        <v>0</v>
      </c>
      <c r="BK236" s="16">
        <f t="shared" si="45"/>
        <v>2720.4</v>
      </c>
      <c r="BL236" s="16">
        <f t="shared" si="46"/>
        <v>2720.4</v>
      </c>
      <c r="BM236" s="16">
        <f t="shared" si="47"/>
        <v>2720.4</v>
      </c>
      <c r="BN236" s="16">
        <f t="shared" si="48"/>
        <v>2720.4</v>
      </c>
      <c r="BO236" s="16">
        <f>C236</f>
        <v>2720.4</v>
      </c>
      <c r="BP236" s="16">
        <f>IF(AU236=5.05,C236,0)</f>
        <v>0</v>
      </c>
    </row>
    <row r="237" spans="1:68" s="24" customFormat="1" ht="12" customHeight="1" x14ac:dyDescent="0.25">
      <c r="A237" s="5">
        <f t="shared" si="51"/>
        <v>233</v>
      </c>
      <c r="B237" s="6" t="s">
        <v>324</v>
      </c>
      <c r="C237" s="7">
        <f t="shared" si="52"/>
        <v>2976.2999999999997</v>
      </c>
      <c r="D237" s="8">
        <v>2941.7</v>
      </c>
      <c r="E237" s="8">
        <v>34.6</v>
      </c>
      <c r="F237" s="8">
        <v>715</v>
      </c>
      <c r="G237" s="9">
        <v>1</v>
      </c>
      <c r="H237" s="9">
        <v>1</v>
      </c>
      <c r="I237" s="9">
        <v>400</v>
      </c>
      <c r="J237" s="9">
        <v>630</v>
      </c>
      <c r="K237" s="9" t="s">
        <v>71</v>
      </c>
      <c r="L237" s="10" t="s">
        <v>71</v>
      </c>
      <c r="M237" s="10">
        <v>0</v>
      </c>
      <c r="N237" s="10" t="s">
        <v>72</v>
      </c>
      <c r="O237" s="10" t="s">
        <v>72</v>
      </c>
      <c r="P237" s="5" t="s">
        <v>310</v>
      </c>
      <c r="Q237" s="11">
        <v>1</v>
      </c>
      <c r="R237" s="21">
        <v>32.07</v>
      </c>
      <c r="S237" s="10">
        <v>4.03</v>
      </c>
      <c r="T237" s="10">
        <v>5.61</v>
      </c>
      <c r="U237" s="10">
        <v>7.92</v>
      </c>
      <c r="V237" s="10">
        <v>5.4</v>
      </c>
      <c r="W237" s="10">
        <v>2.67</v>
      </c>
      <c r="X237" s="10">
        <v>1.54</v>
      </c>
      <c r="Y237" s="10">
        <v>4.9000000000000004</v>
      </c>
      <c r="Z237" s="10">
        <v>0</v>
      </c>
      <c r="AA237" s="13">
        <v>1.2E-2</v>
      </c>
      <c r="AB237" s="13">
        <v>1.2E-2</v>
      </c>
      <c r="AC237" s="14">
        <f t="shared" si="55"/>
        <v>7.1880000000000002E-4</v>
      </c>
      <c r="AD237" s="13">
        <f t="shared" si="56"/>
        <v>2.4E-2</v>
      </c>
      <c r="AE237" s="13">
        <v>3.23</v>
      </c>
      <c r="AF237" s="10">
        <v>4.29</v>
      </c>
      <c r="AG237" s="10">
        <v>3.17</v>
      </c>
      <c r="AH237" s="15">
        <v>5.9900000000000002E-2</v>
      </c>
      <c r="AI237" s="10">
        <f t="shared" si="54"/>
        <v>7.46</v>
      </c>
      <c r="AJ237" s="10">
        <v>0.02</v>
      </c>
      <c r="AK237" s="13">
        <v>0</v>
      </c>
      <c r="AL237" s="10">
        <v>0</v>
      </c>
      <c r="AM237" s="16">
        <v>40</v>
      </c>
      <c r="AN237" s="16">
        <v>40</v>
      </c>
      <c r="AO237" s="16">
        <v>2604.04</v>
      </c>
      <c r="AP237" s="10">
        <v>195.98199600000001</v>
      </c>
      <c r="AQ237" s="16">
        <v>42.3</v>
      </c>
      <c r="AR237" s="16">
        <v>2604.04</v>
      </c>
      <c r="AS237" s="10">
        <v>0</v>
      </c>
      <c r="AT237" s="13">
        <v>0</v>
      </c>
      <c r="AU237" s="10">
        <v>4.71</v>
      </c>
      <c r="AV237" s="17">
        <f t="shared" si="53"/>
        <v>28496.659747313846</v>
      </c>
      <c r="AW237" s="17">
        <v>12750.2624803937</v>
      </c>
      <c r="AX237" s="17">
        <v>9754.1139007782731</v>
      </c>
      <c r="AY237" s="17">
        <v>5992.2833661418745</v>
      </c>
      <c r="BA237" s="25"/>
      <c r="BC237" s="19" t="s">
        <v>316</v>
      </c>
      <c r="BD237" s="19" t="s">
        <v>316</v>
      </c>
      <c r="BE237" s="19"/>
      <c r="BF237" s="19" t="s">
        <v>316</v>
      </c>
      <c r="BG237" s="19"/>
      <c r="BI237" s="16">
        <f t="shared" si="43"/>
        <v>2976.2999999999997</v>
      </c>
      <c r="BJ237" s="16">
        <f t="shared" si="44"/>
        <v>0</v>
      </c>
      <c r="BK237" s="16">
        <f t="shared" si="45"/>
        <v>2976.2999999999997</v>
      </c>
      <c r="BL237" s="16">
        <f t="shared" si="46"/>
        <v>2976.2999999999997</v>
      </c>
      <c r="BM237" s="16">
        <f t="shared" si="47"/>
        <v>2976.2999999999997</v>
      </c>
      <c r="BN237" s="16">
        <f t="shared" si="48"/>
        <v>2976.2999999999997</v>
      </c>
      <c r="BO237" s="16">
        <f>IF(AU237=6.73,C237,0)</f>
        <v>0</v>
      </c>
      <c r="BP237" s="16">
        <f>C237</f>
        <v>2976.2999999999997</v>
      </c>
    </row>
    <row r="238" spans="1:68" s="24" customFormat="1" ht="12" customHeight="1" x14ac:dyDescent="0.25">
      <c r="A238" s="5">
        <f t="shared" si="51"/>
        <v>234</v>
      </c>
      <c r="B238" s="6" t="s">
        <v>325</v>
      </c>
      <c r="C238" s="7">
        <f t="shared" si="52"/>
        <v>3103.2</v>
      </c>
      <c r="D238" s="8">
        <v>3103.2</v>
      </c>
      <c r="E238" s="8">
        <v>0</v>
      </c>
      <c r="F238" s="8">
        <v>314</v>
      </c>
      <c r="G238" s="9">
        <v>0</v>
      </c>
      <c r="H238" s="9">
        <v>0</v>
      </c>
      <c r="I238" s="9">
        <v>0</v>
      </c>
      <c r="J238" s="9">
        <v>0</v>
      </c>
      <c r="K238" s="9" t="s">
        <v>71</v>
      </c>
      <c r="L238" s="10" t="s">
        <v>71</v>
      </c>
      <c r="M238" s="10">
        <v>0</v>
      </c>
      <c r="N238" s="10" t="s">
        <v>72</v>
      </c>
      <c r="O238" s="10" t="s">
        <v>72</v>
      </c>
      <c r="P238" s="5" t="s">
        <v>310</v>
      </c>
      <c r="Q238" s="11">
        <v>7</v>
      </c>
      <c r="R238" s="21">
        <v>23.45</v>
      </c>
      <c r="S238" s="10">
        <v>4.32</v>
      </c>
      <c r="T238" s="10">
        <v>4.8899999999999997</v>
      </c>
      <c r="U238" s="10">
        <v>7.16</v>
      </c>
      <c r="V238" s="10">
        <v>4.1900000000000004</v>
      </c>
      <c r="W238" s="10">
        <v>2.67</v>
      </c>
      <c r="X238" s="10">
        <v>0</v>
      </c>
      <c r="Y238" s="10">
        <v>0</v>
      </c>
      <c r="Z238" s="10">
        <v>0.22</v>
      </c>
      <c r="AA238" s="13">
        <v>1.2999999999999999E-2</v>
      </c>
      <c r="AB238" s="13">
        <v>1.2999999999999999E-2</v>
      </c>
      <c r="AC238" s="14">
        <f t="shared" si="55"/>
        <v>7.7870000000000001E-4</v>
      </c>
      <c r="AD238" s="13">
        <f t="shared" si="56"/>
        <v>2.5999999999999999E-2</v>
      </c>
      <c r="AE238" s="13">
        <v>0.68300000000000005</v>
      </c>
      <c r="AF238" s="10">
        <v>4.29</v>
      </c>
      <c r="AG238" s="10">
        <v>3.17</v>
      </c>
      <c r="AH238" s="15">
        <v>5.9900000000000002E-2</v>
      </c>
      <c r="AI238" s="10">
        <f t="shared" si="54"/>
        <v>7.46</v>
      </c>
      <c r="AJ238" s="10">
        <v>0.02</v>
      </c>
      <c r="AK238" s="10">
        <v>10</v>
      </c>
      <c r="AL238" s="10">
        <v>0</v>
      </c>
      <c r="AM238" s="16">
        <v>40</v>
      </c>
      <c r="AN238" s="16">
        <v>40</v>
      </c>
      <c r="AO238" s="16">
        <v>2604.04</v>
      </c>
      <c r="AP238" s="10">
        <v>195.98199600000001</v>
      </c>
      <c r="AQ238" s="16">
        <v>42.3</v>
      </c>
      <c r="AR238" s="16">
        <v>2604.04</v>
      </c>
      <c r="AS238" s="10">
        <v>7.85</v>
      </c>
      <c r="AT238" s="13">
        <v>0</v>
      </c>
      <c r="AU238" s="10">
        <v>4.71</v>
      </c>
      <c r="AV238" s="17">
        <f t="shared" si="53"/>
        <v>23491.05120770444</v>
      </c>
      <c r="AW238" s="17">
        <v>13309.282583345223</v>
      </c>
      <c r="AX238" s="17">
        <v>10181.768624359218</v>
      </c>
      <c r="AY238" s="17">
        <v>0</v>
      </c>
      <c r="BA238" s="25"/>
      <c r="BC238" s="19" t="s">
        <v>316</v>
      </c>
      <c r="BD238" s="19" t="s">
        <v>316</v>
      </c>
      <c r="BE238" s="19" t="s">
        <v>321</v>
      </c>
      <c r="BF238" s="19" t="s">
        <v>316</v>
      </c>
      <c r="BG238" s="19" t="s">
        <v>321</v>
      </c>
      <c r="BI238" s="16">
        <f t="shared" si="43"/>
        <v>0</v>
      </c>
      <c r="BJ238" s="16">
        <f t="shared" si="44"/>
        <v>0</v>
      </c>
      <c r="BK238" s="16">
        <f t="shared" si="45"/>
        <v>3103.2</v>
      </c>
      <c r="BL238" s="16">
        <f t="shared" si="46"/>
        <v>3103.2</v>
      </c>
      <c r="BM238" s="16">
        <f t="shared" si="47"/>
        <v>3103.2</v>
      </c>
      <c r="BN238" s="16">
        <f t="shared" si="48"/>
        <v>3103.2</v>
      </c>
      <c r="BO238" s="16">
        <f>C238</f>
        <v>3103.2</v>
      </c>
      <c r="BP238" s="16">
        <f>IF(AU238=5.05,C238,0)</f>
        <v>0</v>
      </c>
    </row>
    <row r="239" spans="1:68" s="24" customFormat="1" ht="12" customHeight="1" x14ac:dyDescent="0.25">
      <c r="A239" s="5">
        <f t="shared" si="51"/>
        <v>235</v>
      </c>
      <c r="B239" s="6" t="s">
        <v>326</v>
      </c>
      <c r="C239" s="7">
        <f t="shared" si="52"/>
        <v>358.6</v>
      </c>
      <c r="D239" s="8">
        <v>358.6</v>
      </c>
      <c r="E239" s="8">
        <v>0</v>
      </c>
      <c r="F239" s="8">
        <v>0</v>
      </c>
      <c r="G239" s="9">
        <v>0</v>
      </c>
      <c r="H239" s="9">
        <v>0</v>
      </c>
      <c r="I239" s="9">
        <v>0</v>
      </c>
      <c r="J239" s="9">
        <v>0</v>
      </c>
      <c r="K239" s="9" t="s">
        <v>71</v>
      </c>
      <c r="L239" s="10" t="s">
        <v>106</v>
      </c>
      <c r="M239" s="10">
        <v>0</v>
      </c>
      <c r="N239" s="10" t="s">
        <v>72</v>
      </c>
      <c r="O239" s="10" t="s">
        <v>72</v>
      </c>
      <c r="P239" s="5" t="s">
        <v>310</v>
      </c>
      <c r="Q239" s="11">
        <v>9</v>
      </c>
      <c r="R239" s="21">
        <v>19.37</v>
      </c>
      <c r="S239" s="10">
        <v>2.86</v>
      </c>
      <c r="T239" s="10">
        <v>3.7399999999999998</v>
      </c>
      <c r="U239" s="10">
        <v>6.5</v>
      </c>
      <c r="V239" s="10">
        <v>4</v>
      </c>
      <c r="W239" s="10">
        <v>2.0499999999999998</v>
      </c>
      <c r="X239" s="10">
        <v>0</v>
      </c>
      <c r="Y239" s="10">
        <v>0</v>
      </c>
      <c r="Z239" s="10">
        <v>0.22</v>
      </c>
      <c r="AA239" s="13">
        <v>0.01</v>
      </c>
      <c r="AB239" s="13">
        <v>0</v>
      </c>
      <c r="AC239" s="14">
        <f t="shared" si="55"/>
        <v>0</v>
      </c>
      <c r="AD239" s="13">
        <f t="shared" si="56"/>
        <v>0.01</v>
      </c>
      <c r="AE239" s="13">
        <v>0.68300000000000005</v>
      </c>
      <c r="AF239" s="10">
        <v>1.22</v>
      </c>
      <c r="AG239" s="13">
        <v>0</v>
      </c>
      <c r="AH239" s="13">
        <v>0</v>
      </c>
      <c r="AI239" s="13">
        <v>0</v>
      </c>
      <c r="AJ239" s="13">
        <v>0</v>
      </c>
      <c r="AK239" s="10">
        <v>11.6</v>
      </c>
      <c r="AL239" s="10">
        <v>7</v>
      </c>
      <c r="AM239" s="16">
        <v>40</v>
      </c>
      <c r="AN239" s="16">
        <v>0</v>
      </c>
      <c r="AO239" s="16">
        <v>0</v>
      </c>
      <c r="AP239" s="10">
        <v>0</v>
      </c>
      <c r="AQ239" s="16">
        <v>0</v>
      </c>
      <c r="AR239" s="16">
        <v>0</v>
      </c>
      <c r="AS239" s="10">
        <v>7.85</v>
      </c>
      <c r="AT239" s="10">
        <v>6.87</v>
      </c>
      <c r="AU239" s="10">
        <v>4.71</v>
      </c>
      <c r="AV239" s="17">
        <f t="shared" si="53"/>
        <v>3098.5070928776131</v>
      </c>
      <c r="AW239" s="17">
        <v>1755.5153989280643</v>
      </c>
      <c r="AX239" s="17">
        <v>1342.9916939495486</v>
      </c>
      <c r="AY239" s="17">
        <v>0</v>
      </c>
      <c r="BA239" s="25"/>
      <c r="BC239" s="19" t="s">
        <v>316</v>
      </c>
      <c r="BD239" s="19"/>
      <c r="BE239" s="19"/>
      <c r="BF239" s="19"/>
      <c r="BG239" s="19"/>
      <c r="BI239" s="16">
        <f t="shared" si="43"/>
        <v>0</v>
      </c>
      <c r="BJ239" s="16">
        <f t="shared" si="44"/>
        <v>0</v>
      </c>
      <c r="BK239" s="16">
        <f t="shared" si="45"/>
        <v>358.6</v>
      </c>
      <c r="BL239" s="16">
        <f t="shared" si="46"/>
        <v>0</v>
      </c>
      <c r="BM239" s="16">
        <f t="shared" si="47"/>
        <v>0</v>
      </c>
      <c r="BN239" s="16">
        <f t="shared" si="48"/>
        <v>0</v>
      </c>
      <c r="BO239" s="16">
        <f>C239</f>
        <v>358.6</v>
      </c>
      <c r="BP239" s="16">
        <f>IF(AU239=5.05,C239,0)</f>
        <v>0</v>
      </c>
    </row>
    <row r="240" spans="1:68" s="24" customFormat="1" ht="12" customHeight="1" x14ac:dyDescent="0.25">
      <c r="A240" s="5">
        <f t="shared" si="51"/>
        <v>236</v>
      </c>
      <c r="B240" s="6" t="s">
        <v>327</v>
      </c>
      <c r="C240" s="7">
        <f t="shared" si="52"/>
        <v>499.5</v>
      </c>
      <c r="D240" s="8">
        <v>499.5</v>
      </c>
      <c r="E240" s="8">
        <v>0</v>
      </c>
      <c r="F240" s="8">
        <v>60</v>
      </c>
      <c r="G240" s="9">
        <v>0</v>
      </c>
      <c r="H240" s="9">
        <v>0</v>
      </c>
      <c r="I240" s="9">
        <v>0</v>
      </c>
      <c r="J240" s="9">
        <v>0</v>
      </c>
      <c r="K240" s="9" t="s">
        <v>71</v>
      </c>
      <c r="L240" s="10" t="s">
        <v>71</v>
      </c>
      <c r="M240" s="10">
        <v>0</v>
      </c>
      <c r="N240" s="10" t="s">
        <v>72</v>
      </c>
      <c r="O240" s="10" t="s">
        <v>72</v>
      </c>
      <c r="P240" s="5" t="s">
        <v>95</v>
      </c>
      <c r="Q240" s="11">
        <v>9</v>
      </c>
      <c r="R240" s="21">
        <v>15</v>
      </c>
      <c r="S240" s="10">
        <v>0</v>
      </c>
      <c r="T240" s="10">
        <v>3</v>
      </c>
      <c r="U240" s="10">
        <v>5.73</v>
      </c>
      <c r="V240" s="10">
        <v>4</v>
      </c>
      <c r="W240" s="10">
        <v>2.0499999999999998</v>
      </c>
      <c r="X240" s="10">
        <v>0</v>
      </c>
      <c r="Y240" s="10">
        <v>0</v>
      </c>
      <c r="Z240" s="10">
        <v>0.22</v>
      </c>
      <c r="AA240" s="13">
        <v>0</v>
      </c>
      <c r="AB240" s="13">
        <v>0</v>
      </c>
      <c r="AC240" s="14">
        <f t="shared" si="55"/>
        <v>0</v>
      </c>
      <c r="AD240" s="13">
        <f t="shared" si="56"/>
        <v>0</v>
      </c>
      <c r="AE240" s="13">
        <v>0</v>
      </c>
      <c r="AF240" s="13">
        <v>0</v>
      </c>
      <c r="AG240" s="13">
        <v>0</v>
      </c>
      <c r="AH240" s="13">
        <v>0</v>
      </c>
      <c r="AI240" s="10">
        <f t="shared" ref="AI240:AI243" si="57">SUM(AF240:AG240)</f>
        <v>0</v>
      </c>
      <c r="AJ240" s="10">
        <v>0.02</v>
      </c>
      <c r="AK240" s="10">
        <v>11.6</v>
      </c>
      <c r="AL240" s="10">
        <v>0</v>
      </c>
      <c r="AM240" s="16">
        <v>0</v>
      </c>
      <c r="AN240" s="16">
        <v>0</v>
      </c>
      <c r="AO240" s="16">
        <v>0</v>
      </c>
      <c r="AP240" s="10">
        <v>0</v>
      </c>
      <c r="AQ240" s="16">
        <v>0</v>
      </c>
      <c r="AR240" s="16">
        <v>2604.04</v>
      </c>
      <c r="AS240" s="10">
        <v>7.85</v>
      </c>
      <c r="AT240" s="13">
        <v>0</v>
      </c>
      <c r="AU240" s="10">
        <v>4.71</v>
      </c>
      <c r="AV240" s="17">
        <f t="shared" si="53"/>
        <v>0</v>
      </c>
      <c r="AW240" s="17">
        <v>0</v>
      </c>
      <c r="AX240" s="17">
        <v>0</v>
      </c>
      <c r="AY240" s="17">
        <v>0</v>
      </c>
      <c r="BA240" s="25"/>
      <c r="BC240" s="19"/>
      <c r="BD240" s="19"/>
      <c r="BE240" s="19"/>
      <c r="BF240" s="19"/>
      <c r="BG240" s="19"/>
      <c r="BI240" s="16">
        <f t="shared" si="43"/>
        <v>0</v>
      </c>
      <c r="BJ240" s="16">
        <f t="shared" si="44"/>
        <v>0</v>
      </c>
      <c r="BK240" s="16">
        <f t="shared" si="45"/>
        <v>0</v>
      </c>
      <c r="BL240" s="16">
        <f t="shared" si="46"/>
        <v>0</v>
      </c>
      <c r="BM240" s="16">
        <f t="shared" si="47"/>
        <v>0</v>
      </c>
      <c r="BN240" s="16">
        <f t="shared" si="48"/>
        <v>499.5</v>
      </c>
      <c r="BO240" s="16">
        <f>C240</f>
        <v>499.5</v>
      </c>
      <c r="BP240" s="16">
        <f>IF(AU240=5.05,C240,0)</f>
        <v>0</v>
      </c>
    </row>
    <row r="241" spans="1:68" s="24" customFormat="1" ht="12" customHeight="1" x14ac:dyDescent="0.25">
      <c r="A241" s="5">
        <f t="shared" si="51"/>
        <v>237</v>
      </c>
      <c r="B241" s="6" t="s">
        <v>328</v>
      </c>
      <c r="C241" s="7">
        <f t="shared" si="52"/>
        <v>265.5</v>
      </c>
      <c r="D241" s="8">
        <v>265.5</v>
      </c>
      <c r="E241" s="8">
        <v>0</v>
      </c>
      <c r="F241" s="8">
        <v>39.299999999999997</v>
      </c>
      <c r="G241" s="9">
        <v>0</v>
      </c>
      <c r="H241" s="9">
        <v>0</v>
      </c>
      <c r="I241" s="9">
        <v>0</v>
      </c>
      <c r="J241" s="9">
        <v>0</v>
      </c>
      <c r="K241" s="9" t="s">
        <v>71</v>
      </c>
      <c r="L241" s="10" t="s">
        <v>71</v>
      </c>
      <c r="M241" s="10">
        <v>0</v>
      </c>
      <c r="N241" s="10" t="s">
        <v>72</v>
      </c>
      <c r="O241" s="10" t="s">
        <v>72</v>
      </c>
      <c r="P241" s="5" t="s">
        <v>95</v>
      </c>
      <c r="Q241" s="11">
        <v>8</v>
      </c>
      <c r="R241" s="21">
        <v>19.940000000000001</v>
      </c>
      <c r="S241" s="10">
        <v>2.86</v>
      </c>
      <c r="T241" s="10">
        <v>3.7399999999999998</v>
      </c>
      <c r="U241" s="10">
        <v>6.5</v>
      </c>
      <c r="V241" s="10">
        <v>4.17</v>
      </c>
      <c r="W241" s="10">
        <v>2.67</v>
      </c>
      <c r="X241" s="10">
        <v>0</v>
      </c>
      <c r="Y241" s="10">
        <v>0</v>
      </c>
      <c r="Z241" s="10">
        <v>0</v>
      </c>
      <c r="AA241" s="13">
        <v>0</v>
      </c>
      <c r="AB241" s="13">
        <v>0</v>
      </c>
      <c r="AC241" s="14">
        <f t="shared" si="55"/>
        <v>0</v>
      </c>
      <c r="AD241" s="13">
        <f t="shared" si="56"/>
        <v>0</v>
      </c>
      <c r="AE241" s="13">
        <v>0.68300000000000005</v>
      </c>
      <c r="AF241" s="13">
        <v>0</v>
      </c>
      <c r="AG241" s="13">
        <v>0</v>
      </c>
      <c r="AH241" s="13">
        <v>0</v>
      </c>
      <c r="AI241" s="10">
        <f t="shared" si="57"/>
        <v>0</v>
      </c>
      <c r="AJ241" s="10">
        <v>0.02</v>
      </c>
      <c r="AK241" s="13">
        <v>0</v>
      </c>
      <c r="AL241" s="10">
        <v>0</v>
      </c>
      <c r="AM241" s="16">
        <v>0</v>
      </c>
      <c r="AN241" s="16">
        <v>0</v>
      </c>
      <c r="AO241" s="16">
        <v>0</v>
      </c>
      <c r="AP241" s="10">
        <v>0</v>
      </c>
      <c r="AQ241" s="16">
        <v>0</v>
      </c>
      <c r="AR241" s="16">
        <v>2604.04</v>
      </c>
      <c r="AS241" s="10">
        <v>0</v>
      </c>
      <c r="AT241" s="13">
        <v>0</v>
      </c>
      <c r="AU241" s="10">
        <v>4.71</v>
      </c>
      <c r="AV241" s="17">
        <f t="shared" si="53"/>
        <v>2469.2663739689642</v>
      </c>
      <c r="AW241" s="17">
        <v>1295.5158817074716</v>
      </c>
      <c r="AX241" s="17">
        <v>1173.7504922614926</v>
      </c>
      <c r="AY241" s="17">
        <v>0</v>
      </c>
      <c r="BA241" s="25"/>
      <c r="BC241" s="19"/>
      <c r="BD241" s="19"/>
      <c r="BE241" s="19"/>
      <c r="BF241" s="19"/>
      <c r="BG241" s="19"/>
      <c r="BI241" s="16">
        <f t="shared" si="43"/>
        <v>0</v>
      </c>
      <c r="BJ241" s="16">
        <f t="shared" si="44"/>
        <v>0</v>
      </c>
      <c r="BK241" s="16">
        <f t="shared" si="45"/>
        <v>0</v>
      </c>
      <c r="BL241" s="16">
        <f t="shared" si="46"/>
        <v>0</v>
      </c>
      <c r="BM241" s="16">
        <f t="shared" si="47"/>
        <v>0</v>
      </c>
      <c r="BN241" s="16">
        <f t="shared" si="48"/>
        <v>265.5</v>
      </c>
      <c r="BO241" s="16">
        <f>IF(AU241=6.73,C241,0)</f>
        <v>0</v>
      </c>
      <c r="BP241" s="16">
        <f>C241</f>
        <v>265.5</v>
      </c>
    </row>
    <row r="242" spans="1:68" s="24" customFormat="1" ht="12" customHeight="1" x14ac:dyDescent="0.25">
      <c r="A242" s="5">
        <f t="shared" si="51"/>
        <v>238</v>
      </c>
      <c r="B242" s="6" t="s">
        <v>329</v>
      </c>
      <c r="C242" s="7">
        <f t="shared" si="52"/>
        <v>175.5</v>
      </c>
      <c r="D242" s="8">
        <v>175.5</v>
      </c>
      <c r="E242" s="8">
        <v>0</v>
      </c>
      <c r="F242" s="8">
        <v>39.799999999999997</v>
      </c>
      <c r="G242" s="9">
        <v>0</v>
      </c>
      <c r="H242" s="9">
        <v>0</v>
      </c>
      <c r="I242" s="9">
        <v>0</v>
      </c>
      <c r="J242" s="9">
        <v>0</v>
      </c>
      <c r="K242" s="9" t="s">
        <v>71</v>
      </c>
      <c r="L242" s="10" t="s">
        <v>71</v>
      </c>
      <c r="M242" s="10">
        <v>0</v>
      </c>
      <c r="N242" s="10" t="s">
        <v>72</v>
      </c>
      <c r="O242" s="10" t="s">
        <v>72</v>
      </c>
      <c r="P242" s="5" t="s">
        <v>95</v>
      </c>
      <c r="Q242" s="11">
        <v>8</v>
      </c>
      <c r="R242" s="21">
        <v>19.940000000000001</v>
      </c>
      <c r="S242" s="10">
        <v>2.86</v>
      </c>
      <c r="T242" s="10">
        <v>3.7399999999999998</v>
      </c>
      <c r="U242" s="10">
        <v>6.5</v>
      </c>
      <c r="V242" s="10">
        <v>4.17</v>
      </c>
      <c r="W242" s="10">
        <v>2.67</v>
      </c>
      <c r="X242" s="10">
        <v>0</v>
      </c>
      <c r="Y242" s="10">
        <v>0</v>
      </c>
      <c r="Z242" s="10">
        <v>0</v>
      </c>
      <c r="AA242" s="13">
        <v>0</v>
      </c>
      <c r="AB242" s="13">
        <v>0</v>
      </c>
      <c r="AC242" s="14">
        <f t="shared" si="55"/>
        <v>0</v>
      </c>
      <c r="AD242" s="13">
        <f t="shared" si="56"/>
        <v>0</v>
      </c>
      <c r="AE242" s="13">
        <v>0.68300000000000005</v>
      </c>
      <c r="AF242" s="13">
        <v>0</v>
      </c>
      <c r="AG242" s="13">
        <v>0</v>
      </c>
      <c r="AH242" s="13">
        <v>0</v>
      </c>
      <c r="AI242" s="10">
        <f t="shared" si="57"/>
        <v>0</v>
      </c>
      <c r="AJ242" s="10">
        <v>0.02</v>
      </c>
      <c r="AK242" s="13">
        <v>0</v>
      </c>
      <c r="AL242" s="10">
        <v>0</v>
      </c>
      <c r="AM242" s="16">
        <v>0</v>
      </c>
      <c r="AN242" s="16">
        <v>0</v>
      </c>
      <c r="AO242" s="16">
        <v>0</v>
      </c>
      <c r="AP242" s="10">
        <v>0</v>
      </c>
      <c r="AQ242" s="16">
        <v>0</v>
      </c>
      <c r="AR242" s="16">
        <v>2604.04</v>
      </c>
      <c r="AS242" s="10">
        <v>0</v>
      </c>
      <c r="AT242" s="13">
        <v>0</v>
      </c>
      <c r="AU242" s="10">
        <v>4.71</v>
      </c>
      <c r="AV242" s="17">
        <f t="shared" si="53"/>
        <v>794.24744228226064</v>
      </c>
      <c r="AW242" s="17">
        <v>416.70301093707127</v>
      </c>
      <c r="AX242" s="17">
        <v>377.54443134518942</v>
      </c>
      <c r="AY242" s="17">
        <v>0</v>
      </c>
      <c r="BA242" s="25"/>
      <c r="BC242" s="19"/>
      <c r="BD242" s="19"/>
      <c r="BE242" s="19"/>
      <c r="BF242" s="19"/>
      <c r="BG242" s="19"/>
      <c r="BI242" s="16">
        <f t="shared" si="43"/>
        <v>0</v>
      </c>
      <c r="BJ242" s="16">
        <f t="shared" si="44"/>
        <v>0</v>
      </c>
      <c r="BK242" s="16">
        <f t="shared" si="45"/>
        <v>0</v>
      </c>
      <c r="BL242" s="16">
        <f t="shared" si="46"/>
        <v>0</v>
      </c>
      <c r="BM242" s="16">
        <f t="shared" si="47"/>
        <v>0</v>
      </c>
      <c r="BN242" s="16">
        <f t="shared" si="48"/>
        <v>175.5</v>
      </c>
      <c r="BO242" s="16">
        <f>IF(AU242=6.73,C242,0)</f>
        <v>0</v>
      </c>
      <c r="BP242" s="16">
        <f>C242</f>
        <v>175.5</v>
      </c>
    </row>
    <row r="243" spans="1:68" s="24" customFormat="1" ht="12" customHeight="1" x14ac:dyDescent="0.25">
      <c r="A243" s="2">
        <f t="shared" si="51"/>
        <v>239</v>
      </c>
      <c r="B243" s="26" t="s">
        <v>330</v>
      </c>
      <c r="C243" s="28">
        <f t="shared" si="52"/>
        <v>144</v>
      </c>
      <c r="D243" s="27">
        <v>144</v>
      </c>
      <c r="E243" s="27">
        <v>0</v>
      </c>
      <c r="F243" s="27">
        <v>0</v>
      </c>
      <c r="G243" s="29">
        <v>0</v>
      </c>
      <c r="H243" s="29">
        <v>0</v>
      </c>
      <c r="I243" s="29">
        <v>0</v>
      </c>
      <c r="J243" s="29">
        <v>0</v>
      </c>
      <c r="K243" s="29" t="s">
        <v>71</v>
      </c>
      <c r="L243" s="30" t="s">
        <v>106</v>
      </c>
      <c r="M243" s="30">
        <v>0</v>
      </c>
      <c r="N243" s="30" t="s">
        <v>72</v>
      </c>
      <c r="O243" s="31">
        <v>44652</v>
      </c>
      <c r="P243" s="2" t="s">
        <v>95</v>
      </c>
      <c r="Q243" s="2">
        <v>9</v>
      </c>
      <c r="R243" s="32" t="s">
        <v>331</v>
      </c>
      <c r="S243" s="2" t="s">
        <v>332</v>
      </c>
      <c r="T243" s="2" t="s">
        <v>332</v>
      </c>
      <c r="U243" s="2" t="s">
        <v>332</v>
      </c>
      <c r="V243" s="2" t="s">
        <v>332</v>
      </c>
      <c r="W243" s="2" t="s">
        <v>332</v>
      </c>
      <c r="X243" s="2" t="s">
        <v>332</v>
      </c>
      <c r="Y243" s="2" t="s">
        <v>332</v>
      </c>
      <c r="Z243" s="2" t="s">
        <v>332</v>
      </c>
      <c r="AA243" s="33">
        <v>0</v>
      </c>
      <c r="AB243" s="33">
        <v>0</v>
      </c>
      <c r="AC243" s="34">
        <f t="shared" si="55"/>
        <v>0</v>
      </c>
      <c r="AD243" s="33">
        <f t="shared" si="56"/>
        <v>0</v>
      </c>
      <c r="AE243" s="33">
        <v>0.68300000000000005</v>
      </c>
      <c r="AF243" s="33">
        <v>0</v>
      </c>
      <c r="AG243" s="33">
        <v>0</v>
      </c>
      <c r="AH243" s="33">
        <v>0</v>
      </c>
      <c r="AI243" s="30">
        <f t="shared" si="57"/>
        <v>0</v>
      </c>
      <c r="AJ243" s="30">
        <v>0</v>
      </c>
      <c r="AK243" s="30">
        <v>11.6</v>
      </c>
      <c r="AL243" s="30">
        <v>7</v>
      </c>
      <c r="AM243" s="30">
        <v>0</v>
      </c>
      <c r="AN243" s="30">
        <v>0</v>
      </c>
      <c r="AO243" s="30">
        <v>0</v>
      </c>
      <c r="AP243" s="30">
        <f t="shared" ref="AP243" si="58">1*AH243*AO243+AN243</f>
        <v>0</v>
      </c>
      <c r="AQ243" s="30">
        <v>0</v>
      </c>
      <c r="AR243" s="30">
        <v>0</v>
      </c>
      <c r="AS243" s="30">
        <v>7.03</v>
      </c>
      <c r="AT243" s="30">
        <f>6160.68/1000</f>
        <v>6.1606800000000002</v>
      </c>
      <c r="AU243" s="30">
        <v>5.93</v>
      </c>
      <c r="AV243" s="29">
        <f t="shared" si="53"/>
        <v>934.94280000000003</v>
      </c>
      <c r="AW243" s="29">
        <v>490.52576000000005</v>
      </c>
      <c r="AX243" s="29">
        <v>444.41704000000004</v>
      </c>
      <c r="AY243" s="29">
        <v>0</v>
      </c>
      <c r="BA243" s="25"/>
      <c r="BC243" s="19"/>
      <c r="BD243" s="19"/>
      <c r="BE243" s="19"/>
      <c r="BF243" s="19"/>
      <c r="BG243" s="19"/>
      <c r="BI243" s="16">
        <f t="shared" si="43"/>
        <v>0</v>
      </c>
      <c r="BJ243" s="16">
        <f t="shared" si="44"/>
        <v>0</v>
      </c>
      <c r="BK243" s="16">
        <f t="shared" si="45"/>
        <v>0</v>
      </c>
      <c r="BL243" s="16">
        <f t="shared" si="46"/>
        <v>0</v>
      </c>
      <c r="BM243" s="16">
        <f t="shared" si="47"/>
        <v>0</v>
      </c>
      <c r="BN243" s="16">
        <f t="shared" si="48"/>
        <v>0</v>
      </c>
      <c r="BO243" s="16">
        <f>IF(AU243=6.73,C243,0)</f>
        <v>0</v>
      </c>
      <c r="BP243" s="16">
        <f>C243</f>
        <v>144</v>
      </c>
    </row>
    <row r="244" spans="1:68" s="24" customFormat="1" ht="12" customHeight="1" x14ac:dyDescent="0.25">
      <c r="A244" s="201" t="s">
        <v>333</v>
      </c>
      <c r="B244" s="201"/>
      <c r="C244" s="7">
        <f>SUM(C5:C243)</f>
        <v>1045124.2969767074</v>
      </c>
      <c r="D244" s="7">
        <f>SUM(D5:D243)</f>
        <v>1006962.7869767066</v>
      </c>
      <c r="E244" s="7">
        <f>SUM(E5:E243)</f>
        <v>38161.509999999987</v>
      </c>
      <c r="F244" s="7">
        <f t="shared" ref="F244" si="59">SUM(F5:F243)</f>
        <v>168858.98</v>
      </c>
      <c r="G244" s="7">
        <f>SUM(G5:G243)</f>
        <v>267</v>
      </c>
      <c r="H244" s="7">
        <f t="shared" ref="H244" si="60">SUM(H5:H243)</f>
        <v>86</v>
      </c>
      <c r="I244" s="36" t="s">
        <v>332</v>
      </c>
      <c r="J244" s="36" t="s">
        <v>332</v>
      </c>
      <c r="K244" s="36" t="s">
        <v>332</v>
      </c>
      <c r="L244" s="36" t="s">
        <v>332</v>
      </c>
      <c r="M244" s="36" t="s">
        <v>332</v>
      </c>
      <c r="N244" s="36" t="s">
        <v>332</v>
      </c>
      <c r="O244" s="36" t="s">
        <v>332</v>
      </c>
      <c r="P244" s="35" t="s">
        <v>332</v>
      </c>
      <c r="Q244" s="36" t="s">
        <v>332</v>
      </c>
      <c r="R244" s="36" t="s">
        <v>332</v>
      </c>
      <c r="S244" s="11" t="s">
        <v>332</v>
      </c>
      <c r="T244" s="11" t="s">
        <v>332</v>
      </c>
      <c r="U244" s="11" t="s">
        <v>332</v>
      </c>
      <c r="V244" s="11" t="s">
        <v>332</v>
      </c>
      <c r="W244" s="11" t="s">
        <v>332</v>
      </c>
      <c r="X244" s="11" t="s">
        <v>332</v>
      </c>
      <c r="Y244" s="11" t="s">
        <v>332</v>
      </c>
      <c r="Z244" s="11" t="s">
        <v>332</v>
      </c>
      <c r="AA244" s="36" t="s">
        <v>332</v>
      </c>
      <c r="AB244" s="36" t="s">
        <v>332</v>
      </c>
      <c r="AC244" s="36" t="s">
        <v>332</v>
      </c>
      <c r="AD244" s="36" t="s">
        <v>332</v>
      </c>
      <c r="AE244" s="36" t="s">
        <v>332</v>
      </c>
      <c r="AF244" s="36" t="s">
        <v>332</v>
      </c>
      <c r="AG244" s="36" t="s">
        <v>332</v>
      </c>
      <c r="AH244" s="36" t="s">
        <v>332</v>
      </c>
      <c r="AI244" s="36" t="s">
        <v>332</v>
      </c>
      <c r="AJ244" s="36" t="s">
        <v>332</v>
      </c>
      <c r="AK244" s="36" t="s">
        <v>332</v>
      </c>
      <c r="AL244" s="36" t="s">
        <v>332</v>
      </c>
      <c r="AM244" s="36" t="s">
        <v>332</v>
      </c>
      <c r="AN244" s="36" t="s">
        <v>332</v>
      </c>
      <c r="AO244" s="36" t="s">
        <v>332</v>
      </c>
      <c r="AP244" s="36" t="s">
        <v>332</v>
      </c>
      <c r="AQ244" s="36" t="s">
        <v>332</v>
      </c>
      <c r="AR244" s="36" t="s">
        <v>332</v>
      </c>
      <c r="AS244" s="36" t="s">
        <v>332</v>
      </c>
      <c r="AT244" s="36" t="s">
        <v>332</v>
      </c>
      <c r="AU244" s="36" t="s">
        <v>332</v>
      </c>
      <c r="AV244" s="37">
        <f>SUM(AV5:AV243)</f>
        <v>10638611.036807681</v>
      </c>
      <c r="AW244" s="37">
        <f>SUM(AW5:AW243)</f>
        <v>4773487.1852102848</v>
      </c>
      <c r="AX244" s="37">
        <f>SUM(AX5:AX243)</f>
        <v>4243542.1493444089</v>
      </c>
      <c r="AY244" s="37">
        <f>SUM(AY5:AY243)</f>
        <v>1621581.7022529857</v>
      </c>
      <c r="BA244" s="36" t="s">
        <v>332</v>
      </c>
      <c r="BC244" s="36" t="s">
        <v>332</v>
      </c>
      <c r="BD244" s="36" t="s">
        <v>332</v>
      </c>
      <c r="BE244" s="36" t="s">
        <v>332</v>
      </c>
      <c r="BF244" s="36" t="s">
        <v>332</v>
      </c>
      <c r="BG244" s="36" t="s">
        <v>332</v>
      </c>
      <c r="BI244" s="37">
        <f>SUM(BI5:BI243)</f>
        <v>352235.01717022446</v>
      </c>
      <c r="BJ244" s="37">
        <f t="shared" ref="BJ244:BO244" si="61">SUM(BJ5:BJ243)</f>
        <v>384422.07980648289</v>
      </c>
      <c r="BK244" s="37">
        <f t="shared" si="61"/>
        <v>1043268.5969767073</v>
      </c>
      <c r="BL244" s="37">
        <f t="shared" si="61"/>
        <v>1026955.0769767073</v>
      </c>
      <c r="BM244" s="37">
        <f t="shared" si="61"/>
        <v>1042909.9969767074</v>
      </c>
      <c r="BN244" s="37">
        <f t="shared" si="61"/>
        <v>1044621.6969767074</v>
      </c>
      <c r="BO244" s="37">
        <f t="shared" si="61"/>
        <v>683859.81980648264</v>
      </c>
      <c r="BP244" s="37">
        <f>SUM(BP5:BP243)</f>
        <v>361264.47717022442</v>
      </c>
    </row>
    <row r="245" spans="1:68" s="24" customFormat="1" ht="12" customHeight="1" x14ac:dyDescent="0.25">
      <c r="A245" s="38"/>
      <c r="B245" s="38"/>
      <c r="C245" s="38"/>
      <c r="D245" s="39"/>
      <c r="E245" s="38"/>
      <c r="F245" s="39"/>
      <c r="G245" s="40"/>
      <c r="H245" s="40"/>
      <c r="I245" s="40"/>
      <c r="J245" s="40"/>
      <c r="K245" s="40"/>
      <c r="L245" s="40"/>
      <c r="M245" s="40"/>
      <c r="N245" s="40"/>
      <c r="O245" s="40"/>
      <c r="P245" s="38"/>
      <c r="Q245" s="38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S245" s="40"/>
      <c r="AT245" s="40"/>
    </row>
    <row r="246" spans="1:68" s="24" customFormat="1" ht="12" customHeight="1" x14ac:dyDescent="0.25">
      <c r="A246" s="38"/>
      <c r="B246" s="38"/>
      <c r="C246" s="38"/>
      <c r="D246" s="38"/>
      <c r="E246" s="38"/>
      <c r="F246" s="38"/>
      <c r="G246" s="40"/>
      <c r="H246" s="40"/>
      <c r="I246" s="40"/>
      <c r="J246" s="40"/>
      <c r="K246" s="40"/>
      <c r="L246" s="40"/>
      <c r="M246" s="40"/>
      <c r="N246" s="40"/>
      <c r="O246" s="40"/>
      <c r="P246" s="38"/>
      <c r="Q246" s="38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S246" s="40"/>
      <c r="AT246" s="40"/>
    </row>
    <row r="247" spans="1:68" s="24" customFormat="1" ht="12" customHeight="1" x14ac:dyDescent="0.25">
      <c r="A247" s="38"/>
      <c r="B247" s="38"/>
      <c r="C247" s="38"/>
      <c r="D247" s="38"/>
      <c r="E247" s="38"/>
      <c r="F247" s="38"/>
      <c r="G247" s="40"/>
      <c r="H247" s="40"/>
      <c r="I247" s="40"/>
      <c r="J247" s="40"/>
      <c r="K247" s="40"/>
      <c r="L247" s="40"/>
      <c r="M247" s="40"/>
      <c r="N247" s="40"/>
      <c r="O247" s="40"/>
      <c r="P247" s="38"/>
      <c r="Q247" s="38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S247" s="40"/>
      <c r="AT247" s="40"/>
    </row>
  </sheetData>
  <autoFilter ref="A4:BP244"/>
  <mergeCells count="56">
    <mergeCell ref="A1:A4"/>
    <mergeCell ref="B1:B4"/>
    <mergeCell ref="Q1:Q4"/>
    <mergeCell ref="C1:C4"/>
    <mergeCell ref="D1:E1"/>
    <mergeCell ref="F1:F4"/>
    <mergeCell ref="G1:J1"/>
    <mergeCell ref="K1:K4"/>
    <mergeCell ref="D2:D4"/>
    <mergeCell ref="E2:E4"/>
    <mergeCell ref="G2:H3"/>
    <mergeCell ref="I2:J3"/>
    <mergeCell ref="L1:L4"/>
    <mergeCell ref="M1:M4"/>
    <mergeCell ref="N1:N4"/>
    <mergeCell ref="O1:O4"/>
    <mergeCell ref="P1:P4"/>
    <mergeCell ref="AM1:AU1"/>
    <mergeCell ref="AV1:AY1"/>
    <mergeCell ref="S2:S4"/>
    <mergeCell ref="T2:T4"/>
    <mergeCell ref="U2:U4"/>
    <mergeCell ref="V2:V4"/>
    <mergeCell ref="AB2:AC2"/>
    <mergeCell ref="R1:R4"/>
    <mergeCell ref="S1:Z1"/>
    <mergeCell ref="AA1:AE1"/>
    <mergeCell ref="AF1:AL1"/>
    <mergeCell ref="W2:W4"/>
    <mergeCell ref="X2:X4"/>
    <mergeCell ref="Y2:Y4"/>
    <mergeCell ref="Z2:Z4"/>
    <mergeCell ref="AA2:AA3"/>
    <mergeCell ref="AS2:AT2"/>
    <mergeCell ref="AD2:AD3"/>
    <mergeCell ref="AE2:AE3"/>
    <mergeCell ref="AF2:AF3"/>
    <mergeCell ref="AG2:AH2"/>
    <mergeCell ref="AI2:AI3"/>
    <mergeCell ref="AJ2:AJ3"/>
    <mergeCell ref="BA3:BA4"/>
    <mergeCell ref="BC3:BG3"/>
    <mergeCell ref="BI3:BP3"/>
    <mergeCell ref="K99:K100"/>
    <mergeCell ref="A244:B244"/>
    <mergeCell ref="AU2:AU3"/>
    <mergeCell ref="AV2:AV4"/>
    <mergeCell ref="AW2:AY2"/>
    <mergeCell ref="AW3:AW4"/>
    <mergeCell ref="AX3:AX4"/>
    <mergeCell ref="AY3:AY4"/>
    <mergeCell ref="AK2:AL2"/>
    <mergeCell ref="AM2:AM3"/>
    <mergeCell ref="AN2:AP2"/>
    <mergeCell ref="AQ2:AQ3"/>
    <mergeCell ref="AR2:AR3"/>
  </mergeCells>
  <pageMargins left="0.25" right="0.25" top="0.75" bottom="0.75" header="0.3" footer="0.3"/>
  <pageSetup paperSize="9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I254"/>
  <sheetViews>
    <sheetView zoomScaleNormal="100" workbookViewId="0">
      <pane xSplit="2" ySplit="4" topLeftCell="BY21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Row="1" outlineLevelCol="1" x14ac:dyDescent="0.25"/>
  <cols>
    <col min="1" max="1" width="5.7109375" style="1" customWidth="1"/>
    <col min="2" max="2" width="50.7109375" style="1" customWidth="1"/>
    <col min="3" max="6" width="10.7109375" style="1" hidden="1" customWidth="1" outlineLevel="1"/>
    <col min="7" max="7" width="10.7109375" style="1" customWidth="1" collapsed="1"/>
    <col min="8" max="12" width="10.7109375" style="1" hidden="1" customWidth="1" outlineLevel="1"/>
    <col min="13" max="13" width="8.7109375" style="1" hidden="1" customWidth="1" outlineLevel="1"/>
    <col min="14" max="14" width="10.7109375" style="1" hidden="1" customWidth="1" outlineLevel="1"/>
    <col min="15" max="15" width="8.7109375" style="1" hidden="1" customWidth="1" outlineLevel="1"/>
    <col min="16" max="16" width="10.7109375" style="1" hidden="1" customWidth="1" outlineLevel="1"/>
    <col min="17" max="17" width="8.7109375" style="1" hidden="1" customWidth="1" outlineLevel="1"/>
    <col min="18" max="18" width="10.7109375" style="1" hidden="1" customWidth="1" outlineLevel="1"/>
    <col min="19" max="19" width="10.7109375" style="1" customWidth="1" collapsed="1"/>
    <col min="20" max="20" width="10.7109375" style="1" customWidth="1"/>
    <col min="21" max="28" width="8.7109375" style="1" hidden="1" customWidth="1" outlineLevel="1"/>
    <col min="29" max="29" width="2.7109375" style="1" customWidth="1" collapsed="1"/>
    <col min="30" max="30" width="10.7109375" style="1"/>
    <col min="31" max="31" width="10.7109375" style="1" customWidth="1"/>
    <col min="32" max="38" width="10.7109375" style="1" hidden="1" customWidth="1" outlineLevel="1"/>
    <col min="39" max="39" width="10.7109375" style="1" customWidth="1" collapsed="1"/>
    <col min="40" max="42" width="10.7109375" style="1" hidden="1" customWidth="1" outlineLevel="1"/>
    <col min="43" max="43" width="10.7109375" style="1" customWidth="1" collapsed="1"/>
    <col min="44" max="45" width="10.7109375" style="1" hidden="1" customWidth="1" outlineLevel="1"/>
    <col min="46" max="46" width="10.7109375" style="1" customWidth="1" collapsed="1"/>
    <col min="47" max="47" width="10.7109375" style="1" customWidth="1"/>
    <col min="48" max="49" width="10.7109375" style="1" hidden="1" customWidth="1" outlineLevel="1"/>
    <col min="50" max="50" width="10.7109375" style="1" customWidth="1" collapsed="1"/>
    <col min="51" max="52" width="10.7109375" style="1" hidden="1" customWidth="1" outlineLevel="1"/>
    <col min="53" max="53" width="10.7109375" style="1" customWidth="1" collapsed="1"/>
    <col min="54" max="56" width="10.7109375" style="1" hidden="1" customWidth="1" outlineLevel="1"/>
    <col min="57" max="57" width="10.7109375" style="1" customWidth="1" collapsed="1"/>
    <col min="58" max="58" width="10.7109375" style="1" customWidth="1"/>
    <col min="59" max="64" width="10.7109375" style="1" hidden="1" customWidth="1" outlineLevel="1"/>
    <col min="65" max="65" width="10.7109375" style="1" customWidth="1" collapsed="1"/>
    <col min="66" max="67" width="10.7109375" style="1" hidden="1" customWidth="1" outlineLevel="1"/>
    <col min="68" max="68" width="10.7109375" style="1" customWidth="1" collapsed="1"/>
    <col min="69" max="71" width="10.7109375" style="1" customWidth="1"/>
    <col min="72" max="73" width="10.7109375" style="1" hidden="1" customWidth="1" outlineLevel="1"/>
    <col min="74" max="74" width="10.7109375" style="1" customWidth="1" collapsed="1"/>
    <col min="75" max="76" width="10.7109375" style="1" customWidth="1"/>
    <col min="77" max="77" width="10.7109375" style="1"/>
    <col min="78" max="92" width="10.7109375" style="1" hidden="1" customWidth="1" outlineLevel="1"/>
    <col min="93" max="93" width="10.7109375" style="1" customWidth="1" collapsed="1"/>
    <col min="94" max="103" width="10.7109375" style="1" hidden="1" customWidth="1" outlineLevel="1"/>
    <col min="104" max="104" width="10.7109375" style="1" customWidth="1" collapsed="1"/>
    <col min="105" max="111" width="10.7109375" style="1" hidden="1" customWidth="1" outlineLevel="1"/>
    <col min="112" max="112" width="10.7109375" style="1" customWidth="1" collapsed="1"/>
    <col min="113" max="115" width="11" style="1" hidden="1" customWidth="1" outlineLevel="1"/>
    <col min="116" max="116" width="10.7109375" style="1" collapsed="1"/>
    <col min="117" max="119" width="10.7109375" style="1" hidden="1" customWidth="1" outlineLevel="1"/>
    <col min="120" max="120" width="10.7109375" style="1" collapsed="1"/>
    <col min="121" max="123" width="10.7109375" style="1" hidden="1" customWidth="1" outlineLevel="1"/>
    <col min="124" max="124" width="10.7109375" style="1" customWidth="1" collapsed="1"/>
    <col min="125" max="127" width="10.7109375" style="1" hidden="1" customWidth="1" outlineLevel="1"/>
    <col min="128" max="128" width="10.7109375" style="1" customWidth="1" collapsed="1"/>
    <col min="129" max="129" width="10.7109375" style="1"/>
    <col min="130" max="130" width="10.7109375" style="1" customWidth="1"/>
    <col min="131" max="131" width="2.7109375" style="1" customWidth="1" collapsed="1"/>
    <col min="132" max="132" width="10.7109375" style="1" customWidth="1"/>
    <col min="133" max="135" width="10.7109375" style="1"/>
    <col min="136" max="136" width="10.7109375" style="1" hidden="1" customWidth="1" outlineLevel="1"/>
    <col min="137" max="137" width="12.140625" style="1" hidden="1" customWidth="1" outlineLevel="1"/>
    <col min="138" max="138" width="10.7109375" style="1" hidden="1" customWidth="1" outlineLevel="1"/>
    <col min="139" max="139" width="10.7109375" style="1" collapsed="1"/>
    <col min="140" max="16384" width="10.7109375" style="1"/>
  </cols>
  <sheetData>
    <row r="1" spans="1:138" ht="20.100000000000001" customHeight="1" x14ac:dyDescent="0.25">
      <c r="A1" s="210" t="s">
        <v>0</v>
      </c>
      <c r="B1" s="210" t="s">
        <v>1</v>
      </c>
      <c r="C1" s="210" t="s">
        <v>2</v>
      </c>
      <c r="D1" s="210" t="s">
        <v>3</v>
      </c>
      <c r="E1" s="210"/>
      <c r="F1" s="210" t="s">
        <v>4</v>
      </c>
      <c r="G1" s="267" t="s">
        <v>835</v>
      </c>
      <c r="H1" s="267" t="s">
        <v>853</v>
      </c>
      <c r="I1" s="267" t="s">
        <v>858</v>
      </c>
      <c r="J1" s="267" t="s">
        <v>857</v>
      </c>
      <c r="K1" s="210" t="s">
        <v>888</v>
      </c>
      <c r="L1" s="210"/>
      <c r="M1" s="270" t="s">
        <v>860</v>
      </c>
      <c r="N1" s="271"/>
      <c r="O1" s="271"/>
      <c r="P1" s="271"/>
      <c r="Q1" s="271"/>
      <c r="R1" s="272"/>
      <c r="S1" s="210" t="s">
        <v>9</v>
      </c>
      <c r="T1" s="210" t="s">
        <v>834</v>
      </c>
      <c r="U1" s="212" t="s">
        <v>3</v>
      </c>
      <c r="V1" s="212"/>
      <c r="W1" s="212"/>
      <c r="X1" s="212"/>
      <c r="Y1" s="212"/>
      <c r="Z1" s="212"/>
      <c r="AA1" s="212"/>
      <c r="AB1" s="212"/>
      <c r="AC1" s="256" t="s">
        <v>336</v>
      </c>
      <c r="AD1" s="251" t="s">
        <v>20</v>
      </c>
      <c r="AE1" s="251" t="s">
        <v>3</v>
      </c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66" t="s">
        <v>21</v>
      </c>
      <c r="BZ1" s="243" t="s">
        <v>3</v>
      </c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5"/>
      <c r="CO1" s="246" t="s">
        <v>22</v>
      </c>
      <c r="CP1" s="218" t="s">
        <v>3</v>
      </c>
      <c r="CQ1" s="219"/>
      <c r="CR1" s="219"/>
      <c r="CS1" s="219"/>
      <c r="CT1" s="219"/>
      <c r="CU1" s="219"/>
      <c r="CV1" s="219"/>
      <c r="CW1" s="219"/>
      <c r="CX1" s="219"/>
      <c r="CY1" s="220"/>
      <c r="CZ1" s="246" t="s">
        <v>363</v>
      </c>
      <c r="DA1" s="218" t="s">
        <v>3</v>
      </c>
      <c r="DB1" s="219"/>
      <c r="DC1" s="219"/>
      <c r="DD1" s="219"/>
      <c r="DE1" s="219"/>
      <c r="DF1" s="219"/>
      <c r="DG1" s="220"/>
      <c r="DH1" s="246" t="s">
        <v>337</v>
      </c>
      <c r="DI1" s="259" t="s">
        <v>3</v>
      </c>
      <c r="DJ1" s="260"/>
      <c r="DK1" s="261"/>
      <c r="DL1" s="262" t="s">
        <v>338</v>
      </c>
      <c r="DM1" s="262" t="s">
        <v>3</v>
      </c>
      <c r="DN1" s="262"/>
      <c r="DO1" s="262"/>
      <c r="DP1" s="263" t="s">
        <v>26</v>
      </c>
      <c r="DQ1" s="263" t="s">
        <v>3</v>
      </c>
      <c r="DR1" s="263"/>
      <c r="DS1" s="263"/>
      <c r="DT1" s="264" t="s">
        <v>27</v>
      </c>
      <c r="DU1" s="251" t="s">
        <v>3</v>
      </c>
      <c r="DV1" s="251"/>
      <c r="DW1" s="251"/>
      <c r="DX1" s="252" t="s">
        <v>339</v>
      </c>
      <c r="DY1" s="253" t="s">
        <v>1027</v>
      </c>
      <c r="DZ1" s="253" t="s">
        <v>1028</v>
      </c>
      <c r="EA1" s="256" t="s">
        <v>879</v>
      </c>
      <c r="EB1" s="241" t="s">
        <v>880</v>
      </c>
      <c r="EC1" s="241" t="s">
        <v>881</v>
      </c>
      <c r="ED1" s="241" t="s">
        <v>1034</v>
      </c>
      <c r="EE1" s="241" t="s">
        <v>1035</v>
      </c>
      <c r="EF1" s="242" t="s">
        <v>1026</v>
      </c>
      <c r="EH1" s="242" t="s">
        <v>1026</v>
      </c>
    </row>
    <row r="2" spans="1:138" ht="24.95" customHeight="1" x14ac:dyDescent="0.25">
      <c r="A2" s="210"/>
      <c r="B2" s="210"/>
      <c r="C2" s="210"/>
      <c r="D2" s="210" t="s">
        <v>16</v>
      </c>
      <c r="E2" s="210" t="s">
        <v>17</v>
      </c>
      <c r="F2" s="210"/>
      <c r="G2" s="268"/>
      <c r="H2" s="268"/>
      <c r="I2" s="268"/>
      <c r="J2" s="268"/>
      <c r="K2" s="210"/>
      <c r="L2" s="210"/>
      <c r="M2" s="237" t="s">
        <v>861</v>
      </c>
      <c r="N2" s="237" t="s">
        <v>862</v>
      </c>
      <c r="O2" s="237" t="s">
        <v>863</v>
      </c>
      <c r="P2" s="237" t="s">
        <v>864</v>
      </c>
      <c r="Q2" s="237" t="s">
        <v>865</v>
      </c>
      <c r="R2" s="237" t="s">
        <v>866</v>
      </c>
      <c r="S2" s="210"/>
      <c r="T2" s="210"/>
      <c r="U2" s="237" t="s">
        <v>20</v>
      </c>
      <c r="V2" s="237" t="s">
        <v>21</v>
      </c>
      <c r="W2" s="237" t="s">
        <v>22</v>
      </c>
      <c r="X2" s="237" t="s">
        <v>23</v>
      </c>
      <c r="Y2" s="237" t="s">
        <v>24</v>
      </c>
      <c r="Z2" s="237" t="s">
        <v>25</v>
      </c>
      <c r="AA2" s="237" t="s">
        <v>26</v>
      </c>
      <c r="AB2" s="237" t="s">
        <v>27</v>
      </c>
      <c r="AC2" s="257"/>
      <c r="AD2" s="251"/>
      <c r="AE2" s="229" t="s">
        <v>340</v>
      </c>
      <c r="AF2" s="214" t="s">
        <v>3</v>
      </c>
      <c r="AG2" s="215"/>
      <c r="AH2" s="215"/>
      <c r="AI2" s="215"/>
      <c r="AJ2" s="215"/>
      <c r="AK2" s="215"/>
      <c r="AL2" s="216"/>
      <c r="AM2" s="229" t="s">
        <v>341</v>
      </c>
      <c r="AN2" s="213" t="s">
        <v>3</v>
      </c>
      <c r="AO2" s="213"/>
      <c r="AP2" s="213"/>
      <c r="AQ2" s="229" t="s">
        <v>342</v>
      </c>
      <c r="AR2" s="238" t="s">
        <v>3</v>
      </c>
      <c r="AS2" s="240"/>
      <c r="AT2" s="229" t="s">
        <v>343</v>
      </c>
      <c r="AU2" s="229" t="s">
        <v>344</v>
      </c>
      <c r="AV2" s="238" t="s">
        <v>3</v>
      </c>
      <c r="AW2" s="240"/>
      <c r="AX2" s="229" t="s">
        <v>345</v>
      </c>
      <c r="AY2" s="213" t="s">
        <v>3</v>
      </c>
      <c r="AZ2" s="213"/>
      <c r="BA2" s="229" t="s">
        <v>346</v>
      </c>
      <c r="BB2" s="213" t="s">
        <v>3</v>
      </c>
      <c r="BC2" s="213"/>
      <c r="BD2" s="213"/>
      <c r="BE2" s="229" t="s">
        <v>347</v>
      </c>
      <c r="BF2" s="229" t="s">
        <v>348</v>
      </c>
      <c r="BG2" s="213" t="s">
        <v>3</v>
      </c>
      <c r="BH2" s="213"/>
      <c r="BI2" s="213"/>
      <c r="BJ2" s="213"/>
      <c r="BK2" s="213"/>
      <c r="BL2" s="213"/>
      <c r="BM2" s="229" t="s">
        <v>349</v>
      </c>
      <c r="BN2" s="213" t="s">
        <v>3</v>
      </c>
      <c r="BO2" s="213"/>
      <c r="BP2" s="229" t="s">
        <v>350</v>
      </c>
      <c r="BQ2" s="229" t="s">
        <v>827</v>
      </c>
      <c r="BR2" s="229" t="s">
        <v>351</v>
      </c>
      <c r="BS2" s="229" t="s">
        <v>352</v>
      </c>
      <c r="BT2" s="213" t="s">
        <v>3</v>
      </c>
      <c r="BU2" s="213"/>
      <c r="BV2" s="229" t="s">
        <v>385</v>
      </c>
      <c r="BW2" s="229" t="s">
        <v>876</v>
      </c>
      <c r="BX2" s="229" t="s">
        <v>773</v>
      </c>
      <c r="BY2" s="266"/>
      <c r="BZ2" s="230" t="s">
        <v>354</v>
      </c>
      <c r="CA2" s="230" t="s">
        <v>822</v>
      </c>
      <c r="CB2" s="230" t="s">
        <v>823</v>
      </c>
      <c r="CC2" s="230" t="s">
        <v>869</v>
      </c>
      <c r="CD2" s="230" t="s">
        <v>358</v>
      </c>
      <c r="CE2" s="230" t="s">
        <v>357</v>
      </c>
      <c r="CF2" s="230" t="s">
        <v>355</v>
      </c>
      <c r="CG2" s="230" t="s">
        <v>877</v>
      </c>
      <c r="CH2" s="230" t="s">
        <v>356</v>
      </c>
      <c r="CI2" s="230" t="s">
        <v>386</v>
      </c>
      <c r="CJ2" s="230" t="s">
        <v>826</v>
      </c>
      <c r="CK2" s="230" t="s">
        <v>870</v>
      </c>
      <c r="CL2" s="230" t="s">
        <v>360</v>
      </c>
      <c r="CM2" s="230" t="s">
        <v>759</v>
      </c>
      <c r="CN2" s="231" t="s">
        <v>587</v>
      </c>
      <c r="CO2" s="246"/>
      <c r="CP2" s="217" t="s">
        <v>361</v>
      </c>
      <c r="CQ2" s="237" t="s">
        <v>3</v>
      </c>
      <c r="CR2" s="237"/>
      <c r="CS2" s="217" t="s">
        <v>362</v>
      </c>
      <c r="CT2" s="238" t="s">
        <v>3</v>
      </c>
      <c r="CU2" s="239"/>
      <c r="CV2" s="239"/>
      <c r="CW2" s="239"/>
      <c r="CX2" s="239"/>
      <c r="CY2" s="240"/>
      <c r="CZ2" s="246"/>
      <c r="DA2" s="217" t="s">
        <v>363</v>
      </c>
      <c r="DB2" s="237" t="s">
        <v>3</v>
      </c>
      <c r="DC2" s="237"/>
      <c r="DD2" s="217" t="s">
        <v>366</v>
      </c>
      <c r="DE2" s="217" t="s">
        <v>367</v>
      </c>
      <c r="DF2" s="217" t="s">
        <v>368</v>
      </c>
      <c r="DG2" s="217" t="s">
        <v>802</v>
      </c>
      <c r="DH2" s="246"/>
      <c r="DI2" s="234" t="s">
        <v>337</v>
      </c>
      <c r="DJ2" s="234" t="s">
        <v>365</v>
      </c>
      <c r="DK2" s="234" t="s">
        <v>364</v>
      </c>
      <c r="DL2" s="262"/>
      <c r="DM2" s="265" t="s">
        <v>23</v>
      </c>
      <c r="DN2" s="265" t="s">
        <v>24</v>
      </c>
      <c r="DO2" s="265" t="s">
        <v>25</v>
      </c>
      <c r="DP2" s="263"/>
      <c r="DQ2" s="250" t="s">
        <v>369</v>
      </c>
      <c r="DR2" s="250" t="s">
        <v>369</v>
      </c>
      <c r="DS2" s="250" t="s">
        <v>370</v>
      </c>
      <c r="DT2" s="264"/>
      <c r="DU2" s="247" t="s">
        <v>758</v>
      </c>
      <c r="DV2" s="247" t="s">
        <v>758</v>
      </c>
      <c r="DW2" s="247" t="s">
        <v>754</v>
      </c>
      <c r="DX2" s="252"/>
      <c r="DY2" s="254"/>
      <c r="DZ2" s="254"/>
      <c r="EA2" s="257"/>
      <c r="EB2" s="241"/>
      <c r="EC2" s="241"/>
      <c r="ED2" s="241"/>
      <c r="EE2" s="241"/>
      <c r="EF2" s="242"/>
      <c r="EH2" s="242"/>
    </row>
    <row r="3" spans="1:138" ht="24.95" customHeight="1" x14ac:dyDescent="0.25">
      <c r="A3" s="210"/>
      <c r="B3" s="210"/>
      <c r="C3" s="210"/>
      <c r="D3" s="210"/>
      <c r="E3" s="210"/>
      <c r="F3" s="210"/>
      <c r="G3" s="268"/>
      <c r="H3" s="268"/>
      <c r="I3" s="268"/>
      <c r="J3" s="268"/>
      <c r="K3" s="210"/>
      <c r="L3" s="210"/>
      <c r="M3" s="237"/>
      <c r="N3" s="237"/>
      <c r="O3" s="237"/>
      <c r="P3" s="237"/>
      <c r="Q3" s="237"/>
      <c r="R3" s="237"/>
      <c r="S3" s="210"/>
      <c r="T3" s="210"/>
      <c r="U3" s="237"/>
      <c r="V3" s="237"/>
      <c r="W3" s="237"/>
      <c r="X3" s="237"/>
      <c r="Y3" s="237"/>
      <c r="Z3" s="237"/>
      <c r="AA3" s="237"/>
      <c r="AB3" s="237"/>
      <c r="AC3" s="257"/>
      <c r="AD3" s="251"/>
      <c r="AE3" s="229"/>
      <c r="AF3" s="213" t="s">
        <v>871</v>
      </c>
      <c r="AG3" s="213" t="s">
        <v>373</v>
      </c>
      <c r="AH3" s="213" t="s">
        <v>833</v>
      </c>
      <c r="AI3" s="213" t="s">
        <v>872</v>
      </c>
      <c r="AJ3" s="213" t="s">
        <v>372</v>
      </c>
      <c r="AK3" s="213" t="s">
        <v>371</v>
      </c>
      <c r="AL3" s="213" t="s">
        <v>832</v>
      </c>
      <c r="AM3" s="229"/>
      <c r="AN3" s="213" t="s">
        <v>374</v>
      </c>
      <c r="AO3" s="213" t="s">
        <v>375</v>
      </c>
      <c r="AP3" s="213" t="s">
        <v>376</v>
      </c>
      <c r="AQ3" s="229"/>
      <c r="AR3" s="213" t="s">
        <v>342</v>
      </c>
      <c r="AS3" s="213" t="s">
        <v>875</v>
      </c>
      <c r="AT3" s="229"/>
      <c r="AU3" s="229"/>
      <c r="AV3" s="213" t="s">
        <v>344</v>
      </c>
      <c r="AW3" s="213" t="s">
        <v>771</v>
      </c>
      <c r="AX3" s="229"/>
      <c r="AY3" s="213" t="s">
        <v>345</v>
      </c>
      <c r="AZ3" s="213" t="s">
        <v>770</v>
      </c>
      <c r="BA3" s="229"/>
      <c r="BB3" s="213" t="s">
        <v>346</v>
      </c>
      <c r="BC3" s="213" t="s">
        <v>378</v>
      </c>
      <c r="BD3" s="213" t="s">
        <v>379</v>
      </c>
      <c r="BE3" s="229"/>
      <c r="BF3" s="229"/>
      <c r="BG3" s="213" t="s">
        <v>348</v>
      </c>
      <c r="BH3" s="213" t="s">
        <v>380</v>
      </c>
      <c r="BI3" s="213" t="s">
        <v>762</v>
      </c>
      <c r="BJ3" s="213" t="s">
        <v>764</v>
      </c>
      <c r="BK3" s="227" t="s">
        <v>381</v>
      </c>
      <c r="BL3" s="213" t="s">
        <v>382</v>
      </c>
      <c r="BM3" s="229"/>
      <c r="BN3" s="213" t="s">
        <v>349</v>
      </c>
      <c r="BO3" s="213" t="s">
        <v>383</v>
      </c>
      <c r="BP3" s="229"/>
      <c r="BQ3" s="229"/>
      <c r="BR3" s="229"/>
      <c r="BS3" s="229"/>
      <c r="BT3" s="213" t="s">
        <v>384</v>
      </c>
      <c r="BU3" s="213" t="s">
        <v>753</v>
      </c>
      <c r="BV3" s="229"/>
      <c r="BW3" s="229"/>
      <c r="BX3" s="229"/>
      <c r="BY3" s="266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2"/>
      <c r="CO3" s="246"/>
      <c r="CP3" s="217"/>
      <c r="CQ3" s="213" t="s">
        <v>361</v>
      </c>
      <c r="CR3" s="213" t="s">
        <v>361</v>
      </c>
      <c r="CS3" s="217"/>
      <c r="CT3" s="213" t="s">
        <v>401</v>
      </c>
      <c r="CU3" s="213" t="s">
        <v>401</v>
      </c>
      <c r="CV3" s="213" t="s">
        <v>362</v>
      </c>
      <c r="CW3" s="213" t="s">
        <v>362</v>
      </c>
      <c r="CX3" s="213" t="s">
        <v>362</v>
      </c>
      <c r="CY3" s="213" t="s">
        <v>362</v>
      </c>
      <c r="CZ3" s="246"/>
      <c r="DA3" s="217"/>
      <c r="DB3" s="213" t="s">
        <v>363</v>
      </c>
      <c r="DC3" s="213" t="s">
        <v>363</v>
      </c>
      <c r="DD3" s="217"/>
      <c r="DE3" s="217"/>
      <c r="DF3" s="217"/>
      <c r="DG3" s="217"/>
      <c r="DH3" s="246"/>
      <c r="DI3" s="235"/>
      <c r="DJ3" s="235"/>
      <c r="DK3" s="235"/>
      <c r="DL3" s="262"/>
      <c r="DM3" s="265"/>
      <c r="DN3" s="265"/>
      <c r="DO3" s="265"/>
      <c r="DP3" s="263"/>
      <c r="DQ3" s="250"/>
      <c r="DR3" s="250"/>
      <c r="DS3" s="250"/>
      <c r="DT3" s="264"/>
      <c r="DU3" s="248"/>
      <c r="DV3" s="248"/>
      <c r="DW3" s="248"/>
      <c r="DX3" s="252"/>
      <c r="DY3" s="254"/>
      <c r="DZ3" s="254"/>
      <c r="EA3" s="257"/>
      <c r="EB3" s="241"/>
      <c r="EC3" s="241"/>
      <c r="ED3" s="241"/>
      <c r="EE3" s="241"/>
      <c r="EF3" s="242"/>
      <c r="EH3" s="242"/>
    </row>
    <row r="4" spans="1:138" ht="20.100000000000001" customHeight="1" x14ac:dyDescent="0.25">
      <c r="A4" s="210"/>
      <c r="B4" s="210"/>
      <c r="C4" s="210"/>
      <c r="D4" s="210"/>
      <c r="E4" s="210"/>
      <c r="F4" s="210"/>
      <c r="G4" s="269"/>
      <c r="H4" s="269"/>
      <c r="I4" s="269"/>
      <c r="J4" s="269"/>
      <c r="K4" s="163" t="s">
        <v>889</v>
      </c>
      <c r="L4" s="163" t="s">
        <v>890</v>
      </c>
      <c r="M4" s="237"/>
      <c r="N4" s="237"/>
      <c r="O4" s="237"/>
      <c r="P4" s="237"/>
      <c r="Q4" s="237"/>
      <c r="R4" s="237"/>
      <c r="S4" s="210"/>
      <c r="T4" s="210"/>
      <c r="U4" s="237"/>
      <c r="V4" s="237"/>
      <c r="W4" s="237"/>
      <c r="X4" s="237"/>
      <c r="Y4" s="237"/>
      <c r="Z4" s="237"/>
      <c r="AA4" s="237"/>
      <c r="AB4" s="237"/>
      <c r="AC4" s="257"/>
      <c r="AD4" s="251"/>
      <c r="AE4" s="229"/>
      <c r="AF4" s="213"/>
      <c r="AG4" s="213"/>
      <c r="AH4" s="213"/>
      <c r="AI4" s="213"/>
      <c r="AJ4" s="213"/>
      <c r="AK4" s="213"/>
      <c r="AL4" s="213"/>
      <c r="AM4" s="229"/>
      <c r="AN4" s="213"/>
      <c r="AO4" s="213"/>
      <c r="AP4" s="213"/>
      <c r="AQ4" s="229"/>
      <c r="AR4" s="213"/>
      <c r="AS4" s="213"/>
      <c r="AT4" s="229"/>
      <c r="AU4" s="229"/>
      <c r="AV4" s="213"/>
      <c r="AW4" s="213"/>
      <c r="AX4" s="229"/>
      <c r="AY4" s="213"/>
      <c r="AZ4" s="213"/>
      <c r="BA4" s="229"/>
      <c r="BB4" s="213"/>
      <c r="BC4" s="213"/>
      <c r="BD4" s="213"/>
      <c r="BE4" s="229"/>
      <c r="BF4" s="229"/>
      <c r="BG4" s="213"/>
      <c r="BH4" s="213"/>
      <c r="BI4" s="213"/>
      <c r="BJ4" s="213"/>
      <c r="BK4" s="228"/>
      <c r="BL4" s="213"/>
      <c r="BM4" s="229"/>
      <c r="BN4" s="213"/>
      <c r="BO4" s="213"/>
      <c r="BP4" s="229"/>
      <c r="BQ4" s="229"/>
      <c r="BR4" s="229"/>
      <c r="BS4" s="229"/>
      <c r="BT4" s="213"/>
      <c r="BU4" s="213"/>
      <c r="BV4" s="229"/>
      <c r="BW4" s="229"/>
      <c r="BX4" s="229"/>
      <c r="BY4" s="266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3"/>
      <c r="CO4" s="246"/>
      <c r="CP4" s="217"/>
      <c r="CQ4" s="213"/>
      <c r="CR4" s="213"/>
      <c r="CS4" s="217"/>
      <c r="CT4" s="213"/>
      <c r="CU4" s="213"/>
      <c r="CV4" s="213"/>
      <c r="CW4" s="213"/>
      <c r="CX4" s="213"/>
      <c r="CY4" s="213"/>
      <c r="CZ4" s="246"/>
      <c r="DA4" s="217"/>
      <c r="DB4" s="213"/>
      <c r="DC4" s="213"/>
      <c r="DD4" s="217"/>
      <c r="DE4" s="217"/>
      <c r="DF4" s="217"/>
      <c r="DG4" s="217"/>
      <c r="DH4" s="246"/>
      <c r="DI4" s="236"/>
      <c r="DJ4" s="236"/>
      <c r="DK4" s="236"/>
      <c r="DL4" s="262"/>
      <c r="DM4" s="265"/>
      <c r="DN4" s="265"/>
      <c r="DO4" s="265"/>
      <c r="DP4" s="263"/>
      <c r="DQ4" s="250"/>
      <c r="DR4" s="250"/>
      <c r="DS4" s="250"/>
      <c r="DT4" s="264"/>
      <c r="DU4" s="249"/>
      <c r="DV4" s="249"/>
      <c r="DW4" s="249"/>
      <c r="DX4" s="252"/>
      <c r="DY4" s="254"/>
      <c r="DZ4" s="255"/>
      <c r="EA4" s="257"/>
      <c r="EB4" s="241"/>
      <c r="EC4" s="241"/>
      <c r="ED4" s="241"/>
      <c r="EE4" s="241"/>
      <c r="EF4" s="242"/>
      <c r="EH4" s="242"/>
    </row>
    <row r="5" spans="1:138" ht="12" customHeight="1" x14ac:dyDescent="0.25">
      <c r="A5" s="5">
        <v>1</v>
      </c>
      <c r="B5" s="6" t="s">
        <v>70</v>
      </c>
      <c r="C5" s="7">
        <f t="shared" ref="C5:C68" si="0">SUM(D5:E5)</f>
        <v>599.6</v>
      </c>
      <c r="D5" s="8">
        <v>599.6</v>
      </c>
      <c r="E5" s="8">
        <v>0</v>
      </c>
      <c r="F5" s="8">
        <v>47.8</v>
      </c>
      <c r="G5" s="87">
        <f t="shared" ref="G5:G68" si="1">C5</f>
        <v>599.6</v>
      </c>
      <c r="H5" s="87">
        <f t="shared" ref="H5:H68" si="2">IF(AB5&gt;0,G5,0)</f>
        <v>599.6</v>
      </c>
      <c r="I5" s="91">
        <v>0</v>
      </c>
      <c r="J5" s="112">
        <v>0</v>
      </c>
      <c r="K5" s="17">
        <v>0</v>
      </c>
      <c r="L5" s="112">
        <f>K5*100/$K$244/100</f>
        <v>0</v>
      </c>
      <c r="M5" s="116">
        <v>3.406428685790527</v>
      </c>
      <c r="N5" s="120">
        <f>IF(M5&gt;0,G5,0)</f>
        <v>599.6</v>
      </c>
      <c r="O5" s="116">
        <v>3.0862380253502337</v>
      </c>
      <c r="P5" s="120">
        <f>IF(O5&gt;0,G5,0)</f>
        <v>599.6</v>
      </c>
      <c r="Q5" s="116">
        <v>0</v>
      </c>
      <c r="R5" s="120">
        <f>IF(Q5&gt;0,G5,0)</f>
        <v>0</v>
      </c>
      <c r="S5" s="5" t="s">
        <v>73</v>
      </c>
      <c r="T5" s="87">
        <v>28.44</v>
      </c>
      <c r="U5" s="88">
        <v>4.68</v>
      </c>
      <c r="V5" s="88">
        <v>6.05</v>
      </c>
      <c r="W5" s="88">
        <v>8.24</v>
      </c>
      <c r="X5" s="88">
        <v>6.34</v>
      </c>
      <c r="Y5" s="88">
        <v>2.89</v>
      </c>
      <c r="Z5" s="88">
        <v>0</v>
      </c>
      <c r="AA5" s="88">
        <v>0</v>
      </c>
      <c r="AB5" s="88">
        <v>0.24</v>
      </c>
      <c r="AC5" s="257"/>
      <c r="AD5" s="110">
        <f>SUM(AE5,AM5,AQ5,AT5,AU5,AX5,BA5,BE5,BF5,BM5,BP5,BQ5,BR5,BS5,BV5,BW5,BX5)</f>
        <v>33337.172252178934</v>
      </c>
      <c r="AE5" s="110">
        <f>SUM(AF5:AL5)</f>
        <v>33168.737381414496</v>
      </c>
      <c r="AF5" s="16">
        <f>SUMIF('20.01'!$I:$I,$B:$B,'20.01'!$D:$D)*1.2</f>
        <v>20616.348000000002</v>
      </c>
      <c r="AG5" s="17">
        <f>IF(S5=$S$249,$AG$249,0)/$G$249*G5</f>
        <v>3836.4286440574774</v>
      </c>
      <c r="AH5" s="17">
        <f>$AH$244/$G$244*G5</f>
        <v>457.8539584749314</v>
      </c>
      <c r="AI5" s="16">
        <f>SUMIF('20.01'!$J:$J,$B:$B,'20.01'!$D:$D)*1.2</f>
        <v>0</v>
      </c>
      <c r="AJ5" s="17">
        <f>$AJ$244/$G$244*G5</f>
        <v>186.06155519614242</v>
      </c>
      <c r="AK5" s="17">
        <f>$AK$244/$G$244*G5</f>
        <v>452.64642934170752</v>
      </c>
      <c r="AL5" s="17">
        <f>$AL$244/$G$244*G5</f>
        <v>7619.3987943442335</v>
      </c>
      <c r="AM5" s="110">
        <f>SUM(AN5:AP5)</f>
        <v>0</v>
      </c>
      <c r="AN5" s="17">
        <f>SUMIF('20.01'!$K:$K,$B:$B,'20.01'!$D:$D)*1.2</f>
        <v>0</v>
      </c>
      <c r="AO5" s="17">
        <f>SUMIF('20.01'!$L:$L,$B:$B,'20.01'!$D:$D)*1.2</f>
        <v>0</v>
      </c>
      <c r="AP5" s="17">
        <f>SUMIF('20.01'!$M:$M,$B:$B,'20.01'!$D:$D)*1.2</f>
        <v>0</v>
      </c>
      <c r="AQ5" s="110">
        <f>SUM(AR5:AS5)</f>
        <v>168.43487076443489</v>
      </c>
      <c r="AR5" s="17">
        <f>$AR$244/$G$244*G5</f>
        <v>168.43487076443489</v>
      </c>
      <c r="AS5" s="17">
        <f>(SUMIF('20.01'!$N:$N,$B:$B,'20.01'!$D:$D)+SUMIF('20.01'!$O:$O,$B:$B,'20.01'!$D:$D))*1.2</f>
        <v>0</v>
      </c>
      <c r="AT5" s="110">
        <f>SUMIF('20.01'!$P:$P,$B:$B,'20.01'!$D:$D)*1.2</f>
        <v>0</v>
      </c>
      <c r="AU5" s="110">
        <f>SUM(AV5:AW5)</f>
        <v>0</v>
      </c>
      <c r="AV5" s="17">
        <f>SUMIF('20.01'!$Q:$Q,$B:$B,'20.01'!$D:$D)*1.2</f>
        <v>0</v>
      </c>
      <c r="AW5" s="17">
        <f>SUMIF('20.01'!$R:$R,$B:$B,'20.01'!$D:$D)*1.2</f>
        <v>0</v>
      </c>
      <c r="AX5" s="110">
        <f>SUM(AY5:AZ5)</f>
        <v>0</v>
      </c>
      <c r="AY5" s="17">
        <f>SUMIF('20.01'!$S:$S,$B:$B,'20.01'!$D:$D)*1.2</f>
        <v>0</v>
      </c>
      <c r="AZ5" s="17">
        <f>SUMIF('20.01'!$T:$T,$B:$B,'20.01'!$D:$D)*1.2</f>
        <v>0</v>
      </c>
      <c r="BA5" s="110">
        <f>SUM(BB5:BD5)</f>
        <v>0</v>
      </c>
      <c r="BB5" s="17">
        <f>SUMIF('20.01'!$U:$U,$B:$B,'20.01'!$D:$D)*1.2</f>
        <v>0</v>
      </c>
      <c r="BC5" s="17">
        <f>SUMIF('20.01'!$V:$V,$B:$B,'20.01'!$D:$D)*1.2</f>
        <v>0</v>
      </c>
      <c r="BD5" s="17">
        <f>SUMIF('20.01'!$W:$W,$B:$B,'20.01'!$D:$D)*1.2</f>
        <v>0</v>
      </c>
      <c r="BE5" s="110">
        <f>SUMIF('20.01'!$X:$X,$B:$B,'20.01'!$D:$D)*1.2</f>
        <v>0</v>
      </c>
      <c r="BF5" s="110">
        <f>SUM(BG5:BL5)</f>
        <v>0</v>
      </c>
      <c r="BG5" s="17">
        <f>SUMIF('20.01'!$Y:$Y,$B:$B,'20.01'!$D:$D)*1.2</f>
        <v>0</v>
      </c>
      <c r="BH5" s="17">
        <f>SUMIF('20.01'!$Z:$Z,$B:$B,'20.01'!$D:$D)*1.2</f>
        <v>0</v>
      </c>
      <c r="BI5" s="17">
        <f>SUMIF('20.01'!$AA:$AA,$B:$B,'20.01'!$D:$D)*1.2</f>
        <v>0</v>
      </c>
      <c r="BJ5" s="17">
        <f>SUMIF('20.01'!$AB:$AB,$B:$B,'20.01'!$D:$D)*1.2</f>
        <v>0</v>
      </c>
      <c r="BK5" s="17">
        <f>SUMIF('20.01'!$AC:$AC,$B:$B,'20.01'!$D:$D)*1.2</f>
        <v>0</v>
      </c>
      <c r="BL5" s="17">
        <f>SUMIF('20.01'!$AD:$AD,$B:$B,'20.01'!$D:$D)*1.2</f>
        <v>0</v>
      </c>
      <c r="BM5" s="110">
        <f>SUM(BN5:BO5)</f>
        <v>0</v>
      </c>
      <c r="BN5" s="17">
        <f>SUMIF('20.01'!$AE:$AE,$B:$B,'20.01'!$D:$D)*1.2</f>
        <v>0</v>
      </c>
      <c r="BO5" s="17">
        <f>SUMIF('20.01'!$AF:$AF,$B:$B,'20.01'!$D:$D)*1.2</f>
        <v>0</v>
      </c>
      <c r="BP5" s="110">
        <f>SUMIF('20.01'!$AG:$AG,$B:$B,'20.01'!$D:$D)*1.2</f>
        <v>0</v>
      </c>
      <c r="BQ5" s="110">
        <f>SUMIF('20.01'!$AH:$AH,$B:$B,'20.01'!$D:$D)*1.2</f>
        <v>0</v>
      </c>
      <c r="BR5" s="110">
        <f>SUMIF('20.01'!$AI:$AI,$B:$B,'20.01'!$D:$D)*1.2</f>
        <v>0</v>
      </c>
      <c r="BS5" s="110">
        <f>SUM(BT5:BU5)</f>
        <v>0</v>
      </c>
      <c r="BT5" s="17">
        <f>SUMIF('20.01'!$AJ:$AJ,$B:$B,'20.01'!$D:$D)*1.2</f>
        <v>0</v>
      </c>
      <c r="BU5" s="17">
        <f>SUMIF('20.01'!$AK:$AK,$B:$B,'20.01'!$D:$D)*1.2</f>
        <v>0</v>
      </c>
      <c r="BV5" s="110">
        <f>SUMIF('20.01'!$AL:$AL,$B:$B,'20.01'!$D:$D)*1.2</f>
        <v>0</v>
      </c>
      <c r="BW5" s="110">
        <f>SUMIF('20.01'!$AM:$AM,$B:$B,'20.01'!$D:$D)*1.2</f>
        <v>0</v>
      </c>
      <c r="BX5" s="110">
        <f>SUMIF('20.01'!$AN:$AN,$B:$B,'20.01'!$D:$D)*1.2</f>
        <v>0</v>
      </c>
      <c r="BY5" s="110">
        <f t="shared" ref="BY5:BY68" si="3">SUM(BZ5:CN5)</f>
        <v>89441.991725541971</v>
      </c>
      <c r="BZ5" s="17">
        <f t="shared" ref="BZ5:BZ23" si="4">IF(S5=$S$249,$BZ$249,0)/$G$249*G5</f>
        <v>52069.708107421655</v>
      </c>
      <c r="CA5" s="17">
        <f t="shared" ref="CA5:CA68" si="5">$CA$244/$G$244*G5</f>
        <v>3718.8875777636049</v>
      </c>
      <c r="CB5" s="17">
        <f t="shared" ref="CB5:CB68" si="6">$CB$244/$G$244*G5</f>
        <v>247.21259944844499</v>
      </c>
      <c r="CC5" s="17">
        <f>SUMIF('20.01'!$AO:$AO,$B:$B,'20.01'!$D:$D)*1.2</f>
        <v>0</v>
      </c>
      <c r="CD5" s="17">
        <f t="shared" ref="CD5:CD68" si="7">$CD$244/$G$244*G5</f>
        <v>3880.9867296291536</v>
      </c>
      <c r="CE5" s="17">
        <f>SUMIF('20.01'!$AQ:$AQ,$B:$B,'20.01'!$D:$D)*1.2</f>
        <v>0</v>
      </c>
      <c r="CF5" s="17">
        <f t="shared" ref="CF5:CF68" si="8">$CF$244/$G$244*G5</f>
        <v>353.10844188626544</v>
      </c>
      <c r="CG5" s="17">
        <f>SUMIF('20.01'!$AR:$AR,$B:$B,'20.01'!$D:$D)*1.2</f>
        <v>28758.263999999999</v>
      </c>
      <c r="CH5" s="17">
        <f t="shared" ref="CH5:CH68" si="9">$CH$244/$G$244*G5</f>
        <v>207.95525029486103</v>
      </c>
      <c r="CI5" s="17">
        <f>SUMIF('20.01'!$AT:$AT,$B:$B,'20.01'!$D:$D)*1.2</f>
        <v>0</v>
      </c>
      <c r="CJ5" s="17">
        <f>SUMIF('20.01'!$AU:$AU,$B:$B,'20.01'!$D:$D)*1.2</f>
        <v>0</v>
      </c>
      <c r="CK5" s="17">
        <f>SUMIF('20.01'!$AV:$AV,$B:$B,'20.01'!$D:$D)*1.2</f>
        <v>0</v>
      </c>
      <c r="CL5" s="17">
        <f t="shared" ref="CL5:CL68" si="10">$CL$244/$G$244*G5</f>
        <v>205.86901909798181</v>
      </c>
      <c r="CM5" s="17">
        <f>SUMIF('20.01'!$AW:$AW,$B:$B,'20.01'!$D:$D)*1.2</f>
        <v>0</v>
      </c>
      <c r="CN5" s="17">
        <f>SUMIF('20.01'!$AX:$AX,$B:$B,'20.01'!$D:$D)*1.2</f>
        <v>0</v>
      </c>
      <c r="CO5" s="110">
        <f>SUM(CP5,CS5)</f>
        <v>69061.113648157218</v>
      </c>
      <c r="CP5" s="17">
        <f>SUM(CQ5:CR5)</f>
        <v>54478.264036649889</v>
      </c>
      <c r="CQ5" s="17">
        <f t="shared" ref="CQ5:CQ68" si="11">$CQ$244/$G$244*G5</f>
        <v>16807.294056655548</v>
      </c>
      <c r="CR5" s="17">
        <f t="shared" ref="CR5:CR68" si="12">$CR$244/$G$244*G5</f>
        <v>37670.969979994341</v>
      </c>
      <c r="CS5" s="17">
        <f>SUM(CT5:CY5)</f>
        <v>14582.849611507325</v>
      </c>
      <c r="CT5" s="17">
        <f t="shared" ref="CT5:CT68" si="13">$CT$244/$G$244*G5</f>
        <v>531.2660037993403</v>
      </c>
      <c r="CU5" s="17">
        <f t="shared" ref="CU5:CU68" si="14">$CU$244/$G$244*G5</f>
        <v>513.85827495470062</v>
      </c>
      <c r="CV5" s="17">
        <f t="shared" ref="CV5:CV68" si="15">$CV$244/$G$244*G5</f>
        <v>531.0837580780526</v>
      </c>
      <c r="CW5" s="17">
        <f t="shared" ref="CW5:CW68" si="16">$CW$244/$G$244*G5</f>
        <v>5.5689979504020277</v>
      </c>
      <c r="CX5" s="17">
        <f t="shared" ref="CX5:CX68" si="17">$CX$244/$G$244*G5</f>
        <v>7841.7090021602353</v>
      </c>
      <c r="CY5" s="17">
        <f t="shared" ref="CY5:CY68" si="18">$CY$244/$G$244*G5</f>
        <v>5159.3635745645943</v>
      </c>
      <c r="CZ5" s="110">
        <f>SUM(DA5,DD5,DE5,DF5,DG5)</f>
        <v>17142.77636952039</v>
      </c>
      <c r="DA5" s="17">
        <f>SUM(DB5:DC5)</f>
        <v>647.55790120953816</v>
      </c>
      <c r="DB5" s="17">
        <f t="shared" ref="DB5:DB68" si="19">$DB$244/$G$244*G5</f>
        <v>614.50869413026351</v>
      </c>
      <c r="DC5" s="17">
        <f t="shared" ref="DC5:DC68" si="20">$DC$244/$G$244*G5</f>
        <v>33.049207079274673</v>
      </c>
      <c r="DD5" s="17">
        <f t="shared" ref="DD5:DD68" si="21">$DD$244/$G$244*G5</f>
        <v>1141.0713023192004</v>
      </c>
      <c r="DE5" s="17">
        <f t="shared" ref="DE5:DE68" si="22">$DE$244/$G$244*G5</f>
        <v>393.69966621790422</v>
      </c>
      <c r="DF5" s="17">
        <f t="shared" ref="DF5:DF68" si="23">$DF$244/$G$244*G5</f>
        <v>477.80939331621676</v>
      </c>
      <c r="DG5" s="17">
        <f>$DG$244/$G$244*G5</f>
        <v>14482.638106457529</v>
      </c>
      <c r="DH5" s="110">
        <f>SUM(DI5:DK5)</f>
        <v>10698.431600740092</v>
      </c>
      <c r="DI5" s="17">
        <f t="shared" ref="DI5:DI68" si="24">$DI$244/$G$244*G5</f>
        <v>9596.9293452038255</v>
      </c>
      <c r="DJ5" s="17">
        <f t="shared" ref="DJ5:DJ68" si="25">$DJ$244/$G$244*G5</f>
        <v>1061.3639935384874</v>
      </c>
      <c r="DK5" s="17">
        <f t="shared" ref="DK5:DK68" si="26">$DK$244/$G$244*G5</f>
        <v>40.138261997779082</v>
      </c>
      <c r="DL5" s="110">
        <f>SUM(DM5:DO5)</f>
        <v>63602.566585753055</v>
      </c>
      <c r="DM5" s="17">
        <f t="shared" ref="DM5:DM68" si="27">IF(M5&gt;0,$DM$246*0.53/$N$244*N5,0)</f>
        <v>33709.36029044912</v>
      </c>
      <c r="DN5" s="17">
        <f t="shared" ref="DN5:DN68" si="28">IF(O5&gt;0,$DM$246*0.47/$P$244*P5,0)</f>
        <v>29893.206295303935</v>
      </c>
      <c r="DO5" s="17">
        <f t="shared" ref="DO5:DO68" si="29">IF(Q5&gt;0,$DO$246/$R$244*R5,0)</f>
        <v>0</v>
      </c>
      <c r="DP5" s="110">
        <f>SUM(DQ5:DS5)</f>
        <v>0</v>
      </c>
      <c r="DQ5" s="17">
        <f>SUMIF('20.01'!$BB:$BB,$B:$B,'20.01'!$D:$D)*1.2</f>
        <v>0</v>
      </c>
      <c r="DR5" s="17">
        <f t="shared" ref="DR5:DR68" si="30">$DR$244*J5</f>
        <v>0</v>
      </c>
      <c r="DS5" s="17">
        <f t="shared" ref="DS5:DS68" si="31">$DS$244*J5</f>
        <v>0</v>
      </c>
      <c r="DT5" s="110">
        <f>SUM(DU5:DW5)</f>
        <v>1517.1959999999999</v>
      </c>
      <c r="DU5" s="17">
        <f>SUMIF('20.01'!$BD:$BD,$B:$B,'20.01'!$D:$D)*1.2</f>
        <v>1517.1959999999999</v>
      </c>
      <c r="DV5" s="17">
        <f t="shared" ref="DV5:DV68" si="32">$DV$244/$H$244*H5</f>
        <v>0</v>
      </c>
      <c r="DW5" s="17">
        <f t="shared" ref="DW5:DW68" si="33">$DW$244/$H$244*H5</f>
        <v>0</v>
      </c>
      <c r="DX5" s="110">
        <f t="shared" ref="DX5:DX68" si="34">SUM(AD5,BY5,CO5,CZ5,DH5,DL5,DP5,DT5)</f>
        <v>284801.24818189163</v>
      </c>
      <c r="DY5" s="110"/>
      <c r="DZ5" s="110">
        <f>DX5+DY5</f>
        <v>284801.24818189163</v>
      </c>
      <c r="EA5" s="257"/>
      <c r="EB5" s="110">
        <f t="shared" ref="EB5:EB68" si="35">$EB$245*L5</f>
        <v>0</v>
      </c>
      <c r="EC5" s="110">
        <f>SUMIF(еирц!$B:$B,$B:$B,еирц!$K:$K)</f>
        <v>200710.2</v>
      </c>
      <c r="ED5" s="110">
        <f>SUMIF(еирц!$B:$B,$B:$B,еирц!$P:$P)</f>
        <v>198220.16999999998</v>
      </c>
      <c r="EE5" s="110">
        <f>SUMIF(еирц!$B:$B,$B:$B,еирц!$S:$S)</f>
        <v>176328.44</v>
      </c>
      <c r="EF5" s="177">
        <f>(EB5+EC5)-DX5</f>
        <v>-84091.048181891616</v>
      </c>
      <c r="EG5" s="181">
        <f>IF(EF5&gt;0,EC5/DX5-1,0)</f>
        <v>0</v>
      </c>
      <c r="EH5" s="177">
        <f>(EB5+EC5)-DZ5</f>
        <v>-84091.048181891616</v>
      </c>
    </row>
    <row r="6" spans="1:138" ht="12" customHeight="1" x14ac:dyDescent="0.25">
      <c r="A6" s="5">
        <f>A5+1</f>
        <v>2</v>
      </c>
      <c r="B6" s="6" t="s">
        <v>74</v>
      </c>
      <c r="C6" s="7">
        <f t="shared" si="0"/>
        <v>464.76</v>
      </c>
      <c r="D6" s="8">
        <v>464.76</v>
      </c>
      <c r="E6" s="8">
        <v>0</v>
      </c>
      <c r="F6" s="8">
        <v>59.3</v>
      </c>
      <c r="G6" s="87">
        <f t="shared" si="1"/>
        <v>464.76</v>
      </c>
      <c r="H6" s="87">
        <f t="shared" si="2"/>
        <v>464.76</v>
      </c>
      <c r="I6" s="91">
        <v>0</v>
      </c>
      <c r="J6" s="112">
        <v>0</v>
      </c>
      <c r="K6" s="17">
        <v>0</v>
      </c>
      <c r="L6" s="112">
        <f t="shared" ref="L6:L69" si="36">K6*100/$K$244/100</f>
        <v>0</v>
      </c>
      <c r="M6" s="116">
        <v>3.4064072308660851</v>
      </c>
      <c r="N6" s="120">
        <f t="shared" ref="N6:N69" si="37">IF(M6&gt;0,G6,0)</f>
        <v>464.76</v>
      </c>
      <c r="O6" s="116">
        <v>3.0862518212069436</v>
      </c>
      <c r="P6" s="120">
        <f t="shared" ref="P6:P69" si="38">IF(O6&gt;0,G6,0)</f>
        <v>464.76</v>
      </c>
      <c r="Q6" s="116">
        <v>0</v>
      </c>
      <c r="R6" s="120">
        <f t="shared" ref="R6:R69" si="39">IF(Q6&gt;0,G6,0)</f>
        <v>0</v>
      </c>
      <c r="S6" s="5" t="s">
        <v>73</v>
      </c>
      <c r="T6" s="87">
        <v>28.44</v>
      </c>
      <c r="U6" s="88">
        <v>4.68</v>
      </c>
      <c r="V6" s="88">
        <v>6.05</v>
      </c>
      <c r="W6" s="88">
        <v>8.24</v>
      </c>
      <c r="X6" s="88">
        <v>6.34</v>
      </c>
      <c r="Y6" s="88">
        <v>2.89</v>
      </c>
      <c r="Z6" s="88">
        <v>0</v>
      </c>
      <c r="AA6" s="88">
        <v>0</v>
      </c>
      <c r="AB6" s="88">
        <v>0.24</v>
      </c>
      <c r="AC6" s="257"/>
      <c r="AD6" s="110">
        <f t="shared" ref="AD6:AD69" si="40">SUM(AE6,AM6,AQ6,AT6,AU6,AX6,BA6,BE6,BF6,BM6,BP6,BQ6,BR6,BS6,BV6,BW6,BX6)</f>
        <v>25293.011881658906</v>
      </c>
      <c r="AE6" s="110">
        <f t="shared" ref="AE6:AE69" si="41">SUM(AF6:AL6)</f>
        <v>25162.455192972317</v>
      </c>
      <c r="AF6" s="16">
        <f>SUMIF('20.01'!$I:$I,$B:$B,'20.01'!$D:$D)*1.2</f>
        <v>15432.887999999999</v>
      </c>
      <c r="AG6" s="17">
        <f t="shared" ref="AG6:AG23" si="42">IF(S6=$S$249,$AG$249,0)/$G$249*G6</f>
        <v>2973.6800810743048</v>
      </c>
      <c r="AH6" s="17">
        <f t="shared" ref="AH6:AH69" si="43">$AH$244/$G$244*G6</f>
        <v>354.89026974784707</v>
      </c>
      <c r="AI6" s="16">
        <f>SUMIF('20.01'!$J:$J,$B:$B,'20.01'!$D:$D)*1.2</f>
        <v>0</v>
      </c>
      <c r="AJ6" s="17">
        <f t="shared" ref="AJ6:AJ69" si="44">$AJ$244/$G$244*G6</f>
        <v>144.21942693955828</v>
      </c>
      <c r="AK6" s="17">
        <f t="shared" ref="AK6:AK69" si="45">$AK$244/$G$244*G6</f>
        <v>350.85382671923276</v>
      </c>
      <c r="AL6" s="17">
        <f t="shared" ref="AL6:AL69" si="46">$AL$244/$G$244*G6</f>
        <v>5905.9235884913705</v>
      </c>
      <c r="AM6" s="110">
        <f t="shared" ref="AM6:AM69" si="47">SUM(AN6:AP6)</f>
        <v>0</v>
      </c>
      <c r="AN6" s="17">
        <f>SUMIF('20.01'!$K:$K,$B:$B,'20.01'!$D:$D)*1.2</f>
        <v>0</v>
      </c>
      <c r="AO6" s="17">
        <f>SUMIF('20.01'!$L:$L,$B:$B,'20.01'!$D:$D)*1.2</f>
        <v>0</v>
      </c>
      <c r="AP6" s="17">
        <f>SUMIF('20.01'!$M:$M,$B:$B,'20.01'!$D:$D)*1.2</f>
        <v>0</v>
      </c>
      <c r="AQ6" s="110">
        <f t="shared" ref="AQ6:AQ69" si="48">SUM(AR6:AS6)</f>
        <v>130.55668868658898</v>
      </c>
      <c r="AR6" s="17">
        <f t="shared" ref="AR6:AR69" si="49">$AR$244/$G$244*G6</f>
        <v>130.55668868658898</v>
      </c>
      <c r="AS6" s="17">
        <f>(SUMIF('20.01'!$N:$N,$B:$B,'20.01'!$D:$D)+SUMIF('20.01'!$O:$O,$B:$B,'20.01'!$D:$D))*1.2</f>
        <v>0</v>
      </c>
      <c r="AT6" s="110">
        <f>SUMIF('20.01'!$P:$P,$B:$B,'20.01'!$D:$D)*1.2</f>
        <v>0</v>
      </c>
      <c r="AU6" s="110">
        <f t="shared" ref="AU6:AU69" si="50">SUM(AV6:AW6)</f>
        <v>0</v>
      </c>
      <c r="AV6" s="17">
        <f>SUMIF('20.01'!$Q:$Q,$B:$B,'20.01'!$D:$D)*1.2</f>
        <v>0</v>
      </c>
      <c r="AW6" s="17">
        <f>SUMIF('20.01'!$R:$R,$B:$B,'20.01'!$D:$D)*1.2</f>
        <v>0</v>
      </c>
      <c r="AX6" s="110">
        <f t="shared" ref="AX6:AX69" si="51">SUM(AY6:AZ6)</f>
        <v>0</v>
      </c>
      <c r="AY6" s="17">
        <f>SUMIF('20.01'!$S:$S,$B:$B,'20.01'!$D:$D)*1.2</f>
        <v>0</v>
      </c>
      <c r="AZ6" s="17">
        <f>SUMIF('20.01'!$T:$T,$B:$B,'20.01'!$D:$D)*1.2</f>
        <v>0</v>
      </c>
      <c r="BA6" s="110">
        <f t="shared" ref="BA6:BA69" si="52">SUM(BB6:BD6)</f>
        <v>0</v>
      </c>
      <c r="BB6" s="17">
        <f>SUMIF('20.01'!$U:$U,$B:$B,'20.01'!$D:$D)*1.2</f>
        <v>0</v>
      </c>
      <c r="BC6" s="17">
        <f>SUMIF('20.01'!$V:$V,$B:$B,'20.01'!$D:$D)*1.2</f>
        <v>0</v>
      </c>
      <c r="BD6" s="17">
        <f>SUMIF('20.01'!$W:$W,$B:$B,'20.01'!$D:$D)*1.2</f>
        <v>0</v>
      </c>
      <c r="BE6" s="110">
        <f>SUMIF('20.01'!$X:$X,$B:$B,'20.01'!$D:$D)*1.2</f>
        <v>0</v>
      </c>
      <c r="BF6" s="110">
        <f t="shared" ref="BF6:BF69" si="53">SUM(BG6:BL6)</f>
        <v>0</v>
      </c>
      <c r="BG6" s="17">
        <f>SUMIF('20.01'!$Y:$Y,$B:$B,'20.01'!$D:$D)*1.2</f>
        <v>0</v>
      </c>
      <c r="BH6" s="17">
        <f>SUMIF('20.01'!$Z:$Z,$B:$B,'20.01'!$D:$D)*1.2</f>
        <v>0</v>
      </c>
      <c r="BI6" s="17">
        <f>SUMIF('20.01'!$AA:$AA,$B:$B,'20.01'!$D:$D)*1.2</f>
        <v>0</v>
      </c>
      <c r="BJ6" s="17">
        <f>SUMIF('20.01'!$AB:$AB,$B:$B,'20.01'!$D:$D)*1.2</f>
        <v>0</v>
      </c>
      <c r="BK6" s="17">
        <f>SUMIF('20.01'!$AC:$AC,$B:$B,'20.01'!$D:$D)*1.2</f>
        <v>0</v>
      </c>
      <c r="BL6" s="17">
        <f>SUMIF('20.01'!$AD:$AD,$B:$B,'20.01'!$D:$D)*1.2</f>
        <v>0</v>
      </c>
      <c r="BM6" s="110">
        <f t="shared" ref="BM6:BM69" si="54">SUM(BN6:BO6)</f>
        <v>0</v>
      </c>
      <c r="BN6" s="17">
        <f>SUMIF('20.01'!$AE:$AE,$B:$B,'20.01'!$D:$D)*1.2</f>
        <v>0</v>
      </c>
      <c r="BO6" s="17">
        <f>SUMIF('20.01'!$AF:$AF,$B:$B,'20.01'!$D:$D)*1.2</f>
        <v>0</v>
      </c>
      <c r="BP6" s="110">
        <f>SUMIF('20.01'!$AG:$AG,$B:$B,'20.01'!$D:$D)*1.2</f>
        <v>0</v>
      </c>
      <c r="BQ6" s="110">
        <f>SUMIF('20.01'!$AH:$AH,$B:$B,'20.01'!$D:$D)*1.2</f>
        <v>0</v>
      </c>
      <c r="BR6" s="110">
        <f>SUMIF('20.01'!$AI:$AI,$B:$B,'20.01'!$D:$D)*1.2</f>
        <v>0</v>
      </c>
      <c r="BS6" s="110">
        <f t="shared" ref="BS6:BS69" si="55">SUM(BT6:BU6)</f>
        <v>0</v>
      </c>
      <c r="BT6" s="17">
        <f>SUMIF('20.01'!$AJ:$AJ,$B:$B,'20.01'!$D:$D)*1.2</f>
        <v>0</v>
      </c>
      <c r="BU6" s="17">
        <f>SUMIF('20.01'!$AK:$AK,$B:$B,'20.01'!$D:$D)*1.2</f>
        <v>0</v>
      </c>
      <c r="BV6" s="110">
        <f>SUMIF('20.01'!$AL:$AL,$B:$B,'20.01'!$D:$D)*1.2</f>
        <v>0</v>
      </c>
      <c r="BW6" s="110">
        <f>SUMIF('20.01'!$AM:$AM,$B:$B,'20.01'!$D:$D)*1.2</f>
        <v>0</v>
      </c>
      <c r="BX6" s="110">
        <f>SUMIF('20.01'!$AN:$AN,$B:$B,'20.01'!$D:$D)*1.2</f>
        <v>0</v>
      </c>
      <c r="BY6" s="110">
        <f t="shared" si="3"/>
        <v>53971.857478523831</v>
      </c>
      <c r="BZ6" s="17">
        <f t="shared" si="4"/>
        <v>40360.102635098883</v>
      </c>
      <c r="CA6" s="17">
        <f t="shared" si="5"/>
        <v>2882.5720324239705</v>
      </c>
      <c r="CB6" s="17">
        <f t="shared" si="6"/>
        <v>191.61862528295413</v>
      </c>
      <c r="CC6" s="17">
        <f>SUMIF('20.01'!$AO:$AO,$B:$B,'20.01'!$D:$D)*1.2</f>
        <v>0</v>
      </c>
      <c r="CD6" s="17">
        <f t="shared" si="7"/>
        <v>3008.2177993036112</v>
      </c>
      <c r="CE6" s="17">
        <f>SUMIF('20.01'!$AQ:$AQ,$B:$B,'20.01'!$D:$D)*1.2</f>
        <v>0</v>
      </c>
      <c r="CF6" s="17">
        <f t="shared" si="8"/>
        <v>273.7002659290539</v>
      </c>
      <c r="CG6" s="17">
        <f>SUMIF('20.01'!$AR:$AR,$B:$B,'20.01'!$D:$D)*1.2</f>
        <v>6934.8839999999991</v>
      </c>
      <c r="CH6" s="17">
        <f t="shared" si="9"/>
        <v>161.18959660947232</v>
      </c>
      <c r="CI6" s="17">
        <f>SUMIF('20.01'!$AT:$AT,$B:$B,'20.01'!$D:$D)*1.2</f>
        <v>0</v>
      </c>
      <c r="CJ6" s="17">
        <f>SUMIF('20.01'!$AU:$AU,$B:$B,'20.01'!$D:$D)*1.2</f>
        <v>0</v>
      </c>
      <c r="CK6" s="17">
        <f>SUMIF('20.01'!$AV:$AV,$B:$B,'20.01'!$D:$D)*1.2</f>
        <v>0</v>
      </c>
      <c r="CL6" s="17">
        <f t="shared" si="10"/>
        <v>159.57252387588062</v>
      </c>
      <c r="CM6" s="17">
        <f>SUMIF('20.01'!$AW:$AW,$B:$B,'20.01'!$D:$D)*1.2</f>
        <v>0</v>
      </c>
      <c r="CN6" s="17">
        <f>SUMIF('20.01'!$AX:$AX,$B:$B,'20.01'!$D:$D)*1.2</f>
        <v>0</v>
      </c>
      <c r="CO6" s="110">
        <f t="shared" ref="CO6:CO69" si="56">SUM(CP6,CS6)</f>
        <v>53530.42558225074</v>
      </c>
      <c r="CP6" s="17">
        <f t="shared" ref="CP6:CP69" si="57">SUM(CQ6:CR6)</f>
        <v>42227.014665899602</v>
      </c>
      <c r="CQ6" s="17">
        <f t="shared" si="11"/>
        <v>13027.615052987378</v>
      </c>
      <c r="CR6" s="17">
        <f t="shared" si="12"/>
        <v>29199.399612912224</v>
      </c>
      <c r="CS6" s="17">
        <f t="shared" ref="CS6:CS69" si="58">SUM(CT6:CY6)</f>
        <v>11303.41091635114</v>
      </c>
      <c r="CT6" s="17">
        <f t="shared" si="13"/>
        <v>411.79317532651999</v>
      </c>
      <c r="CU6" s="17">
        <f t="shared" si="14"/>
        <v>398.30015321538798</v>
      </c>
      <c r="CV6" s="17">
        <f t="shared" si="15"/>
        <v>411.65191361633708</v>
      </c>
      <c r="CW6" s="17">
        <f t="shared" si="16"/>
        <v>4.3166235614223583</v>
      </c>
      <c r="CX6" s="17">
        <f t="shared" si="17"/>
        <v>6078.2399530420125</v>
      </c>
      <c r="CY6" s="17">
        <f t="shared" si="18"/>
        <v>3999.1090975894604</v>
      </c>
      <c r="CZ6" s="110">
        <f t="shared" ref="CZ6:CZ69" si="59">SUM(DA6,DD6,DE6,DF6,DG6)</f>
        <v>13287.653011171273</v>
      </c>
      <c r="DA6" s="17">
        <f t="shared" ref="DA6:DA69" si="60">SUM(DB6:DC6)</f>
        <v>501.93297225841383</v>
      </c>
      <c r="DB6" s="17">
        <f t="shared" si="19"/>
        <v>476.31597845894134</v>
      </c>
      <c r="DC6" s="17">
        <f t="shared" si="20"/>
        <v>25.616993799472475</v>
      </c>
      <c r="DD6" s="17">
        <f t="shared" si="21"/>
        <v>884.46347309184728</v>
      </c>
      <c r="DE6" s="17">
        <f t="shared" si="22"/>
        <v>305.16320358811402</v>
      </c>
      <c r="DF6" s="17">
        <f t="shared" si="23"/>
        <v>370.35806143703286</v>
      </c>
      <c r="DG6" s="17">
        <f t="shared" ref="DG6:DG69" si="61">$DG$244/$G$244*G6</f>
        <v>11225.735300795865</v>
      </c>
      <c r="DH6" s="110">
        <f t="shared" ref="DH6:DH69" si="62">SUM(DI6:DK6)</f>
        <v>8292.5334735823308</v>
      </c>
      <c r="DI6" s="17">
        <f t="shared" si="24"/>
        <v>7438.7406312156936</v>
      </c>
      <c r="DJ6" s="17">
        <f t="shared" si="25"/>
        <v>822.68100339717705</v>
      </c>
      <c r="DK6" s="17">
        <f t="shared" si="26"/>
        <v>31.111838969459317</v>
      </c>
      <c r="DL6" s="110">
        <f t="shared" ref="DL6:DL69" si="63">SUM(DM6:DO6)</f>
        <v>49299.414353560016</v>
      </c>
      <c r="DM6" s="17">
        <f t="shared" si="27"/>
        <v>26128.689607386808</v>
      </c>
      <c r="DN6" s="17">
        <f t="shared" si="28"/>
        <v>23170.724746173211</v>
      </c>
      <c r="DO6" s="17">
        <f t="shared" si="29"/>
        <v>0</v>
      </c>
      <c r="DP6" s="110">
        <f t="shared" ref="DP6:DP69" si="64">SUM(DQ6:DS6)</f>
        <v>0</v>
      </c>
      <c r="DQ6" s="17">
        <f>SUMIF('20.01'!$BB:$BB,$B:$B,'20.01'!$D:$D)*1.2</f>
        <v>0</v>
      </c>
      <c r="DR6" s="17">
        <f t="shared" si="30"/>
        <v>0</v>
      </c>
      <c r="DS6" s="17">
        <f t="shared" si="31"/>
        <v>0</v>
      </c>
      <c r="DT6" s="110">
        <f t="shared" ref="DT6:DT69" si="65">SUM(DU6:DW6)</f>
        <v>758.60399999999993</v>
      </c>
      <c r="DU6" s="17">
        <f>SUMIF('20.01'!$BD:$BD,$B:$B,'20.01'!$D:$D)*1.2</f>
        <v>758.60399999999993</v>
      </c>
      <c r="DV6" s="17">
        <f t="shared" si="32"/>
        <v>0</v>
      </c>
      <c r="DW6" s="17">
        <f t="shared" si="33"/>
        <v>0</v>
      </c>
      <c r="DX6" s="110">
        <f t="shared" si="34"/>
        <v>204433.49978074708</v>
      </c>
      <c r="DY6" s="110"/>
      <c r="DZ6" s="110">
        <f t="shared" ref="DZ6:DZ69" si="66">DX6+DY6</f>
        <v>204433.49978074708</v>
      </c>
      <c r="EA6" s="257"/>
      <c r="EB6" s="110">
        <f t="shared" si="35"/>
        <v>0</v>
      </c>
      <c r="EC6" s="110">
        <f>SUMIF(еирц!$B:$B,$B:$B,еирц!$K:$K)</f>
        <v>155573.82</v>
      </c>
      <c r="ED6" s="110">
        <f>SUMIF(еирц!$B:$B,$B:$B,еирц!$P:$P)</f>
        <v>131354.04999999999</v>
      </c>
      <c r="EE6" s="110">
        <f>SUMIF(еирц!$B:$B,$B:$B,еирц!$S:$S)</f>
        <v>112039.07</v>
      </c>
      <c r="EF6" s="177">
        <f t="shared" ref="EF6:EF69" si="67">(EB6+EC6)-DX6</f>
        <v>-48859.679780747072</v>
      </c>
      <c r="EG6" s="181">
        <f t="shared" ref="EG6:EG68" si="68">IF(EF6&gt;0,EC6/DX6-1,0)</f>
        <v>0</v>
      </c>
      <c r="EH6" s="177">
        <f t="shared" ref="EH6:EH69" si="69">(EB6+EC6)-DZ6</f>
        <v>-48859.679780747072</v>
      </c>
    </row>
    <row r="7" spans="1:138" ht="12" customHeight="1" x14ac:dyDescent="0.25">
      <c r="A7" s="5">
        <f t="shared" ref="A7:A70" si="70">A6+1</f>
        <v>3</v>
      </c>
      <c r="B7" s="6" t="s">
        <v>75</v>
      </c>
      <c r="C7" s="7">
        <f t="shared" si="0"/>
        <v>490.28</v>
      </c>
      <c r="D7" s="8">
        <v>490.28</v>
      </c>
      <c r="E7" s="8">
        <v>0</v>
      </c>
      <c r="F7" s="8">
        <v>67.7</v>
      </c>
      <c r="G7" s="87">
        <f t="shared" si="1"/>
        <v>490.28</v>
      </c>
      <c r="H7" s="87">
        <f t="shared" si="2"/>
        <v>490.28</v>
      </c>
      <c r="I7" s="91">
        <v>0</v>
      </c>
      <c r="J7" s="112">
        <v>0</v>
      </c>
      <c r="K7" s="17">
        <v>0</v>
      </c>
      <c r="L7" s="112">
        <f t="shared" si="36"/>
        <v>0</v>
      </c>
      <c r="M7" s="116">
        <v>3.406412172636045</v>
      </c>
      <c r="N7" s="120">
        <f t="shared" si="37"/>
        <v>490.28</v>
      </c>
      <c r="O7" s="116">
        <v>3.0862276250305953</v>
      </c>
      <c r="P7" s="120">
        <f t="shared" si="38"/>
        <v>490.28</v>
      </c>
      <c r="Q7" s="116">
        <v>0</v>
      </c>
      <c r="R7" s="120">
        <f t="shared" si="39"/>
        <v>0</v>
      </c>
      <c r="S7" s="5" t="s">
        <v>73</v>
      </c>
      <c r="T7" s="87">
        <v>28.44</v>
      </c>
      <c r="U7" s="88">
        <v>4.68</v>
      </c>
      <c r="V7" s="88">
        <v>6.05</v>
      </c>
      <c r="W7" s="88">
        <v>8.24</v>
      </c>
      <c r="X7" s="88">
        <v>6.34</v>
      </c>
      <c r="Y7" s="88">
        <v>2.89</v>
      </c>
      <c r="Z7" s="88">
        <v>0</v>
      </c>
      <c r="AA7" s="88">
        <v>0</v>
      </c>
      <c r="AB7" s="88">
        <v>0.24</v>
      </c>
      <c r="AC7" s="257"/>
      <c r="AD7" s="110">
        <f t="shared" si="40"/>
        <v>32917.08388652149</v>
      </c>
      <c r="AE7" s="110">
        <f t="shared" si="41"/>
        <v>24916.490322081216</v>
      </c>
      <c r="AF7" s="16">
        <f>SUMIF('20.01'!$I:$I,$B:$B,'20.01'!$D:$D)*1.2</f>
        <v>14652.671999999999</v>
      </c>
      <c r="AG7" s="17">
        <f t="shared" si="42"/>
        <v>3136.9650360381916</v>
      </c>
      <c r="AH7" s="17">
        <f t="shared" si="43"/>
        <v>374.37731614591286</v>
      </c>
      <c r="AI7" s="16">
        <f>SUMIF('20.01'!$J:$J,$B:$B,'20.01'!$D:$D)*1.2</f>
        <v>0</v>
      </c>
      <c r="AJ7" s="17">
        <f t="shared" si="44"/>
        <v>152.13852448559823</v>
      </c>
      <c r="AK7" s="17">
        <f t="shared" si="45"/>
        <v>370.11923178394318</v>
      </c>
      <c r="AL7" s="17">
        <f t="shared" si="46"/>
        <v>6230.2182136275696</v>
      </c>
      <c r="AM7" s="110">
        <f t="shared" si="47"/>
        <v>0</v>
      </c>
      <c r="AN7" s="17">
        <f>SUMIF('20.01'!$K:$K,$B:$B,'20.01'!$D:$D)*1.2</f>
        <v>0</v>
      </c>
      <c r="AO7" s="17">
        <f>SUMIF('20.01'!$L:$L,$B:$B,'20.01'!$D:$D)*1.2</f>
        <v>0</v>
      </c>
      <c r="AP7" s="17">
        <f>SUMIF('20.01'!$M:$M,$B:$B,'20.01'!$D:$D)*1.2</f>
        <v>0</v>
      </c>
      <c r="AQ7" s="110">
        <f t="shared" si="48"/>
        <v>137.72556444027205</v>
      </c>
      <c r="AR7" s="17">
        <f t="shared" si="49"/>
        <v>137.72556444027205</v>
      </c>
      <c r="AS7" s="17">
        <f>(SUMIF('20.01'!$N:$N,$B:$B,'20.01'!$D:$D)+SUMIF('20.01'!$O:$O,$B:$B,'20.01'!$D:$D))*1.2</f>
        <v>0</v>
      </c>
      <c r="AT7" s="110">
        <f>SUMIF('20.01'!$P:$P,$B:$B,'20.01'!$D:$D)*1.2</f>
        <v>0</v>
      </c>
      <c r="AU7" s="110">
        <f t="shared" si="50"/>
        <v>0</v>
      </c>
      <c r="AV7" s="17">
        <f>SUMIF('20.01'!$Q:$Q,$B:$B,'20.01'!$D:$D)*1.2</f>
        <v>0</v>
      </c>
      <c r="AW7" s="17">
        <f>SUMIF('20.01'!$R:$R,$B:$B,'20.01'!$D:$D)*1.2</f>
        <v>0</v>
      </c>
      <c r="AX7" s="110">
        <f t="shared" si="51"/>
        <v>0</v>
      </c>
      <c r="AY7" s="17">
        <f>SUMIF('20.01'!$S:$S,$B:$B,'20.01'!$D:$D)*1.2</f>
        <v>0</v>
      </c>
      <c r="AZ7" s="17">
        <f>SUMIF('20.01'!$T:$T,$B:$B,'20.01'!$D:$D)*1.2</f>
        <v>0</v>
      </c>
      <c r="BA7" s="110">
        <f t="shared" si="52"/>
        <v>0</v>
      </c>
      <c r="BB7" s="17">
        <f>SUMIF('20.01'!$U:$U,$B:$B,'20.01'!$D:$D)*1.2</f>
        <v>0</v>
      </c>
      <c r="BC7" s="17">
        <f>SUMIF('20.01'!$V:$V,$B:$B,'20.01'!$D:$D)*1.2</f>
        <v>0</v>
      </c>
      <c r="BD7" s="17">
        <f>SUMIF('20.01'!$W:$W,$B:$B,'20.01'!$D:$D)*1.2</f>
        <v>0</v>
      </c>
      <c r="BE7" s="110">
        <f>SUMIF('20.01'!$X:$X,$B:$B,'20.01'!$D:$D)*1.2</f>
        <v>0</v>
      </c>
      <c r="BF7" s="110">
        <f t="shared" si="53"/>
        <v>0</v>
      </c>
      <c r="BG7" s="17">
        <f>SUMIF('20.01'!$Y:$Y,$B:$B,'20.01'!$D:$D)*1.2</f>
        <v>0</v>
      </c>
      <c r="BH7" s="17">
        <f>SUMIF('20.01'!$Z:$Z,$B:$B,'20.01'!$D:$D)*1.2</f>
        <v>0</v>
      </c>
      <c r="BI7" s="17">
        <f>SUMIF('20.01'!$AA:$AA,$B:$B,'20.01'!$D:$D)*1.2</f>
        <v>0</v>
      </c>
      <c r="BJ7" s="17">
        <f>SUMIF('20.01'!$AB:$AB,$B:$B,'20.01'!$D:$D)*1.2</f>
        <v>0</v>
      </c>
      <c r="BK7" s="17">
        <f>SUMIF('20.01'!$AC:$AC,$B:$B,'20.01'!$D:$D)*1.2</f>
        <v>0</v>
      </c>
      <c r="BL7" s="17">
        <f>SUMIF('20.01'!$AD:$AD,$B:$B,'20.01'!$D:$D)*1.2</f>
        <v>0</v>
      </c>
      <c r="BM7" s="110">
        <f t="shared" si="54"/>
        <v>0</v>
      </c>
      <c r="BN7" s="17">
        <f>SUMIF('20.01'!$AE:$AE,$B:$B,'20.01'!$D:$D)*1.2</f>
        <v>0</v>
      </c>
      <c r="BO7" s="17">
        <f>SUMIF('20.01'!$AF:$AF,$B:$B,'20.01'!$D:$D)*1.2</f>
        <v>0</v>
      </c>
      <c r="BP7" s="110">
        <f>SUMIF('20.01'!$AG:$AG,$B:$B,'20.01'!$D:$D)*1.2</f>
        <v>0</v>
      </c>
      <c r="BQ7" s="110">
        <f>SUMIF('20.01'!$AH:$AH,$B:$B,'20.01'!$D:$D)*1.2</f>
        <v>0</v>
      </c>
      <c r="BR7" s="110">
        <f>SUMIF('20.01'!$AI:$AI,$B:$B,'20.01'!$D:$D)*1.2</f>
        <v>0</v>
      </c>
      <c r="BS7" s="110">
        <f t="shared" si="55"/>
        <v>0</v>
      </c>
      <c r="BT7" s="17">
        <f>SUMIF('20.01'!$AJ:$AJ,$B:$B,'20.01'!$D:$D)*1.2</f>
        <v>0</v>
      </c>
      <c r="BU7" s="17">
        <f>SUMIF('20.01'!$AK:$AK,$B:$B,'20.01'!$D:$D)*1.2</f>
        <v>0</v>
      </c>
      <c r="BV7" s="110">
        <f>SUMIF('20.01'!$AL:$AL,$B:$B,'20.01'!$D:$D)*1.2</f>
        <v>7862.8680000000004</v>
      </c>
      <c r="BW7" s="110">
        <f>SUMIF('20.01'!$AM:$AM,$B:$B,'20.01'!$D:$D)*1.2</f>
        <v>0</v>
      </c>
      <c r="BX7" s="110">
        <f>SUMIF('20.01'!$AN:$AN,$B:$B,'20.01'!$D:$D)*1.2</f>
        <v>0</v>
      </c>
      <c r="BY7" s="110">
        <f t="shared" si="3"/>
        <v>54122.704566508866</v>
      </c>
      <c r="BZ7" s="17">
        <f t="shared" si="4"/>
        <v>42576.27833706919</v>
      </c>
      <c r="CA7" s="17">
        <f t="shared" si="5"/>
        <v>3040.8542388691462</v>
      </c>
      <c r="CB7" s="17">
        <f t="shared" si="6"/>
        <v>202.14041570644363</v>
      </c>
      <c r="CC7" s="17">
        <f>SUMIF('20.01'!$AO:$AO,$B:$B,'20.01'!$D:$D)*1.2</f>
        <v>0</v>
      </c>
      <c r="CD7" s="17">
        <f t="shared" si="7"/>
        <v>3173.3992224859594</v>
      </c>
      <c r="CE7" s="17">
        <f>SUMIF('20.01'!$AQ:$AQ,$B:$B,'20.01'!$D:$D)*1.2</f>
        <v>0</v>
      </c>
      <c r="CF7" s="17">
        <f t="shared" si="8"/>
        <v>288.72916425616779</v>
      </c>
      <c r="CG7" s="17">
        <f>SUMIF('20.01'!$AR:$AR,$B:$B,'20.01'!$D:$D)*1.2</f>
        <v>4502.9279999999999</v>
      </c>
      <c r="CH7" s="17">
        <f t="shared" si="9"/>
        <v>170.04052720908015</v>
      </c>
      <c r="CI7" s="17">
        <f>SUMIF('20.01'!$AT:$AT,$B:$B,'20.01'!$D:$D)*1.2</f>
        <v>0</v>
      </c>
      <c r="CJ7" s="17">
        <f>SUMIF('20.01'!$AU:$AU,$B:$B,'20.01'!$D:$D)*1.2</f>
        <v>0</v>
      </c>
      <c r="CK7" s="17">
        <f>SUMIF('20.01'!$AV:$AV,$B:$B,'20.01'!$D:$D)*1.2</f>
        <v>0</v>
      </c>
      <c r="CL7" s="17">
        <f t="shared" si="10"/>
        <v>168.33466091287278</v>
      </c>
      <c r="CM7" s="17">
        <f>SUMIF('20.01'!$AW:$AW,$B:$B,'20.01'!$D:$D)*1.2</f>
        <v>0</v>
      </c>
      <c r="CN7" s="17">
        <f>SUMIF('20.01'!$AX:$AX,$B:$B,'20.01'!$D:$D)*1.2</f>
        <v>0</v>
      </c>
      <c r="CO7" s="110">
        <f t="shared" si="56"/>
        <v>56469.784522045557</v>
      </c>
      <c r="CP7" s="17">
        <f t="shared" si="57"/>
        <v>44545.702621562217</v>
      </c>
      <c r="CQ7" s="17">
        <f t="shared" si="11"/>
        <v>13742.962191622883</v>
      </c>
      <c r="CR7" s="17">
        <f t="shared" si="12"/>
        <v>30802.740429939335</v>
      </c>
      <c r="CS7" s="17">
        <f t="shared" si="58"/>
        <v>11924.081900483339</v>
      </c>
      <c r="CT7" s="17">
        <f t="shared" si="13"/>
        <v>434.40476374706566</v>
      </c>
      <c r="CU7" s="17">
        <f t="shared" si="14"/>
        <v>420.17083896729588</v>
      </c>
      <c r="CV7" s="17">
        <f t="shared" si="15"/>
        <v>434.25574534774455</v>
      </c>
      <c r="CW7" s="17">
        <f t="shared" si="16"/>
        <v>4.5536496249551464</v>
      </c>
      <c r="CX7" s="17">
        <f t="shared" si="17"/>
        <v>6411.9964802853901</v>
      </c>
      <c r="CY7" s="17">
        <f t="shared" si="18"/>
        <v>4218.7004225108885</v>
      </c>
      <c r="CZ7" s="110">
        <f t="shared" si="59"/>
        <v>14017.278849980747</v>
      </c>
      <c r="DA7" s="17">
        <f t="shared" si="60"/>
        <v>529.49414243664501</v>
      </c>
      <c r="DB7" s="17">
        <f t="shared" si="19"/>
        <v>502.47051794227076</v>
      </c>
      <c r="DC7" s="17">
        <f t="shared" si="20"/>
        <v>27.023624494374225</v>
      </c>
      <c r="DD7" s="17">
        <f t="shared" si="21"/>
        <v>933.02941644606005</v>
      </c>
      <c r="DE7" s="17">
        <f t="shared" si="22"/>
        <v>321.91973374468654</v>
      </c>
      <c r="DF7" s="17">
        <f t="shared" si="23"/>
        <v>390.69444522193919</v>
      </c>
      <c r="DG7" s="17">
        <f t="shared" si="61"/>
        <v>11842.141112131416</v>
      </c>
      <c r="DH7" s="110">
        <f t="shared" si="62"/>
        <v>8747.8769933469848</v>
      </c>
      <c r="DI7" s="17">
        <f t="shared" si="24"/>
        <v>7847.2023338334411</v>
      </c>
      <c r="DJ7" s="17">
        <f t="shared" si="25"/>
        <v>867.85446756512601</v>
      </c>
      <c r="DK7" s="17">
        <f t="shared" si="26"/>
        <v>32.820191948417495</v>
      </c>
      <c r="DL7" s="110">
        <f t="shared" si="63"/>
        <v>52006.448208243834</v>
      </c>
      <c r="DM7" s="17">
        <f t="shared" si="27"/>
        <v>27563.417550369231</v>
      </c>
      <c r="DN7" s="17">
        <f t="shared" si="28"/>
        <v>24443.030657874602</v>
      </c>
      <c r="DO7" s="17">
        <f t="shared" si="29"/>
        <v>0</v>
      </c>
      <c r="DP7" s="110">
        <f t="shared" si="64"/>
        <v>0</v>
      </c>
      <c r="DQ7" s="17">
        <f>SUMIF('20.01'!$BB:$BB,$B:$B,'20.01'!$D:$D)*1.2</f>
        <v>0</v>
      </c>
      <c r="DR7" s="17">
        <f t="shared" si="30"/>
        <v>0</v>
      </c>
      <c r="DS7" s="17">
        <f t="shared" si="31"/>
        <v>0</v>
      </c>
      <c r="DT7" s="110">
        <f t="shared" si="65"/>
        <v>758.60399999999993</v>
      </c>
      <c r="DU7" s="17">
        <f>SUMIF('20.01'!$BD:$BD,$B:$B,'20.01'!$D:$D)*1.2</f>
        <v>758.60399999999993</v>
      </c>
      <c r="DV7" s="17">
        <f t="shared" si="32"/>
        <v>0</v>
      </c>
      <c r="DW7" s="17">
        <f t="shared" si="33"/>
        <v>0</v>
      </c>
      <c r="DX7" s="110">
        <f t="shared" si="34"/>
        <v>219039.78102664748</v>
      </c>
      <c r="DY7" s="110"/>
      <c r="DZ7" s="110">
        <f t="shared" si="66"/>
        <v>219039.78102664748</v>
      </c>
      <c r="EA7" s="257"/>
      <c r="EB7" s="110">
        <f t="shared" si="35"/>
        <v>0</v>
      </c>
      <c r="EC7" s="110">
        <f>SUMIF(еирц!$B:$B,$B:$B,еирц!$K:$K)</f>
        <v>164116.38</v>
      </c>
      <c r="ED7" s="110">
        <f>SUMIF(еирц!$B:$B,$B:$B,еирц!$P:$P)</f>
        <v>167224.18000000002</v>
      </c>
      <c r="EE7" s="110">
        <f>SUMIF(еирц!$B:$B,$B:$B,еирц!$S:$S)</f>
        <v>13835.06</v>
      </c>
      <c r="EF7" s="177">
        <f t="shared" si="67"/>
        <v>-54923.40102664748</v>
      </c>
      <c r="EG7" s="181">
        <f t="shared" si="68"/>
        <v>0</v>
      </c>
      <c r="EH7" s="177">
        <f t="shared" si="69"/>
        <v>-54923.40102664748</v>
      </c>
    </row>
    <row r="8" spans="1:138" ht="12" customHeight="1" x14ac:dyDescent="0.25">
      <c r="A8" s="5">
        <f t="shared" si="70"/>
        <v>4</v>
      </c>
      <c r="B8" s="6" t="s">
        <v>76</v>
      </c>
      <c r="C8" s="7">
        <f t="shared" si="0"/>
        <v>1544.17</v>
      </c>
      <c r="D8" s="8">
        <v>1279.77</v>
      </c>
      <c r="E8" s="8">
        <v>264.39999999999998</v>
      </c>
      <c r="F8" s="8">
        <v>217.8</v>
      </c>
      <c r="G8" s="87">
        <f t="shared" si="1"/>
        <v>1544.17</v>
      </c>
      <c r="H8" s="87">
        <f t="shared" si="2"/>
        <v>1544.17</v>
      </c>
      <c r="I8" s="91">
        <v>0</v>
      </c>
      <c r="J8" s="112">
        <v>0</v>
      </c>
      <c r="K8" s="17">
        <v>0</v>
      </c>
      <c r="L8" s="112">
        <f t="shared" si="36"/>
        <v>0</v>
      </c>
      <c r="M8" s="116">
        <v>3.4064174281329134</v>
      </c>
      <c r="N8" s="120">
        <f t="shared" si="37"/>
        <v>1544.17</v>
      </c>
      <c r="O8" s="116">
        <v>3.0862347021377179</v>
      </c>
      <c r="P8" s="120">
        <f t="shared" si="38"/>
        <v>1544.17</v>
      </c>
      <c r="Q8" s="116">
        <v>0</v>
      </c>
      <c r="R8" s="120">
        <f t="shared" si="39"/>
        <v>0</v>
      </c>
      <c r="S8" s="5" t="s">
        <v>73</v>
      </c>
      <c r="T8" s="87">
        <v>28.44</v>
      </c>
      <c r="U8" s="88">
        <v>4.68</v>
      </c>
      <c r="V8" s="88">
        <v>6.05</v>
      </c>
      <c r="W8" s="88">
        <v>8.24</v>
      </c>
      <c r="X8" s="88">
        <v>6.34</v>
      </c>
      <c r="Y8" s="88">
        <v>2.89</v>
      </c>
      <c r="Z8" s="88">
        <v>0</v>
      </c>
      <c r="AA8" s="88">
        <v>0</v>
      </c>
      <c r="AB8" s="88">
        <v>0.24</v>
      </c>
      <c r="AC8" s="257"/>
      <c r="AD8" s="110">
        <f t="shared" si="40"/>
        <v>47984.285552847119</v>
      </c>
      <c r="AE8" s="110">
        <f t="shared" si="41"/>
        <v>47550.509578216836</v>
      </c>
      <c r="AF8" s="16">
        <f>SUMIF('20.01'!$I:$I,$B:$B,'20.01'!$D:$D)*1.2</f>
        <v>15223.92</v>
      </c>
      <c r="AG8" s="17">
        <f t="shared" si="42"/>
        <v>9880.0834211044603</v>
      </c>
      <c r="AH8" s="17">
        <f t="shared" si="43"/>
        <v>1179.1266628723063</v>
      </c>
      <c r="AI8" s="16">
        <f>SUMIF('20.01'!$J:$J,$B:$B,'20.01'!$D:$D)*1.2</f>
        <v>0</v>
      </c>
      <c r="AJ8" s="17">
        <f t="shared" si="44"/>
        <v>479.17056652306076</v>
      </c>
      <c r="AK8" s="17">
        <f t="shared" si="45"/>
        <v>1165.7155383532097</v>
      </c>
      <c r="AL8" s="17">
        <f t="shared" si="46"/>
        <v>19622.493389363801</v>
      </c>
      <c r="AM8" s="110">
        <f t="shared" si="47"/>
        <v>0</v>
      </c>
      <c r="AN8" s="17">
        <f>SUMIF('20.01'!$K:$K,$B:$B,'20.01'!$D:$D)*1.2</f>
        <v>0</v>
      </c>
      <c r="AO8" s="17">
        <f>SUMIF('20.01'!$L:$L,$B:$B,'20.01'!$D:$D)*1.2</f>
        <v>0</v>
      </c>
      <c r="AP8" s="17">
        <f>SUMIF('20.01'!$M:$M,$B:$B,'20.01'!$D:$D)*1.2</f>
        <v>0</v>
      </c>
      <c r="AQ8" s="110">
        <f t="shared" si="48"/>
        <v>433.77597463028252</v>
      </c>
      <c r="AR8" s="17">
        <f t="shared" si="49"/>
        <v>433.77597463028252</v>
      </c>
      <c r="AS8" s="17">
        <f>(SUMIF('20.01'!$N:$N,$B:$B,'20.01'!$D:$D)+SUMIF('20.01'!$O:$O,$B:$B,'20.01'!$D:$D))*1.2</f>
        <v>0</v>
      </c>
      <c r="AT8" s="110">
        <f>SUMIF('20.01'!$P:$P,$B:$B,'20.01'!$D:$D)*1.2</f>
        <v>0</v>
      </c>
      <c r="AU8" s="110">
        <f t="shared" si="50"/>
        <v>0</v>
      </c>
      <c r="AV8" s="17">
        <f>SUMIF('20.01'!$Q:$Q,$B:$B,'20.01'!$D:$D)*1.2</f>
        <v>0</v>
      </c>
      <c r="AW8" s="17">
        <f>SUMIF('20.01'!$R:$R,$B:$B,'20.01'!$D:$D)*1.2</f>
        <v>0</v>
      </c>
      <c r="AX8" s="110">
        <f t="shared" si="51"/>
        <v>0</v>
      </c>
      <c r="AY8" s="17">
        <f>SUMIF('20.01'!$S:$S,$B:$B,'20.01'!$D:$D)*1.2</f>
        <v>0</v>
      </c>
      <c r="AZ8" s="17">
        <f>SUMIF('20.01'!$T:$T,$B:$B,'20.01'!$D:$D)*1.2</f>
        <v>0</v>
      </c>
      <c r="BA8" s="110">
        <f t="shared" si="52"/>
        <v>0</v>
      </c>
      <c r="BB8" s="17">
        <f>SUMIF('20.01'!$U:$U,$B:$B,'20.01'!$D:$D)*1.2</f>
        <v>0</v>
      </c>
      <c r="BC8" s="17">
        <f>SUMIF('20.01'!$V:$V,$B:$B,'20.01'!$D:$D)*1.2</f>
        <v>0</v>
      </c>
      <c r="BD8" s="17">
        <f>SUMIF('20.01'!$W:$W,$B:$B,'20.01'!$D:$D)*1.2</f>
        <v>0</v>
      </c>
      <c r="BE8" s="110">
        <f>SUMIF('20.01'!$X:$X,$B:$B,'20.01'!$D:$D)*1.2</f>
        <v>0</v>
      </c>
      <c r="BF8" s="110">
        <f t="shared" si="53"/>
        <v>0</v>
      </c>
      <c r="BG8" s="17">
        <f>SUMIF('20.01'!$Y:$Y,$B:$B,'20.01'!$D:$D)*1.2</f>
        <v>0</v>
      </c>
      <c r="BH8" s="17">
        <f>SUMIF('20.01'!$Z:$Z,$B:$B,'20.01'!$D:$D)*1.2</f>
        <v>0</v>
      </c>
      <c r="BI8" s="17">
        <f>SUMIF('20.01'!$AA:$AA,$B:$B,'20.01'!$D:$D)*1.2</f>
        <v>0</v>
      </c>
      <c r="BJ8" s="17">
        <f>SUMIF('20.01'!$AB:$AB,$B:$B,'20.01'!$D:$D)*1.2</f>
        <v>0</v>
      </c>
      <c r="BK8" s="17">
        <f>SUMIF('20.01'!$AC:$AC,$B:$B,'20.01'!$D:$D)*1.2</f>
        <v>0</v>
      </c>
      <c r="BL8" s="17">
        <f>SUMIF('20.01'!$AD:$AD,$B:$B,'20.01'!$D:$D)*1.2</f>
        <v>0</v>
      </c>
      <c r="BM8" s="110">
        <f t="shared" si="54"/>
        <v>0</v>
      </c>
      <c r="BN8" s="17">
        <f>SUMIF('20.01'!$AE:$AE,$B:$B,'20.01'!$D:$D)*1.2</f>
        <v>0</v>
      </c>
      <c r="BO8" s="17">
        <f>SUMIF('20.01'!$AF:$AF,$B:$B,'20.01'!$D:$D)*1.2</f>
        <v>0</v>
      </c>
      <c r="BP8" s="110">
        <f>SUMIF('20.01'!$AG:$AG,$B:$B,'20.01'!$D:$D)*1.2</f>
        <v>0</v>
      </c>
      <c r="BQ8" s="110">
        <f>SUMIF('20.01'!$AH:$AH,$B:$B,'20.01'!$D:$D)*1.2</f>
        <v>0</v>
      </c>
      <c r="BR8" s="110">
        <f>SUMIF('20.01'!$AI:$AI,$B:$B,'20.01'!$D:$D)*1.2</f>
        <v>0</v>
      </c>
      <c r="BS8" s="110">
        <f t="shared" si="55"/>
        <v>0</v>
      </c>
      <c r="BT8" s="17">
        <f>SUMIF('20.01'!$AJ:$AJ,$B:$B,'20.01'!$D:$D)*1.2</f>
        <v>0</v>
      </c>
      <c r="BU8" s="17">
        <f>SUMIF('20.01'!$AK:$AK,$B:$B,'20.01'!$D:$D)*1.2</f>
        <v>0</v>
      </c>
      <c r="BV8" s="110">
        <f>SUMIF('20.01'!$AL:$AL,$B:$B,'20.01'!$D:$D)*1.2</f>
        <v>0</v>
      </c>
      <c r="BW8" s="110">
        <f>SUMIF('20.01'!$AM:$AM,$B:$B,'20.01'!$D:$D)*1.2</f>
        <v>0</v>
      </c>
      <c r="BX8" s="110">
        <f>SUMIF('20.01'!$AN:$AN,$B:$B,'20.01'!$D:$D)*1.2</f>
        <v>0</v>
      </c>
      <c r="BY8" s="110">
        <f t="shared" si="3"/>
        <v>160365.11229678142</v>
      </c>
      <c r="BZ8" s="17">
        <f t="shared" si="4"/>
        <v>134096.86652474533</v>
      </c>
      <c r="CA8" s="17">
        <f t="shared" si="5"/>
        <v>9577.3759689046456</v>
      </c>
      <c r="CB8" s="17">
        <f t="shared" si="6"/>
        <v>636.65490275234379</v>
      </c>
      <c r="CC8" s="17">
        <f>SUMIF('20.01'!$AO:$AO,$B:$B,'20.01'!$D:$D)*1.2</f>
        <v>0</v>
      </c>
      <c r="CD8" s="17">
        <f t="shared" si="7"/>
        <v>9994.8353540551198</v>
      </c>
      <c r="CE8" s="17">
        <f>SUMIF('20.01'!$AQ:$AQ,$B:$B,'20.01'!$D:$D)*1.2</f>
        <v>0</v>
      </c>
      <c r="CF8" s="17">
        <f t="shared" si="8"/>
        <v>909.37201919198549</v>
      </c>
      <c r="CG8" s="17">
        <f>SUMIF('20.01'!$AR:$AR,$B:$B,'20.01'!$D:$D)*1.2</f>
        <v>4084.2719999999999</v>
      </c>
      <c r="CH8" s="17">
        <f t="shared" si="9"/>
        <v>535.55413416913871</v>
      </c>
      <c r="CI8" s="17">
        <f>SUMIF('20.01'!$AT:$AT,$B:$B,'20.01'!$D:$D)*1.2</f>
        <v>0</v>
      </c>
      <c r="CJ8" s="17">
        <f>SUMIF('20.01'!$AU:$AU,$B:$B,'20.01'!$D:$D)*1.2</f>
        <v>0</v>
      </c>
      <c r="CK8" s="17">
        <f>SUMIF('20.01'!$AV:$AV,$B:$B,'20.01'!$D:$D)*1.2</f>
        <v>0</v>
      </c>
      <c r="CL8" s="17">
        <f t="shared" si="10"/>
        <v>530.18139296285949</v>
      </c>
      <c r="CM8" s="17">
        <f>SUMIF('20.01'!$AW:$AW,$B:$B,'20.01'!$D:$D)*1.2</f>
        <v>0</v>
      </c>
      <c r="CN8" s="17">
        <f>SUMIF('20.01'!$AX:$AX,$B:$B,'20.01'!$D:$D)*1.2</f>
        <v>0</v>
      </c>
      <c r="CO8" s="110">
        <f t="shared" si="56"/>
        <v>177855.40337237314</v>
      </c>
      <c r="CP8" s="17">
        <f t="shared" si="57"/>
        <v>140299.70143007615</v>
      </c>
      <c r="CQ8" s="17">
        <f t="shared" si="11"/>
        <v>43284.388364686114</v>
      </c>
      <c r="CR8" s="17">
        <f t="shared" si="12"/>
        <v>97015.31306539003</v>
      </c>
      <c r="CS8" s="17">
        <f t="shared" si="58"/>
        <v>37555.701942296975</v>
      </c>
      <c r="CT8" s="17">
        <f t="shared" si="13"/>
        <v>1368.1871665891051</v>
      </c>
      <c r="CU8" s="17">
        <f t="shared" si="14"/>
        <v>1323.3564583669113</v>
      </c>
      <c r="CV8" s="17">
        <f t="shared" si="15"/>
        <v>1367.7178230676893</v>
      </c>
      <c r="CW8" s="17">
        <f t="shared" si="16"/>
        <v>14.342027293316042</v>
      </c>
      <c r="CX8" s="17">
        <f t="shared" si="17"/>
        <v>20195.016327327838</v>
      </c>
      <c r="CY8" s="17">
        <f t="shared" si="18"/>
        <v>13287.082139652117</v>
      </c>
      <c r="CZ8" s="110">
        <f t="shared" si="59"/>
        <v>44148.367222352063</v>
      </c>
      <c r="DA8" s="17">
        <f t="shared" si="60"/>
        <v>1667.6775922460515</v>
      </c>
      <c r="DB8" s="17">
        <f t="shared" si="19"/>
        <v>1582.5648602653919</v>
      </c>
      <c r="DC8" s="17">
        <f t="shared" si="20"/>
        <v>85.112731980659731</v>
      </c>
      <c r="DD8" s="17">
        <f t="shared" si="21"/>
        <v>2938.6392143132753</v>
      </c>
      <c r="DE8" s="17">
        <f t="shared" si="22"/>
        <v>1013.9079612803555</v>
      </c>
      <c r="DF8" s="17">
        <f t="shared" si="23"/>
        <v>1230.5185638377293</v>
      </c>
      <c r="DG8" s="17">
        <f t="shared" si="61"/>
        <v>37297.623890674651</v>
      </c>
      <c r="DH8" s="110">
        <f t="shared" si="62"/>
        <v>27552.029894787909</v>
      </c>
      <c r="DI8" s="17">
        <f t="shared" si="24"/>
        <v>24715.294174421935</v>
      </c>
      <c r="DJ8" s="17">
        <f t="shared" si="25"/>
        <v>2733.3663073754606</v>
      </c>
      <c r="DK8" s="17">
        <f t="shared" si="26"/>
        <v>103.36941299051122</v>
      </c>
      <c r="DL8" s="110">
        <f t="shared" si="63"/>
        <v>163797.82395717528</v>
      </c>
      <c r="DM8" s="17">
        <f t="shared" si="27"/>
        <v>86812.846697302899</v>
      </c>
      <c r="DN8" s="17">
        <f t="shared" si="28"/>
        <v>76984.977259872379</v>
      </c>
      <c r="DO8" s="17">
        <f t="shared" si="29"/>
        <v>0</v>
      </c>
      <c r="DP8" s="110">
        <f t="shared" si="64"/>
        <v>0</v>
      </c>
      <c r="DQ8" s="17">
        <f>SUMIF('20.01'!$BB:$BB,$B:$B,'20.01'!$D:$D)*1.2</f>
        <v>0</v>
      </c>
      <c r="DR8" s="17">
        <f t="shared" si="30"/>
        <v>0</v>
      </c>
      <c r="DS8" s="17">
        <f t="shared" si="31"/>
        <v>0</v>
      </c>
      <c r="DT8" s="110">
        <f t="shared" si="65"/>
        <v>1896.5039999999999</v>
      </c>
      <c r="DU8" s="17">
        <f>SUMIF('20.01'!$BD:$BD,$B:$B,'20.01'!$D:$D)*1.2</f>
        <v>1896.5039999999999</v>
      </c>
      <c r="DV8" s="17">
        <f t="shared" si="32"/>
        <v>0</v>
      </c>
      <c r="DW8" s="17">
        <f t="shared" si="33"/>
        <v>0</v>
      </c>
      <c r="DX8" s="110">
        <f t="shared" si="34"/>
        <v>623599.52629631688</v>
      </c>
      <c r="DY8" s="110"/>
      <c r="DZ8" s="110">
        <f t="shared" si="66"/>
        <v>623599.52629631688</v>
      </c>
      <c r="EA8" s="257"/>
      <c r="EB8" s="110">
        <f t="shared" si="35"/>
        <v>0</v>
      </c>
      <c r="EC8" s="110">
        <f>SUMIF(еирц!$B:$B,$B:$B,еирц!$K:$K)</f>
        <v>428390.11</v>
      </c>
      <c r="ED8" s="110">
        <f>SUMIF(еирц!$B:$B,$B:$B,еирц!$P:$P)</f>
        <v>271938.21000000002</v>
      </c>
      <c r="EE8" s="110">
        <f>SUMIF(еирц!$B:$B,$B:$B,еирц!$S:$S)</f>
        <v>1089542.1100000001</v>
      </c>
      <c r="EF8" s="177">
        <f t="shared" si="67"/>
        <v>-195209.41629631689</v>
      </c>
      <c r="EG8" s="181">
        <f t="shared" si="68"/>
        <v>0</v>
      </c>
      <c r="EH8" s="177">
        <f t="shared" si="69"/>
        <v>-195209.41629631689</v>
      </c>
    </row>
    <row r="9" spans="1:138" ht="12" customHeight="1" x14ac:dyDescent="0.25">
      <c r="A9" s="5">
        <f t="shared" si="70"/>
        <v>5</v>
      </c>
      <c r="B9" s="6" t="s">
        <v>77</v>
      </c>
      <c r="C9" s="7">
        <f t="shared" si="0"/>
        <v>543.29999999999995</v>
      </c>
      <c r="D9" s="8">
        <v>543.29999999999995</v>
      </c>
      <c r="E9" s="8">
        <v>0</v>
      </c>
      <c r="F9" s="8">
        <v>84.8</v>
      </c>
      <c r="G9" s="87">
        <f t="shared" si="1"/>
        <v>543.29999999999995</v>
      </c>
      <c r="H9" s="87">
        <f t="shared" si="2"/>
        <v>543.29999999999995</v>
      </c>
      <c r="I9" s="91">
        <v>0</v>
      </c>
      <c r="J9" s="112">
        <v>0</v>
      </c>
      <c r="K9" s="17">
        <v>0</v>
      </c>
      <c r="L9" s="112">
        <f t="shared" si="36"/>
        <v>0</v>
      </c>
      <c r="M9" s="116">
        <v>3.4064156083195289</v>
      </c>
      <c r="N9" s="120">
        <f t="shared" si="37"/>
        <v>543.29999999999995</v>
      </c>
      <c r="O9" s="116">
        <v>3.0862294864715629</v>
      </c>
      <c r="P9" s="120">
        <f t="shared" si="38"/>
        <v>543.29999999999995</v>
      </c>
      <c r="Q9" s="116">
        <v>0</v>
      </c>
      <c r="R9" s="120">
        <f t="shared" si="39"/>
        <v>0</v>
      </c>
      <c r="S9" s="5" t="s">
        <v>73</v>
      </c>
      <c r="T9" s="87">
        <v>28.44</v>
      </c>
      <c r="U9" s="88">
        <v>4.68</v>
      </c>
      <c r="V9" s="88">
        <v>6.05</v>
      </c>
      <c r="W9" s="88">
        <v>8.24</v>
      </c>
      <c r="X9" s="88">
        <v>6.34</v>
      </c>
      <c r="Y9" s="88">
        <v>2.89</v>
      </c>
      <c r="Z9" s="88">
        <v>0</v>
      </c>
      <c r="AA9" s="88">
        <v>0</v>
      </c>
      <c r="AB9" s="88">
        <v>0.24</v>
      </c>
      <c r="AC9" s="257"/>
      <c r="AD9" s="110">
        <f t="shared" si="40"/>
        <v>46359.97862076186</v>
      </c>
      <c r="AE9" s="110">
        <f t="shared" si="41"/>
        <v>36733.35909893678</v>
      </c>
      <c r="AF9" s="16">
        <f>SUMIF('20.01'!$I:$I,$B:$B,'20.01'!$D:$D)*1.2</f>
        <v>25359.588</v>
      </c>
      <c r="AG9" s="17">
        <f t="shared" si="42"/>
        <v>3476.2036062648885</v>
      </c>
      <c r="AH9" s="17">
        <f t="shared" si="43"/>
        <v>414.86333495568744</v>
      </c>
      <c r="AI9" s="16">
        <f>SUMIF('20.01'!$J:$J,$B:$B,'20.01'!$D:$D)*1.2</f>
        <v>0</v>
      </c>
      <c r="AJ9" s="17">
        <f t="shared" si="44"/>
        <v>168.59113231831915</v>
      </c>
      <c r="AK9" s="17">
        <f t="shared" si="45"/>
        <v>410.14477161666053</v>
      </c>
      <c r="AL9" s="17">
        <f t="shared" si="46"/>
        <v>6903.9682537812232</v>
      </c>
      <c r="AM9" s="110">
        <f t="shared" si="47"/>
        <v>0</v>
      </c>
      <c r="AN9" s="17">
        <f>SUMIF('20.01'!$K:$K,$B:$B,'20.01'!$D:$D)*1.2</f>
        <v>0</v>
      </c>
      <c r="AO9" s="17">
        <f>SUMIF('20.01'!$L:$L,$B:$B,'20.01'!$D:$D)*1.2</f>
        <v>0</v>
      </c>
      <c r="AP9" s="17">
        <f>SUMIF('20.01'!$M:$M,$B:$B,'20.01'!$D:$D)*1.2</f>
        <v>0</v>
      </c>
      <c r="AQ9" s="110">
        <f t="shared" si="48"/>
        <v>152.61952182507915</v>
      </c>
      <c r="AR9" s="17">
        <f t="shared" si="49"/>
        <v>152.61952182507915</v>
      </c>
      <c r="AS9" s="17">
        <f>(SUMIF('20.01'!$N:$N,$B:$B,'20.01'!$D:$D)+SUMIF('20.01'!$O:$O,$B:$B,'20.01'!$D:$D))*1.2</f>
        <v>0</v>
      </c>
      <c r="AT9" s="110">
        <f>SUMIF('20.01'!$P:$P,$B:$B,'20.01'!$D:$D)*1.2</f>
        <v>0</v>
      </c>
      <c r="AU9" s="110">
        <f t="shared" si="50"/>
        <v>0</v>
      </c>
      <c r="AV9" s="17">
        <f>SUMIF('20.01'!$Q:$Q,$B:$B,'20.01'!$D:$D)*1.2</f>
        <v>0</v>
      </c>
      <c r="AW9" s="17">
        <f>SUMIF('20.01'!$R:$R,$B:$B,'20.01'!$D:$D)*1.2</f>
        <v>0</v>
      </c>
      <c r="AX9" s="110">
        <f t="shared" si="51"/>
        <v>9474</v>
      </c>
      <c r="AY9" s="17">
        <f>SUMIF('20.01'!$S:$S,$B:$B,'20.01'!$D:$D)*1.2</f>
        <v>9474</v>
      </c>
      <c r="AZ9" s="17">
        <f>SUMIF('20.01'!$T:$T,$B:$B,'20.01'!$D:$D)*1.2</f>
        <v>0</v>
      </c>
      <c r="BA9" s="110">
        <f t="shared" si="52"/>
        <v>0</v>
      </c>
      <c r="BB9" s="17">
        <f>SUMIF('20.01'!$U:$U,$B:$B,'20.01'!$D:$D)*1.2</f>
        <v>0</v>
      </c>
      <c r="BC9" s="17">
        <f>SUMIF('20.01'!$V:$V,$B:$B,'20.01'!$D:$D)*1.2</f>
        <v>0</v>
      </c>
      <c r="BD9" s="17">
        <f>SUMIF('20.01'!$W:$W,$B:$B,'20.01'!$D:$D)*1.2</f>
        <v>0</v>
      </c>
      <c r="BE9" s="110">
        <f>SUMIF('20.01'!$X:$X,$B:$B,'20.01'!$D:$D)*1.2</f>
        <v>0</v>
      </c>
      <c r="BF9" s="110">
        <f t="shared" si="53"/>
        <v>0</v>
      </c>
      <c r="BG9" s="17">
        <f>SUMIF('20.01'!$Y:$Y,$B:$B,'20.01'!$D:$D)*1.2</f>
        <v>0</v>
      </c>
      <c r="BH9" s="17">
        <f>SUMIF('20.01'!$Z:$Z,$B:$B,'20.01'!$D:$D)*1.2</f>
        <v>0</v>
      </c>
      <c r="BI9" s="17">
        <f>SUMIF('20.01'!$AA:$AA,$B:$B,'20.01'!$D:$D)*1.2</f>
        <v>0</v>
      </c>
      <c r="BJ9" s="17">
        <f>SUMIF('20.01'!$AB:$AB,$B:$B,'20.01'!$D:$D)*1.2</f>
        <v>0</v>
      </c>
      <c r="BK9" s="17">
        <f>SUMIF('20.01'!$AC:$AC,$B:$B,'20.01'!$D:$D)*1.2</f>
        <v>0</v>
      </c>
      <c r="BL9" s="17">
        <f>SUMIF('20.01'!$AD:$AD,$B:$B,'20.01'!$D:$D)*1.2</f>
        <v>0</v>
      </c>
      <c r="BM9" s="110">
        <f t="shared" si="54"/>
        <v>0</v>
      </c>
      <c r="BN9" s="17">
        <f>SUMIF('20.01'!$AE:$AE,$B:$B,'20.01'!$D:$D)*1.2</f>
        <v>0</v>
      </c>
      <c r="BO9" s="17">
        <f>SUMIF('20.01'!$AF:$AF,$B:$B,'20.01'!$D:$D)*1.2</f>
        <v>0</v>
      </c>
      <c r="BP9" s="110">
        <f>SUMIF('20.01'!$AG:$AG,$B:$B,'20.01'!$D:$D)*1.2</f>
        <v>0</v>
      </c>
      <c r="BQ9" s="110">
        <f>SUMIF('20.01'!$AH:$AH,$B:$B,'20.01'!$D:$D)*1.2</f>
        <v>0</v>
      </c>
      <c r="BR9" s="110">
        <f>SUMIF('20.01'!$AI:$AI,$B:$B,'20.01'!$D:$D)*1.2</f>
        <v>0</v>
      </c>
      <c r="BS9" s="110">
        <f t="shared" si="55"/>
        <v>0</v>
      </c>
      <c r="BT9" s="17">
        <f>SUMIF('20.01'!$AJ:$AJ,$B:$B,'20.01'!$D:$D)*1.2</f>
        <v>0</v>
      </c>
      <c r="BU9" s="17">
        <f>SUMIF('20.01'!$AK:$AK,$B:$B,'20.01'!$D:$D)*1.2</f>
        <v>0</v>
      </c>
      <c r="BV9" s="110">
        <f>SUMIF('20.01'!$AL:$AL,$B:$B,'20.01'!$D:$D)*1.2</f>
        <v>0</v>
      </c>
      <c r="BW9" s="110">
        <f>SUMIF('20.01'!$AM:$AM,$B:$B,'20.01'!$D:$D)*1.2</f>
        <v>0</v>
      </c>
      <c r="BX9" s="110">
        <f>SUMIF('20.01'!$AN:$AN,$B:$B,'20.01'!$D:$D)*1.2</f>
        <v>0</v>
      </c>
      <c r="BY9" s="110">
        <f t="shared" si="3"/>
        <v>90905.312637236391</v>
      </c>
      <c r="BZ9" s="17">
        <f t="shared" si="4"/>
        <v>47180.574407542001</v>
      </c>
      <c r="CA9" s="17">
        <f t="shared" si="5"/>
        <v>3369.6991677767951</v>
      </c>
      <c r="CB9" s="17">
        <f t="shared" si="6"/>
        <v>224.00034236214168</v>
      </c>
      <c r="CC9" s="17">
        <f>SUMIF('20.01'!$AO:$AO,$B:$B,'20.01'!$D:$D)*1.2</f>
        <v>0</v>
      </c>
      <c r="CD9" s="17">
        <f t="shared" si="7"/>
        <v>3516.5778689251483</v>
      </c>
      <c r="CE9" s="17">
        <f>SUMIF('20.01'!$AQ:$AQ,$B:$B,'20.01'!$D:$D)*1.2</f>
        <v>0</v>
      </c>
      <c r="CF9" s="17">
        <f t="shared" si="8"/>
        <v>319.95299612543027</v>
      </c>
      <c r="CG9" s="17">
        <f>SUMIF('20.01'!$AR:$AR,$B:$B,'20.01'!$D:$D)*1.2</f>
        <v>35919.54</v>
      </c>
      <c r="CH9" s="17">
        <f t="shared" si="9"/>
        <v>188.42909854102399</v>
      </c>
      <c r="CI9" s="17">
        <f>SUMIF('20.01'!$AT:$AT,$B:$B,'20.01'!$D:$D)*1.2</f>
        <v>0</v>
      </c>
      <c r="CJ9" s="17">
        <f>SUMIF('20.01'!$AU:$AU,$B:$B,'20.01'!$D:$D)*1.2</f>
        <v>0</v>
      </c>
      <c r="CK9" s="17">
        <f>SUMIF('20.01'!$AV:$AV,$B:$B,'20.01'!$D:$D)*1.2</f>
        <v>0</v>
      </c>
      <c r="CL9" s="17">
        <f t="shared" si="10"/>
        <v>186.53875596386507</v>
      </c>
      <c r="CM9" s="17">
        <f>SUMIF('20.01'!$AW:$AW,$B:$B,'20.01'!$D:$D)*1.2</f>
        <v>0</v>
      </c>
      <c r="CN9" s="17">
        <f>SUMIF('20.01'!$AX:$AX,$B:$B,'20.01'!$D:$D)*1.2</f>
        <v>0</v>
      </c>
      <c r="CO9" s="110">
        <f t="shared" si="56"/>
        <v>62576.556112481339</v>
      </c>
      <c r="CP9" s="17">
        <f t="shared" si="57"/>
        <v>49362.976736344033</v>
      </c>
      <c r="CQ9" s="17">
        <f t="shared" si="11"/>
        <v>15229.157539994925</v>
      </c>
      <c r="CR9" s="17">
        <f t="shared" si="12"/>
        <v>34133.819196349104</v>
      </c>
      <c r="CS9" s="17">
        <f t="shared" si="58"/>
        <v>13213.579376137306</v>
      </c>
      <c r="CT9" s="17">
        <f t="shared" si="13"/>
        <v>481.38228796561305</v>
      </c>
      <c r="CU9" s="17">
        <f t="shared" si="14"/>
        <v>465.60907402082859</v>
      </c>
      <c r="CV9" s="17">
        <f t="shared" si="15"/>
        <v>481.21715437592724</v>
      </c>
      <c r="CW9" s="17">
        <f t="shared" si="16"/>
        <v>5.0460917052258525</v>
      </c>
      <c r="CX9" s="17">
        <f t="shared" si="17"/>
        <v>7105.404437747924</v>
      </c>
      <c r="CY9" s="17">
        <f t="shared" si="18"/>
        <v>4674.9203303217873</v>
      </c>
      <c r="CZ9" s="110">
        <f t="shared" si="59"/>
        <v>15533.139428886634</v>
      </c>
      <c r="DA9" s="17">
        <f t="shared" si="60"/>
        <v>586.75484944486664</v>
      </c>
      <c r="DB9" s="17">
        <f t="shared" si="19"/>
        <v>556.80882842056724</v>
      </c>
      <c r="DC9" s="17">
        <f t="shared" si="20"/>
        <v>29.946021024299412</v>
      </c>
      <c r="DD9" s="17">
        <f t="shared" si="21"/>
        <v>1033.9293504836917</v>
      </c>
      <c r="DE9" s="17">
        <f t="shared" si="22"/>
        <v>356.73286967342784</v>
      </c>
      <c r="DF9" s="17">
        <f t="shared" si="23"/>
        <v>432.9450356716153</v>
      </c>
      <c r="DG9" s="17">
        <f t="shared" si="61"/>
        <v>13122.777323613032</v>
      </c>
      <c r="DH9" s="110">
        <f t="shared" si="62"/>
        <v>9693.8924094097565</v>
      </c>
      <c r="DI9" s="17">
        <f t="shared" si="24"/>
        <v>8695.8167332375542</v>
      </c>
      <c r="DJ9" s="17">
        <f t="shared" si="25"/>
        <v>961.70623363819232</v>
      </c>
      <c r="DK9" s="17">
        <f t="shared" si="26"/>
        <v>36.369442534011633</v>
      </c>
      <c r="DL9" s="110">
        <f t="shared" si="63"/>
        <v>57630.544406336943</v>
      </c>
      <c r="DM9" s="17">
        <f t="shared" si="27"/>
        <v>30544.188535358579</v>
      </c>
      <c r="DN9" s="17">
        <f t="shared" si="28"/>
        <v>27086.355870978365</v>
      </c>
      <c r="DO9" s="17">
        <f t="shared" si="29"/>
        <v>0</v>
      </c>
      <c r="DP9" s="110">
        <f t="shared" si="64"/>
        <v>0</v>
      </c>
      <c r="DQ9" s="17">
        <f>SUMIF('20.01'!$BB:$BB,$B:$B,'20.01'!$D:$D)*1.2</f>
        <v>0</v>
      </c>
      <c r="DR9" s="17">
        <f t="shared" si="30"/>
        <v>0</v>
      </c>
      <c r="DS9" s="17">
        <f t="shared" si="31"/>
        <v>0</v>
      </c>
      <c r="DT9" s="110">
        <f t="shared" si="65"/>
        <v>1137.8999999999999</v>
      </c>
      <c r="DU9" s="17">
        <f>SUMIF('20.01'!$BD:$BD,$B:$B,'20.01'!$D:$D)*1.2</f>
        <v>1137.8999999999999</v>
      </c>
      <c r="DV9" s="17">
        <f t="shared" si="32"/>
        <v>0</v>
      </c>
      <c r="DW9" s="17">
        <f t="shared" si="33"/>
        <v>0</v>
      </c>
      <c r="DX9" s="110">
        <f t="shared" si="34"/>
        <v>283837.32361511298</v>
      </c>
      <c r="DY9" s="110"/>
      <c r="DZ9" s="110">
        <f t="shared" si="66"/>
        <v>283837.32361511298</v>
      </c>
      <c r="EA9" s="257"/>
      <c r="EB9" s="110">
        <f t="shared" si="35"/>
        <v>0</v>
      </c>
      <c r="EC9" s="110">
        <f>SUMIF(еирц!$B:$B,$B:$B,еирц!$K:$K)</f>
        <v>181864.44000000003</v>
      </c>
      <c r="ED9" s="110">
        <f>SUMIF(еирц!$B:$B,$B:$B,еирц!$P:$P)</f>
        <v>187237.82</v>
      </c>
      <c r="EE9" s="110">
        <f>SUMIF(еирц!$B:$B,$B:$B,еирц!$S:$S)</f>
        <v>12955.09</v>
      </c>
      <c r="EF9" s="177">
        <f t="shared" si="67"/>
        <v>-101972.88361511295</v>
      </c>
      <c r="EG9" s="181">
        <f t="shared" si="68"/>
        <v>0</v>
      </c>
      <c r="EH9" s="177">
        <f t="shared" si="69"/>
        <v>-101972.88361511295</v>
      </c>
    </row>
    <row r="10" spans="1:138" ht="12" customHeight="1" x14ac:dyDescent="0.25">
      <c r="A10" s="5">
        <f t="shared" si="70"/>
        <v>6</v>
      </c>
      <c r="B10" s="6" t="s">
        <v>78</v>
      </c>
      <c r="C10" s="7">
        <f t="shared" si="0"/>
        <v>724.96</v>
      </c>
      <c r="D10" s="8">
        <v>724.96</v>
      </c>
      <c r="E10" s="8">
        <v>0</v>
      </c>
      <c r="F10" s="8">
        <v>94.7</v>
      </c>
      <c r="G10" s="87">
        <f t="shared" si="1"/>
        <v>724.96</v>
      </c>
      <c r="H10" s="87">
        <f t="shared" si="2"/>
        <v>724.96</v>
      </c>
      <c r="I10" s="91">
        <v>0</v>
      </c>
      <c r="J10" s="112">
        <v>0</v>
      </c>
      <c r="K10" s="17">
        <v>0</v>
      </c>
      <c r="L10" s="112">
        <f t="shared" si="36"/>
        <v>0</v>
      </c>
      <c r="M10" s="116">
        <v>3.4064270966641073</v>
      </c>
      <c r="N10" s="120">
        <f t="shared" si="37"/>
        <v>724.96</v>
      </c>
      <c r="O10" s="116">
        <v>3.0862422432670709</v>
      </c>
      <c r="P10" s="120">
        <f t="shared" si="38"/>
        <v>724.96</v>
      </c>
      <c r="Q10" s="116">
        <v>0</v>
      </c>
      <c r="R10" s="120">
        <f t="shared" si="39"/>
        <v>0</v>
      </c>
      <c r="S10" s="5" t="s">
        <v>73</v>
      </c>
      <c r="T10" s="87">
        <v>28.44</v>
      </c>
      <c r="U10" s="88">
        <v>4.68</v>
      </c>
      <c r="V10" s="88">
        <v>6.05</v>
      </c>
      <c r="W10" s="88">
        <v>8.24</v>
      </c>
      <c r="X10" s="88">
        <v>6.34</v>
      </c>
      <c r="Y10" s="88">
        <v>2.89</v>
      </c>
      <c r="Z10" s="88">
        <v>0</v>
      </c>
      <c r="AA10" s="88">
        <v>0</v>
      </c>
      <c r="AB10" s="88">
        <v>0.24</v>
      </c>
      <c r="AC10" s="257"/>
      <c r="AD10" s="110">
        <f t="shared" si="40"/>
        <v>38938.273517444351</v>
      </c>
      <c r="AE10" s="110">
        <f t="shared" si="41"/>
        <v>27607.023510924366</v>
      </c>
      <c r="AF10" s="16">
        <f>SUMIF('20.01'!$I:$I,$B:$B,'20.01'!$D:$D)*1.2</f>
        <v>12430.271999999999</v>
      </c>
      <c r="AG10" s="17">
        <f t="shared" si="42"/>
        <v>4638.5211971245981</v>
      </c>
      <c r="AH10" s="17">
        <f t="shared" si="43"/>
        <v>553.57872871245206</v>
      </c>
      <c r="AI10" s="16">
        <f>SUMIF('20.01'!$J:$J,$B:$B,'20.01'!$D:$D)*1.2</f>
        <v>0</v>
      </c>
      <c r="AJ10" s="17">
        <f t="shared" si="44"/>
        <v>224.96194972480887</v>
      </c>
      <c r="AK10" s="17">
        <f t="shared" si="45"/>
        <v>547.28244732415658</v>
      </c>
      <c r="AL10" s="17">
        <f t="shared" si="46"/>
        <v>9212.4071880383526</v>
      </c>
      <c r="AM10" s="110">
        <f t="shared" si="47"/>
        <v>0</v>
      </c>
      <c r="AN10" s="17">
        <f>SUMIF('20.01'!$K:$K,$B:$B,'20.01'!$D:$D)*1.2</f>
        <v>0</v>
      </c>
      <c r="AO10" s="17">
        <f>SUMIF('20.01'!$L:$L,$B:$B,'20.01'!$D:$D)*1.2</f>
        <v>0</v>
      </c>
      <c r="AP10" s="17">
        <f>SUMIF('20.01'!$M:$M,$B:$B,'20.01'!$D:$D)*1.2</f>
        <v>0</v>
      </c>
      <c r="AQ10" s="110">
        <f t="shared" si="48"/>
        <v>203.65000651998784</v>
      </c>
      <c r="AR10" s="17">
        <f t="shared" si="49"/>
        <v>203.65000651998784</v>
      </c>
      <c r="AS10" s="17">
        <f>(SUMIF('20.01'!$N:$N,$B:$B,'20.01'!$D:$D)+SUMIF('20.01'!$O:$O,$B:$B,'20.01'!$D:$D))*1.2</f>
        <v>0</v>
      </c>
      <c r="AT10" s="110">
        <f>SUMIF('20.01'!$P:$P,$B:$B,'20.01'!$D:$D)*1.2</f>
        <v>0</v>
      </c>
      <c r="AU10" s="110">
        <f t="shared" si="50"/>
        <v>0</v>
      </c>
      <c r="AV10" s="17">
        <f>SUMIF('20.01'!$Q:$Q,$B:$B,'20.01'!$D:$D)*1.2</f>
        <v>0</v>
      </c>
      <c r="AW10" s="17">
        <f>SUMIF('20.01'!$R:$R,$B:$B,'20.01'!$D:$D)*1.2</f>
        <v>0</v>
      </c>
      <c r="AX10" s="110">
        <f t="shared" si="51"/>
        <v>11127.6</v>
      </c>
      <c r="AY10" s="17">
        <f>SUMIF('20.01'!$S:$S,$B:$B,'20.01'!$D:$D)*1.2</f>
        <v>11127.6</v>
      </c>
      <c r="AZ10" s="17">
        <f>SUMIF('20.01'!$T:$T,$B:$B,'20.01'!$D:$D)*1.2</f>
        <v>0</v>
      </c>
      <c r="BA10" s="110">
        <f t="shared" si="52"/>
        <v>0</v>
      </c>
      <c r="BB10" s="17">
        <f>SUMIF('20.01'!$U:$U,$B:$B,'20.01'!$D:$D)*1.2</f>
        <v>0</v>
      </c>
      <c r="BC10" s="17">
        <f>SUMIF('20.01'!$V:$V,$B:$B,'20.01'!$D:$D)*1.2</f>
        <v>0</v>
      </c>
      <c r="BD10" s="17">
        <f>SUMIF('20.01'!$W:$W,$B:$B,'20.01'!$D:$D)*1.2</f>
        <v>0</v>
      </c>
      <c r="BE10" s="110">
        <f>SUMIF('20.01'!$X:$X,$B:$B,'20.01'!$D:$D)*1.2</f>
        <v>0</v>
      </c>
      <c r="BF10" s="110">
        <f t="shared" si="53"/>
        <v>0</v>
      </c>
      <c r="BG10" s="17">
        <f>SUMIF('20.01'!$Y:$Y,$B:$B,'20.01'!$D:$D)*1.2</f>
        <v>0</v>
      </c>
      <c r="BH10" s="17">
        <f>SUMIF('20.01'!$Z:$Z,$B:$B,'20.01'!$D:$D)*1.2</f>
        <v>0</v>
      </c>
      <c r="BI10" s="17">
        <f>SUMIF('20.01'!$AA:$AA,$B:$B,'20.01'!$D:$D)*1.2</f>
        <v>0</v>
      </c>
      <c r="BJ10" s="17">
        <f>SUMIF('20.01'!$AB:$AB,$B:$B,'20.01'!$D:$D)*1.2</f>
        <v>0</v>
      </c>
      <c r="BK10" s="17">
        <f>SUMIF('20.01'!$AC:$AC,$B:$B,'20.01'!$D:$D)*1.2</f>
        <v>0</v>
      </c>
      <c r="BL10" s="17">
        <f>SUMIF('20.01'!$AD:$AD,$B:$B,'20.01'!$D:$D)*1.2</f>
        <v>0</v>
      </c>
      <c r="BM10" s="110">
        <f t="shared" si="54"/>
        <v>0</v>
      </c>
      <c r="BN10" s="17">
        <f>SUMIF('20.01'!$AE:$AE,$B:$B,'20.01'!$D:$D)*1.2</f>
        <v>0</v>
      </c>
      <c r="BO10" s="17">
        <f>SUMIF('20.01'!$AF:$AF,$B:$B,'20.01'!$D:$D)*1.2</f>
        <v>0</v>
      </c>
      <c r="BP10" s="110">
        <f>SUMIF('20.01'!$AG:$AG,$B:$B,'20.01'!$D:$D)*1.2</f>
        <v>0</v>
      </c>
      <c r="BQ10" s="110">
        <f>SUMIF('20.01'!$AH:$AH,$B:$B,'20.01'!$D:$D)*1.2</f>
        <v>0</v>
      </c>
      <c r="BR10" s="110">
        <f>SUMIF('20.01'!$AI:$AI,$B:$B,'20.01'!$D:$D)*1.2</f>
        <v>0</v>
      </c>
      <c r="BS10" s="110">
        <f t="shared" si="55"/>
        <v>0</v>
      </c>
      <c r="BT10" s="17">
        <f>SUMIF('20.01'!$AJ:$AJ,$B:$B,'20.01'!$D:$D)*1.2</f>
        <v>0</v>
      </c>
      <c r="BU10" s="17">
        <f>SUMIF('20.01'!$AK:$AK,$B:$B,'20.01'!$D:$D)*1.2</f>
        <v>0</v>
      </c>
      <c r="BV10" s="110">
        <f>SUMIF('20.01'!$AL:$AL,$B:$B,'20.01'!$D:$D)*1.2</f>
        <v>0</v>
      </c>
      <c r="BW10" s="110">
        <f>SUMIF('20.01'!$AM:$AM,$B:$B,'20.01'!$D:$D)*1.2</f>
        <v>0</v>
      </c>
      <c r="BX10" s="110">
        <f>SUMIF('20.01'!$AN:$AN,$B:$B,'20.01'!$D:$D)*1.2</f>
        <v>0</v>
      </c>
      <c r="BY10" s="110">
        <f t="shared" si="3"/>
        <v>92572.803446145597</v>
      </c>
      <c r="BZ10" s="17">
        <f t="shared" si="4"/>
        <v>62956.063358166117</v>
      </c>
      <c r="CA10" s="17">
        <f t="shared" si="5"/>
        <v>4496.4055009598114</v>
      </c>
      <c r="CB10" s="17">
        <f t="shared" si="6"/>
        <v>298.89800883279634</v>
      </c>
      <c r="CC10" s="17">
        <f>SUMIF('20.01'!$AO:$AO,$B:$B,'20.01'!$D:$D)*1.2</f>
        <v>0</v>
      </c>
      <c r="CD10" s="17">
        <f t="shared" si="7"/>
        <v>4692.3951626283379</v>
      </c>
      <c r="CE10" s="17">
        <f>SUMIF('20.01'!$AQ:$AQ,$B:$B,'20.01'!$D:$D)*1.2</f>
        <v>0</v>
      </c>
      <c r="CF10" s="17">
        <f t="shared" si="8"/>
        <v>426.93378257149266</v>
      </c>
      <c r="CG10" s="17">
        <f>SUMIF('20.01'!$AR:$AR,$B:$B,'20.01'!$D:$D)*1.2</f>
        <v>19201.763999999999</v>
      </c>
      <c r="CH10" s="17">
        <f t="shared" si="9"/>
        <v>251.43301910233899</v>
      </c>
      <c r="CI10" s="17">
        <f>SUMIF('20.01'!$AT:$AT,$B:$B,'20.01'!$D:$D)*1.2</f>
        <v>0</v>
      </c>
      <c r="CJ10" s="17">
        <f>SUMIF('20.01'!$AU:$AU,$B:$B,'20.01'!$D:$D)*1.2</f>
        <v>0</v>
      </c>
      <c r="CK10" s="17">
        <f>SUMIF('20.01'!$AV:$AV,$B:$B,'20.01'!$D:$D)*1.2</f>
        <v>0</v>
      </c>
      <c r="CL10" s="17">
        <f t="shared" si="10"/>
        <v>248.9106138847113</v>
      </c>
      <c r="CM10" s="17">
        <f>SUMIF('20.01'!$AW:$AW,$B:$B,'20.01'!$D:$D)*1.2</f>
        <v>0</v>
      </c>
      <c r="CN10" s="17">
        <f>SUMIF('20.01'!$AX:$AX,$B:$B,'20.01'!$D:$D)*1.2</f>
        <v>0</v>
      </c>
      <c r="CO10" s="110">
        <f t="shared" si="56"/>
        <v>83499.908189406357</v>
      </c>
      <c r="CP10" s="17">
        <f t="shared" si="57"/>
        <v>65868.182615092897</v>
      </c>
      <c r="CQ10" s="17">
        <f t="shared" si="11"/>
        <v>20321.240659294537</v>
      </c>
      <c r="CR10" s="17">
        <f t="shared" si="12"/>
        <v>45546.941955798364</v>
      </c>
      <c r="CS10" s="17">
        <f t="shared" si="58"/>
        <v>17631.725574313459</v>
      </c>
      <c r="CT10" s="17">
        <f t="shared" si="13"/>
        <v>642.33922967706769</v>
      </c>
      <c r="CU10" s="17">
        <f t="shared" si="14"/>
        <v>621.29201969839858</v>
      </c>
      <c r="CV10" s="17">
        <f t="shared" si="15"/>
        <v>642.11888134800711</v>
      </c>
      <c r="CW10" s="17">
        <f t="shared" si="16"/>
        <v>6.7333234725207705</v>
      </c>
      <c r="CX10" s="17">
        <f t="shared" si="17"/>
        <v>9481.1963946065443</v>
      </c>
      <c r="CY10" s="17">
        <f t="shared" si="18"/>
        <v>6238.0457255109204</v>
      </c>
      <c r="CZ10" s="110">
        <f t="shared" si="59"/>
        <v>20726.863170192628</v>
      </c>
      <c r="DA10" s="17">
        <f t="shared" si="60"/>
        <v>782.94458982799665</v>
      </c>
      <c r="DB10" s="17">
        <f t="shared" si="19"/>
        <v>742.98569529132055</v>
      </c>
      <c r="DC10" s="17">
        <f t="shared" si="20"/>
        <v>39.958894536676063</v>
      </c>
      <c r="DD10" s="17">
        <f t="shared" si="21"/>
        <v>1379.6381776673243</v>
      </c>
      <c r="DE10" s="17">
        <f t="shared" si="22"/>
        <v>476.01152438514316</v>
      </c>
      <c r="DF10" s="17">
        <f t="shared" si="23"/>
        <v>577.7063004978728</v>
      </c>
      <c r="DG10" s="17">
        <f t="shared" si="61"/>
        <v>17510.562577814293</v>
      </c>
      <c r="DH10" s="110">
        <f t="shared" si="62"/>
        <v>12935.181743283085</v>
      </c>
      <c r="DI10" s="17">
        <f t="shared" si="24"/>
        <v>11603.38542044524</v>
      </c>
      <c r="DJ10" s="17">
        <f t="shared" si="25"/>
        <v>1283.2662454230517</v>
      </c>
      <c r="DK10" s="17">
        <f t="shared" si="26"/>
        <v>48.53007741479307</v>
      </c>
      <c r="DL10" s="110">
        <f t="shared" si="63"/>
        <v>76900.127871927165</v>
      </c>
      <c r="DM10" s="17">
        <f t="shared" si="27"/>
        <v>40757.067772121402</v>
      </c>
      <c r="DN10" s="17">
        <f t="shared" si="28"/>
        <v>36143.060099805771</v>
      </c>
      <c r="DO10" s="17">
        <f t="shared" si="29"/>
        <v>0</v>
      </c>
      <c r="DP10" s="110">
        <f t="shared" si="64"/>
        <v>0</v>
      </c>
      <c r="DQ10" s="17">
        <f>SUMIF('20.01'!$BB:$BB,$B:$B,'20.01'!$D:$D)*1.2</f>
        <v>0</v>
      </c>
      <c r="DR10" s="17">
        <f t="shared" si="30"/>
        <v>0</v>
      </c>
      <c r="DS10" s="17">
        <f t="shared" si="31"/>
        <v>0</v>
      </c>
      <c r="DT10" s="110">
        <f t="shared" si="65"/>
        <v>1137.8999999999999</v>
      </c>
      <c r="DU10" s="17">
        <f>SUMIF('20.01'!$BD:$BD,$B:$B,'20.01'!$D:$D)*1.2</f>
        <v>1137.8999999999999</v>
      </c>
      <c r="DV10" s="17">
        <f t="shared" si="32"/>
        <v>0</v>
      </c>
      <c r="DW10" s="17">
        <f t="shared" si="33"/>
        <v>0</v>
      </c>
      <c r="DX10" s="110">
        <f t="shared" si="34"/>
        <v>326711.0579383992</v>
      </c>
      <c r="DY10" s="110"/>
      <c r="DZ10" s="110">
        <f t="shared" si="66"/>
        <v>326711.0579383992</v>
      </c>
      <c r="EA10" s="257"/>
      <c r="EB10" s="110">
        <f t="shared" si="35"/>
        <v>0</v>
      </c>
      <c r="EC10" s="110">
        <f>SUMIF(еирц!$B:$B,$B:$B,еирц!$K:$K)</f>
        <v>242673.58000000002</v>
      </c>
      <c r="ED10" s="110">
        <f>SUMIF(еирц!$B:$B,$B:$B,еирц!$P:$P)</f>
        <v>216983.19</v>
      </c>
      <c r="EE10" s="110">
        <f>SUMIF(еирц!$B:$B,$B:$B,еирц!$S:$S)</f>
        <v>88812.58</v>
      </c>
      <c r="EF10" s="177">
        <f t="shared" si="67"/>
        <v>-84037.477938399184</v>
      </c>
      <c r="EG10" s="181">
        <f t="shared" si="68"/>
        <v>0</v>
      </c>
      <c r="EH10" s="177">
        <f t="shared" si="69"/>
        <v>-84037.477938399184</v>
      </c>
    </row>
    <row r="11" spans="1:138" ht="12" customHeight="1" x14ac:dyDescent="0.25">
      <c r="A11" s="5">
        <f t="shared" si="70"/>
        <v>7</v>
      </c>
      <c r="B11" s="6" t="s">
        <v>79</v>
      </c>
      <c r="C11" s="7">
        <f t="shared" si="0"/>
        <v>1102.18</v>
      </c>
      <c r="D11" s="8">
        <v>1102.18</v>
      </c>
      <c r="E11" s="8">
        <v>0</v>
      </c>
      <c r="F11" s="8">
        <v>139.9</v>
      </c>
      <c r="G11" s="87">
        <f t="shared" si="1"/>
        <v>1102.18</v>
      </c>
      <c r="H11" s="87">
        <f t="shared" si="2"/>
        <v>1102.18</v>
      </c>
      <c r="I11" s="91">
        <v>0</v>
      </c>
      <c r="J11" s="112">
        <v>0</v>
      </c>
      <c r="K11" s="17">
        <v>0</v>
      </c>
      <c r="L11" s="112">
        <f t="shared" si="36"/>
        <v>0</v>
      </c>
      <c r="M11" s="116">
        <v>3.4064199942146374</v>
      </c>
      <c r="N11" s="120">
        <f t="shared" si="37"/>
        <v>1102.18</v>
      </c>
      <c r="O11" s="116">
        <v>3.0862370841770321</v>
      </c>
      <c r="P11" s="120">
        <f t="shared" si="38"/>
        <v>1102.18</v>
      </c>
      <c r="Q11" s="116">
        <v>0</v>
      </c>
      <c r="R11" s="120">
        <f t="shared" si="39"/>
        <v>0</v>
      </c>
      <c r="S11" s="5" t="s">
        <v>73</v>
      </c>
      <c r="T11" s="87">
        <v>28.44</v>
      </c>
      <c r="U11" s="88">
        <v>4.68</v>
      </c>
      <c r="V11" s="88">
        <v>6.05</v>
      </c>
      <c r="W11" s="88">
        <v>8.24</v>
      </c>
      <c r="X11" s="88">
        <v>6.34</v>
      </c>
      <c r="Y11" s="88">
        <v>2.89</v>
      </c>
      <c r="Z11" s="88">
        <v>0</v>
      </c>
      <c r="AA11" s="88">
        <v>0</v>
      </c>
      <c r="AB11" s="88">
        <v>0.24</v>
      </c>
      <c r="AC11" s="257"/>
      <c r="AD11" s="110">
        <f t="shared" si="40"/>
        <v>69897.383003113035</v>
      </c>
      <c r="AE11" s="110">
        <f t="shared" si="41"/>
        <v>53190.199349578761</v>
      </c>
      <c r="AF11" s="16">
        <f>SUMIF('20.01'!$I:$I,$B:$B,'20.01'!$D:$D)*1.2</f>
        <v>30116.495999999999</v>
      </c>
      <c r="AG11" s="17">
        <f t="shared" si="42"/>
        <v>7052.0929334677621</v>
      </c>
      <c r="AH11" s="17">
        <f t="shared" si="43"/>
        <v>841.62354228135405</v>
      </c>
      <c r="AI11" s="16">
        <f>SUMIF('20.01'!$J:$J,$B:$B,'20.01'!$D:$D)*1.2</f>
        <v>0</v>
      </c>
      <c r="AJ11" s="17">
        <f t="shared" si="44"/>
        <v>342.01688610087433</v>
      </c>
      <c r="AK11" s="17">
        <f t="shared" si="45"/>
        <v>832.05110322188659</v>
      </c>
      <c r="AL11" s="17">
        <f t="shared" si="46"/>
        <v>14005.918884506884</v>
      </c>
      <c r="AM11" s="110">
        <f t="shared" si="47"/>
        <v>0</v>
      </c>
      <c r="AN11" s="17">
        <f>SUMIF('20.01'!$K:$K,$B:$B,'20.01'!$D:$D)*1.2</f>
        <v>0</v>
      </c>
      <c r="AO11" s="17">
        <f>SUMIF('20.01'!$L:$L,$B:$B,'20.01'!$D:$D)*1.2</f>
        <v>0</v>
      </c>
      <c r="AP11" s="17">
        <f>SUMIF('20.01'!$M:$M,$B:$B,'20.01'!$D:$D)*1.2</f>
        <v>0</v>
      </c>
      <c r="AQ11" s="110">
        <f t="shared" si="48"/>
        <v>309.61565353426425</v>
      </c>
      <c r="AR11" s="17">
        <f t="shared" si="49"/>
        <v>309.61565353426425</v>
      </c>
      <c r="AS11" s="17">
        <f>(SUMIF('20.01'!$N:$N,$B:$B,'20.01'!$D:$D)+SUMIF('20.01'!$O:$O,$B:$B,'20.01'!$D:$D))*1.2</f>
        <v>0</v>
      </c>
      <c r="AT11" s="110">
        <f>SUMIF('20.01'!$P:$P,$B:$B,'20.01'!$D:$D)*1.2</f>
        <v>0</v>
      </c>
      <c r="AU11" s="110">
        <f t="shared" si="50"/>
        <v>0</v>
      </c>
      <c r="AV11" s="17">
        <f>SUMIF('20.01'!$Q:$Q,$B:$B,'20.01'!$D:$D)*1.2</f>
        <v>0</v>
      </c>
      <c r="AW11" s="17">
        <f>SUMIF('20.01'!$R:$R,$B:$B,'20.01'!$D:$D)*1.2</f>
        <v>0</v>
      </c>
      <c r="AX11" s="110">
        <f t="shared" si="51"/>
        <v>16397.567999999999</v>
      </c>
      <c r="AY11" s="17">
        <f>SUMIF('20.01'!$S:$S,$B:$B,'20.01'!$D:$D)*1.2</f>
        <v>16397.567999999999</v>
      </c>
      <c r="AZ11" s="17">
        <f>SUMIF('20.01'!$T:$T,$B:$B,'20.01'!$D:$D)*1.2</f>
        <v>0</v>
      </c>
      <c r="BA11" s="110">
        <f t="shared" si="52"/>
        <v>0</v>
      </c>
      <c r="BB11" s="17">
        <f>SUMIF('20.01'!$U:$U,$B:$B,'20.01'!$D:$D)*1.2</f>
        <v>0</v>
      </c>
      <c r="BC11" s="17">
        <f>SUMIF('20.01'!$V:$V,$B:$B,'20.01'!$D:$D)*1.2</f>
        <v>0</v>
      </c>
      <c r="BD11" s="17">
        <f>SUMIF('20.01'!$W:$W,$B:$B,'20.01'!$D:$D)*1.2</f>
        <v>0</v>
      </c>
      <c r="BE11" s="110">
        <f>SUMIF('20.01'!$X:$X,$B:$B,'20.01'!$D:$D)*1.2</f>
        <v>0</v>
      </c>
      <c r="BF11" s="110">
        <f t="shared" si="53"/>
        <v>0</v>
      </c>
      <c r="BG11" s="17">
        <f>SUMIF('20.01'!$Y:$Y,$B:$B,'20.01'!$D:$D)*1.2</f>
        <v>0</v>
      </c>
      <c r="BH11" s="17">
        <f>SUMIF('20.01'!$Z:$Z,$B:$B,'20.01'!$D:$D)*1.2</f>
        <v>0</v>
      </c>
      <c r="BI11" s="17">
        <f>SUMIF('20.01'!$AA:$AA,$B:$B,'20.01'!$D:$D)*1.2</f>
        <v>0</v>
      </c>
      <c r="BJ11" s="17">
        <f>SUMIF('20.01'!$AB:$AB,$B:$B,'20.01'!$D:$D)*1.2</f>
        <v>0</v>
      </c>
      <c r="BK11" s="17">
        <f>SUMIF('20.01'!$AC:$AC,$B:$B,'20.01'!$D:$D)*1.2</f>
        <v>0</v>
      </c>
      <c r="BL11" s="17">
        <f>SUMIF('20.01'!$AD:$AD,$B:$B,'20.01'!$D:$D)*1.2</f>
        <v>0</v>
      </c>
      <c r="BM11" s="110">
        <f t="shared" si="54"/>
        <v>0</v>
      </c>
      <c r="BN11" s="17">
        <f>SUMIF('20.01'!$AE:$AE,$B:$B,'20.01'!$D:$D)*1.2</f>
        <v>0</v>
      </c>
      <c r="BO11" s="17">
        <f>SUMIF('20.01'!$AF:$AF,$B:$B,'20.01'!$D:$D)*1.2</f>
        <v>0</v>
      </c>
      <c r="BP11" s="110">
        <f>SUMIF('20.01'!$AG:$AG,$B:$B,'20.01'!$D:$D)*1.2</f>
        <v>0</v>
      </c>
      <c r="BQ11" s="110">
        <f>SUMIF('20.01'!$AH:$AH,$B:$B,'20.01'!$D:$D)*1.2</f>
        <v>0</v>
      </c>
      <c r="BR11" s="110">
        <f>SUMIF('20.01'!$AI:$AI,$B:$B,'20.01'!$D:$D)*1.2</f>
        <v>0</v>
      </c>
      <c r="BS11" s="110">
        <f t="shared" si="55"/>
        <v>0</v>
      </c>
      <c r="BT11" s="17">
        <f>SUMIF('20.01'!$AJ:$AJ,$B:$B,'20.01'!$D:$D)*1.2</f>
        <v>0</v>
      </c>
      <c r="BU11" s="17">
        <f>SUMIF('20.01'!$AK:$AK,$B:$B,'20.01'!$D:$D)*1.2</f>
        <v>0</v>
      </c>
      <c r="BV11" s="110">
        <f>SUMIF('20.01'!$AL:$AL,$B:$B,'20.01'!$D:$D)*1.2</f>
        <v>0</v>
      </c>
      <c r="BW11" s="110">
        <f>SUMIF('20.01'!$AM:$AM,$B:$B,'20.01'!$D:$D)*1.2</f>
        <v>0</v>
      </c>
      <c r="BX11" s="110">
        <f>SUMIF('20.01'!$AN:$AN,$B:$B,'20.01'!$D:$D)*1.2</f>
        <v>0</v>
      </c>
      <c r="BY11" s="110">
        <f t="shared" si="3"/>
        <v>123619.06660796839</v>
      </c>
      <c r="BZ11" s="17">
        <f t="shared" si="4"/>
        <v>95714.127554766514</v>
      </c>
      <c r="CA11" s="17">
        <f t="shared" si="5"/>
        <v>6836.0298706796029</v>
      </c>
      <c r="CB11" s="17">
        <f t="shared" si="6"/>
        <v>454.42425426965826</v>
      </c>
      <c r="CC11" s="17">
        <f>SUMIF('20.01'!$AO:$AO,$B:$B,'20.01'!$D:$D)*1.2</f>
        <v>0</v>
      </c>
      <c r="CD11" s="17">
        <f t="shared" si="7"/>
        <v>7133.9992556081725</v>
      </c>
      <c r="CE11" s="17">
        <f>SUMIF('20.01'!$AQ:$AQ,$B:$B,'20.01'!$D:$D)*1.2</f>
        <v>0</v>
      </c>
      <c r="CF11" s="17">
        <f t="shared" si="8"/>
        <v>649.08115823583069</v>
      </c>
      <c r="CG11" s="17">
        <f>SUMIF('20.01'!$AR:$AR,$B:$B,'20.01'!$D:$D)*1.2</f>
        <v>12070.716</v>
      </c>
      <c r="CH11" s="17">
        <f t="shared" si="9"/>
        <v>382.2617040860406</v>
      </c>
      <c r="CI11" s="17">
        <f>SUMIF('20.01'!$AT:$AT,$B:$B,'20.01'!$D:$D)*1.2</f>
        <v>0</v>
      </c>
      <c r="CJ11" s="17">
        <f>SUMIF('20.01'!$AU:$AU,$B:$B,'20.01'!$D:$D)*1.2</f>
        <v>0</v>
      </c>
      <c r="CK11" s="17">
        <f>SUMIF('20.01'!$AV:$AV,$B:$B,'20.01'!$D:$D)*1.2</f>
        <v>0</v>
      </c>
      <c r="CL11" s="17">
        <f t="shared" si="10"/>
        <v>378.42681032257104</v>
      </c>
      <c r="CM11" s="17">
        <f>SUMIF('20.01'!$AW:$AW,$B:$B,'20.01'!$D:$D)*1.2</f>
        <v>0</v>
      </c>
      <c r="CN11" s="17">
        <f>SUMIF('20.01'!$AX:$AX,$B:$B,'20.01'!$D:$D)*1.2</f>
        <v>0</v>
      </c>
      <c r="CO11" s="110">
        <f t="shared" si="56"/>
        <v>126947.59546485309</v>
      </c>
      <c r="CP11" s="17">
        <f t="shared" si="57"/>
        <v>100141.51610392724</v>
      </c>
      <c r="CQ11" s="17">
        <f t="shared" si="11"/>
        <v>30895.035629360591</v>
      </c>
      <c r="CR11" s="17">
        <f t="shared" si="12"/>
        <v>69246.480474566648</v>
      </c>
      <c r="CS11" s="17">
        <f t="shared" si="58"/>
        <v>26806.079360925854</v>
      </c>
      <c r="CT11" s="17">
        <f t="shared" si="13"/>
        <v>976.56898610333042</v>
      </c>
      <c r="CU11" s="17">
        <f t="shared" si="14"/>
        <v>944.57023597326872</v>
      </c>
      <c r="CV11" s="17">
        <f t="shared" si="15"/>
        <v>976.23398345308215</v>
      </c>
      <c r="CW11" s="17">
        <f t="shared" si="16"/>
        <v>10.23688819375268</v>
      </c>
      <c r="CX11" s="17">
        <f t="shared" si="17"/>
        <v>14414.567758507284</v>
      </c>
      <c r="CY11" s="17">
        <f t="shared" si="18"/>
        <v>9483.9015086951367</v>
      </c>
      <c r="CZ11" s="110">
        <f t="shared" si="59"/>
        <v>31511.716575980623</v>
      </c>
      <c r="DA11" s="17">
        <f t="shared" si="60"/>
        <v>1190.33583648287</v>
      </c>
      <c r="DB11" s="17">
        <f t="shared" si="19"/>
        <v>1129.5850441902833</v>
      </c>
      <c r="DC11" s="17">
        <f t="shared" si="20"/>
        <v>60.750792292586659</v>
      </c>
      <c r="DD11" s="17">
        <f t="shared" si="21"/>
        <v>2097.5082855072988</v>
      </c>
      <c r="DE11" s="17">
        <f t="shared" si="22"/>
        <v>723.69562727159723</v>
      </c>
      <c r="DF11" s="17">
        <f t="shared" si="23"/>
        <v>878.30546551912573</v>
      </c>
      <c r="DG11" s="17">
        <f t="shared" si="61"/>
        <v>26621.871361199734</v>
      </c>
      <c r="DH11" s="110">
        <f t="shared" si="62"/>
        <v>19665.772751340417</v>
      </c>
      <c r="DI11" s="17">
        <f t="shared" si="24"/>
        <v>17640.999976145351</v>
      </c>
      <c r="DJ11" s="17">
        <f t="shared" si="25"/>
        <v>1950.9909379557207</v>
      </c>
      <c r="DK11" s="17">
        <f t="shared" si="26"/>
        <v>73.781837239346487</v>
      </c>
      <c r="DL11" s="110">
        <f t="shared" si="63"/>
        <v>116913.73722395815</v>
      </c>
      <c r="DM11" s="17">
        <f t="shared" si="27"/>
        <v>61964.280728697813</v>
      </c>
      <c r="DN11" s="17">
        <f t="shared" si="28"/>
        <v>54949.456495260332</v>
      </c>
      <c r="DO11" s="17">
        <f t="shared" si="29"/>
        <v>0</v>
      </c>
      <c r="DP11" s="110">
        <f t="shared" si="64"/>
        <v>0</v>
      </c>
      <c r="DQ11" s="17">
        <f>SUMIF('20.01'!$BB:$BB,$B:$B,'20.01'!$D:$D)*1.2</f>
        <v>0</v>
      </c>
      <c r="DR11" s="17">
        <f t="shared" si="30"/>
        <v>0</v>
      </c>
      <c r="DS11" s="17">
        <f t="shared" si="31"/>
        <v>0</v>
      </c>
      <c r="DT11" s="110">
        <f t="shared" si="65"/>
        <v>1706.8439999999998</v>
      </c>
      <c r="DU11" s="17">
        <f>SUMIF('20.01'!$BD:$BD,$B:$B,'20.01'!$D:$D)*1.2</f>
        <v>1706.8439999999998</v>
      </c>
      <c r="DV11" s="17">
        <f t="shared" si="32"/>
        <v>0</v>
      </c>
      <c r="DW11" s="17">
        <f t="shared" si="33"/>
        <v>0</v>
      </c>
      <c r="DX11" s="110">
        <f t="shared" si="34"/>
        <v>490262.11562721367</v>
      </c>
      <c r="DY11" s="110"/>
      <c r="DZ11" s="110">
        <f t="shared" si="66"/>
        <v>490262.11562721367</v>
      </c>
      <c r="EA11" s="257"/>
      <c r="EB11" s="110">
        <f t="shared" si="35"/>
        <v>0</v>
      </c>
      <c r="EC11" s="110">
        <f>SUMIF(еирц!$B:$B,$B:$B,еирц!$K:$K)</f>
        <v>368943.95999999996</v>
      </c>
      <c r="ED11" s="110">
        <f>SUMIF(еирц!$B:$B,$B:$B,еирц!$P:$P)</f>
        <v>298461.51</v>
      </c>
      <c r="EE11" s="110">
        <f>SUMIF(еирц!$B:$B,$B:$B,еирц!$S:$S)</f>
        <v>629897.44000000006</v>
      </c>
      <c r="EF11" s="177">
        <f t="shared" si="67"/>
        <v>-121318.15562721371</v>
      </c>
      <c r="EG11" s="181">
        <f t="shared" si="68"/>
        <v>0</v>
      </c>
      <c r="EH11" s="177">
        <f t="shared" si="69"/>
        <v>-121318.15562721371</v>
      </c>
    </row>
    <row r="12" spans="1:138" ht="12" customHeight="1" x14ac:dyDescent="0.25">
      <c r="A12" s="5">
        <f t="shared" si="70"/>
        <v>8</v>
      </c>
      <c r="B12" s="6" t="s">
        <v>80</v>
      </c>
      <c r="C12" s="7">
        <f t="shared" si="0"/>
        <v>1647.35</v>
      </c>
      <c r="D12" s="8">
        <v>1311.85</v>
      </c>
      <c r="E12" s="8">
        <v>335.5</v>
      </c>
      <c r="F12" s="8">
        <v>230.1</v>
      </c>
      <c r="G12" s="87">
        <f t="shared" si="1"/>
        <v>1647.35</v>
      </c>
      <c r="H12" s="87">
        <f t="shared" si="2"/>
        <v>1647.35</v>
      </c>
      <c r="I12" s="91">
        <v>0</v>
      </c>
      <c r="J12" s="112">
        <v>0</v>
      </c>
      <c r="K12" s="17">
        <v>0</v>
      </c>
      <c r="L12" s="112">
        <f t="shared" si="36"/>
        <v>0</v>
      </c>
      <c r="M12" s="116">
        <v>3.4064202236973729</v>
      </c>
      <c r="N12" s="120">
        <f t="shared" si="37"/>
        <v>1647.35</v>
      </c>
      <c r="O12" s="116">
        <v>3.0862344760692317</v>
      </c>
      <c r="P12" s="120">
        <f t="shared" si="38"/>
        <v>1647.35</v>
      </c>
      <c r="Q12" s="116">
        <v>0</v>
      </c>
      <c r="R12" s="120">
        <f t="shared" si="39"/>
        <v>0</v>
      </c>
      <c r="S12" s="5" t="s">
        <v>73</v>
      </c>
      <c r="T12" s="87">
        <v>28.44</v>
      </c>
      <c r="U12" s="88">
        <v>4.68</v>
      </c>
      <c r="V12" s="88">
        <v>6.05</v>
      </c>
      <c r="W12" s="88">
        <v>8.24</v>
      </c>
      <c r="X12" s="88">
        <v>6.34</v>
      </c>
      <c r="Y12" s="88">
        <v>2.89</v>
      </c>
      <c r="Z12" s="88">
        <v>0</v>
      </c>
      <c r="AA12" s="88">
        <v>0</v>
      </c>
      <c r="AB12" s="88">
        <v>0.24</v>
      </c>
      <c r="AC12" s="257"/>
      <c r="AD12" s="110">
        <f t="shared" si="40"/>
        <v>90475.230641472561</v>
      </c>
      <c r="AE12" s="110">
        <f t="shared" si="41"/>
        <v>43950.662160562308</v>
      </c>
      <c r="AF12" s="16">
        <f>SUMIF('20.01'!$I:$I,$B:$B,'20.01'!$D:$D)*1.2</f>
        <v>9464.0399999999991</v>
      </c>
      <c r="AG12" s="17">
        <f t="shared" si="42"/>
        <v>10540.261385570522</v>
      </c>
      <c r="AH12" s="17">
        <f t="shared" si="43"/>
        <v>1257.9148073610377</v>
      </c>
      <c r="AI12" s="16">
        <f>SUMIF('20.01'!$J:$J,$B:$B,'20.01'!$D:$D)*1.2</f>
        <v>0</v>
      </c>
      <c r="AJ12" s="17">
        <f t="shared" si="44"/>
        <v>511.18829711868779</v>
      </c>
      <c r="AK12" s="17">
        <f t="shared" si="45"/>
        <v>1243.6075640027714</v>
      </c>
      <c r="AL12" s="17">
        <f t="shared" si="46"/>
        <v>20933.650106509293</v>
      </c>
      <c r="AM12" s="110">
        <f t="shared" si="47"/>
        <v>7783.2</v>
      </c>
      <c r="AN12" s="17">
        <f>SUMIF('20.01'!$K:$K,$B:$B,'20.01'!$D:$D)*1.2</f>
        <v>7783.2</v>
      </c>
      <c r="AO12" s="17">
        <f>SUMIF('20.01'!$L:$L,$B:$B,'20.01'!$D:$D)*1.2</f>
        <v>0</v>
      </c>
      <c r="AP12" s="17">
        <f>SUMIF('20.01'!$M:$M,$B:$B,'20.01'!$D:$D)*1.2</f>
        <v>0</v>
      </c>
      <c r="AQ12" s="110">
        <f t="shared" si="48"/>
        <v>462.76048091025979</v>
      </c>
      <c r="AR12" s="17">
        <f t="shared" si="49"/>
        <v>462.76048091025979</v>
      </c>
      <c r="AS12" s="17">
        <f>(SUMIF('20.01'!$N:$N,$B:$B,'20.01'!$D:$D)+SUMIF('20.01'!$O:$O,$B:$B,'20.01'!$D:$D))*1.2</f>
        <v>0</v>
      </c>
      <c r="AT12" s="110">
        <f>SUMIF('20.01'!$P:$P,$B:$B,'20.01'!$D:$D)*1.2</f>
        <v>0</v>
      </c>
      <c r="AU12" s="110">
        <f t="shared" si="50"/>
        <v>0</v>
      </c>
      <c r="AV12" s="17">
        <f>SUMIF('20.01'!$Q:$Q,$B:$B,'20.01'!$D:$D)*1.2</f>
        <v>0</v>
      </c>
      <c r="AW12" s="17">
        <f>SUMIF('20.01'!$R:$R,$B:$B,'20.01'!$D:$D)*1.2</f>
        <v>0</v>
      </c>
      <c r="AX12" s="110">
        <f t="shared" si="51"/>
        <v>38278.608</v>
      </c>
      <c r="AY12" s="17">
        <f>SUMIF('20.01'!$S:$S,$B:$B,'20.01'!$D:$D)*1.2</f>
        <v>30070.608</v>
      </c>
      <c r="AZ12" s="17">
        <f>SUMIF('20.01'!$T:$T,$B:$B,'20.01'!$D:$D)*1.2</f>
        <v>8208</v>
      </c>
      <c r="BA12" s="110">
        <f t="shared" si="52"/>
        <v>0</v>
      </c>
      <c r="BB12" s="17">
        <f>SUMIF('20.01'!$U:$U,$B:$B,'20.01'!$D:$D)*1.2</f>
        <v>0</v>
      </c>
      <c r="BC12" s="17">
        <f>SUMIF('20.01'!$V:$V,$B:$B,'20.01'!$D:$D)*1.2</f>
        <v>0</v>
      </c>
      <c r="BD12" s="17">
        <f>SUMIF('20.01'!$W:$W,$B:$B,'20.01'!$D:$D)*1.2</f>
        <v>0</v>
      </c>
      <c r="BE12" s="110">
        <f>SUMIF('20.01'!$X:$X,$B:$B,'20.01'!$D:$D)*1.2</f>
        <v>0</v>
      </c>
      <c r="BF12" s="110">
        <f t="shared" si="53"/>
        <v>0</v>
      </c>
      <c r="BG12" s="17">
        <f>SUMIF('20.01'!$Y:$Y,$B:$B,'20.01'!$D:$D)*1.2</f>
        <v>0</v>
      </c>
      <c r="BH12" s="17">
        <f>SUMIF('20.01'!$Z:$Z,$B:$B,'20.01'!$D:$D)*1.2</f>
        <v>0</v>
      </c>
      <c r="BI12" s="17">
        <f>SUMIF('20.01'!$AA:$AA,$B:$B,'20.01'!$D:$D)*1.2</f>
        <v>0</v>
      </c>
      <c r="BJ12" s="17">
        <f>SUMIF('20.01'!$AB:$AB,$B:$B,'20.01'!$D:$D)*1.2</f>
        <v>0</v>
      </c>
      <c r="BK12" s="17">
        <f>SUMIF('20.01'!$AC:$AC,$B:$B,'20.01'!$D:$D)*1.2</f>
        <v>0</v>
      </c>
      <c r="BL12" s="17">
        <f>SUMIF('20.01'!$AD:$AD,$B:$B,'20.01'!$D:$D)*1.2</f>
        <v>0</v>
      </c>
      <c r="BM12" s="110">
        <f t="shared" si="54"/>
        <v>0</v>
      </c>
      <c r="BN12" s="17">
        <f>SUMIF('20.01'!$AE:$AE,$B:$B,'20.01'!$D:$D)*1.2</f>
        <v>0</v>
      </c>
      <c r="BO12" s="17">
        <f>SUMIF('20.01'!$AF:$AF,$B:$B,'20.01'!$D:$D)*1.2</f>
        <v>0</v>
      </c>
      <c r="BP12" s="110">
        <f>SUMIF('20.01'!$AG:$AG,$B:$B,'20.01'!$D:$D)*1.2</f>
        <v>0</v>
      </c>
      <c r="BQ12" s="110">
        <f>SUMIF('20.01'!$AH:$AH,$B:$B,'20.01'!$D:$D)*1.2</f>
        <v>0</v>
      </c>
      <c r="BR12" s="110">
        <f>SUMIF('20.01'!$AI:$AI,$B:$B,'20.01'!$D:$D)*1.2</f>
        <v>0</v>
      </c>
      <c r="BS12" s="110">
        <f t="shared" si="55"/>
        <v>0</v>
      </c>
      <c r="BT12" s="17">
        <f>SUMIF('20.01'!$AJ:$AJ,$B:$B,'20.01'!$D:$D)*1.2</f>
        <v>0</v>
      </c>
      <c r="BU12" s="17">
        <f>SUMIF('20.01'!$AK:$AK,$B:$B,'20.01'!$D:$D)*1.2</f>
        <v>0</v>
      </c>
      <c r="BV12" s="110">
        <f>SUMIF('20.01'!$AL:$AL,$B:$B,'20.01'!$D:$D)*1.2</f>
        <v>0</v>
      </c>
      <c r="BW12" s="110">
        <f>SUMIF('20.01'!$AM:$AM,$B:$B,'20.01'!$D:$D)*1.2</f>
        <v>0</v>
      </c>
      <c r="BX12" s="110">
        <f>SUMIF('20.01'!$AN:$AN,$B:$B,'20.01'!$D:$D)*1.2</f>
        <v>0</v>
      </c>
      <c r="BY12" s="110">
        <f t="shared" si="3"/>
        <v>190551.39636803127</v>
      </c>
      <c r="BZ12" s="17">
        <f t="shared" si="4"/>
        <v>143057.09414736668</v>
      </c>
      <c r="CA12" s="17">
        <f t="shared" si="5"/>
        <v>10217.327303583845</v>
      </c>
      <c r="CB12" s="17">
        <f t="shared" si="6"/>
        <v>679.19558989559005</v>
      </c>
      <c r="CC12" s="17">
        <f>SUMIF('20.01'!$AO:$AO,$B:$B,'20.01'!$D:$D)*1.2</f>
        <v>0</v>
      </c>
      <c r="CD12" s="17">
        <f t="shared" si="7"/>
        <v>10662.680935714785</v>
      </c>
      <c r="CE12" s="17">
        <f>SUMIF('20.01'!$AQ:$AQ,$B:$B,'20.01'!$D:$D)*1.2</f>
        <v>0</v>
      </c>
      <c r="CF12" s="17">
        <f t="shared" si="8"/>
        <v>970.13540984212693</v>
      </c>
      <c r="CG12" s="17">
        <f>SUMIF('20.01'!$AR:$AR,$B:$B,'20.01'!$D:$D)*1.2</f>
        <v>23828.016</v>
      </c>
      <c r="CH12" s="17">
        <f t="shared" si="9"/>
        <v>571.33936219686336</v>
      </c>
      <c r="CI12" s="17">
        <f>SUMIF('20.01'!$AT:$AT,$B:$B,'20.01'!$D:$D)*1.2</f>
        <v>0</v>
      </c>
      <c r="CJ12" s="17">
        <f>SUMIF('20.01'!$AU:$AU,$B:$B,'20.01'!$D:$D)*1.2</f>
        <v>0</v>
      </c>
      <c r="CK12" s="17">
        <f>SUMIF('20.01'!$AV:$AV,$B:$B,'20.01'!$D:$D)*1.2</f>
        <v>0</v>
      </c>
      <c r="CL12" s="17">
        <f t="shared" si="10"/>
        <v>565.60761943138812</v>
      </c>
      <c r="CM12" s="17">
        <f>SUMIF('20.01'!$AW:$AW,$B:$B,'20.01'!$D:$D)*1.2</f>
        <v>0</v>
      </c>
      <c r="CN12" s="17">
        <f>SUMIF('20.01'!$AX:$AX,$B:$B,'20.01'!$D:$D)*1.2</f>
        <v>0</v>
      </c>
      <c r="CO12" s="110">
        <f t="shared" si="56"/>
        <v>189739.535637578</v>
      </c>
      <c r="CP12" s="17">
        <f t="shared" si="57"/>
        <v>149674.39669909136</v>
      </c>
      <c r="CQ12" s="17">
        <f t="shared" si="11"/>
        <v>46176.610847617601</v>
      </c>
      <c r="CR12" s="17">
        <f t="shared" si="12"/>
        <v>103497.78585147377</v>
      </c>
      <c r="CS12" s="17">
        <f t="shared" si="58"/>
        <v>40065.138938486634</v>
      </c>
      <c r="CT12" s="17">
        <f t="shared" si="13"/>
        <v>1459.6081577032076</v>
      </c>
      <c r="CU12" s="17">
        <f t="shared" si="14"/>
        <v>1411.7819033466078</v>
      </c>
      <c r="CV12" s="17">
        <f t="shared" si="15"/>
        <v>1459.1074530851899</v>
      </c>
      <c r="CW12" s="17">
        <f t="shared" si="16"/>
        <v>15.300348188116709</v>
      </c>
      <c r="CX12" s="17">
        <f t="shared" si="17"/>
        <v>21544.42849351011</v>
      </c>
      <c r="CY12" s="17">
        <f t="shared" si="18"/>
        <v>14174.912582653407</v>
      </c>
      <c r="CZ12" s="110">
        <f t="shared" si="59"/>
        <v>47098.319967193813</v>
      </c>
      <c r="DA12" s="17">
        <f t="shared" si="60"/>
        <v>1779.1102544321757</v>
      </c>
      <c r="DB12" s="17">
        <f t="shared" si="19"/>
        <v>1688.310369038508</v>
      </c>
      <c r="DC12" s="17">
        <f t="shared" si="20"/>
        <v>90.799885393667651</v>
      </c>
      <c r="DD12" s="17">
        <f t="shared" si="21"/>
        <v>3134.996347357463</v>
      </c>
      <c r="DE12" s="17">
        <f t="shared" si="22"/>
        <v>1081.6563461375324</v>
      </c>
      <c r="DF12" s="17">
        <f t="shared" si="23"/>
        <v>1312.7406672439454</v>
      </c>
      <c r="DG12" s="17">
        <f t="shared" si="61"/>
        <v>39789.816352022695</v>
      </c>
      <c r="DH12" s="110">
        <f t="shared" si="62"/>
        <v>29393.030849698447</v>
      </c>
      <c r="DI12" s="17">
        <f t="shared" si="24"/>
        <v>26366.747092764377</v>
      </c>
      <c r="DJ12" s="17">
        <f t="shared" si="25"/>
        <v>2916.0072961234609</v>
      </c>
      <c r="DK12" s="17">
        <f t="shared" si="26"/>
        <v>110.27646081060935</v>
      </c>
      <c r="DL12" s="110">
        <f t="shared" si="63"/>
        <v>174742.6418696469</v>
      </c>
      <c r="DM12" s="17">
        <f t="shared" si="27"/>
        <v>92613.600190912854</v>
      </c>
      <c r="DN12" s="17">
        <f t="shared" si="28"/>
        <v>82129.041678734051</v>
      </c>
      <c r="DO12" s="17">
        <f t="shared" si="29"/>
        <v>0</v>
      </c>
      <c r="DP12" s="110">
        <f t="shared" si="64"/>
        <v>0</v>
      </c>
      <c r="DQ12" s="17">
        <f>SUMIF('20.01'!$BB:$BB,$B:$B,'20.01'!$D:$D)*1.2</f>
        <v>0</v>
      </c>
      <c r="DR12" s="17">
        <f t="shared" si="30"/>
        <v>0</v>
      </c>
      <c r="DS12" s="17">
        <f t="shared" si="31"/>
        <v>0</v>
      </c>
      <c r="DT12" s="110">
        <f t="shared" si="65"/>
        <v>1137.8999999999999</v>
      </c>
      <c r="DU12" s="17">
        <f>SUMIF('20.01'!$BD:$BD,$B:$B,'20.01'!$D:$D)*1.2</f>
        <v>1137.8999999999999</v>
      </c>
      <c r="DV12" s="17">
        <f t="shared" si="32"/>
        <v>0</v>
      </c>
      <c r="DW12" s="17">
        <f t="shared" si="33"/>
        <v>0</v>
      </c>
      <c r="DX12" s="110">
        <f t="shared" si="34"/>
        <v>723138.05533362099</v>
      </c>
      <c r="DY12" s="110"/>
      <c r="DZ12" s="110">
        <f t="shared" si="66"/>
        <v>723138.05533362099</v>
      </c>
      <c r="EA12" s="257"/>
      <c r="EB12" s="110">
        <f t="shared" si="35"/>
        <v>0</v>
      </c>
      <c r="EC12" s="110">
        <f>SUMIF(еирц!$B:$B,$B:$B,еирц!$K:$K)</f>
        <v>439128.96</v>
      </c>
      <c r="ED12" s="110">
        <f>SUMIF(еирц!$B:$B,$B:$B,еирц!$P:$P)</f>
        <v>456333.04</v>
      </c>
      <c r="EE12" s="110">
        <f>SUMIF(еирц!$B:$B,$B:$B,еирц!$S:$S)</f>
        <v>115320.19</v>
      </c>
      <c r="EF12" s="177">
        <f t="shared" si="67"/>
        <v>-284009.09533362096</v>
      </c>
      <c r="EG12" s="181">
        <f t="shared" si="68"/>
        <v>0</v>
      </c>
      <c r="EH12" s="177">
        <f t="shared" si="69"/>
        <v>-284009.09533362096</v>
      </c>
    </row>
    <row r="13" spans="1:138" ht="12" customHeight="1" x14ac:dyDescent="0.25">
      <c r="A13" s="5">
        <f t="shared" si="70"/>
        <v>9</v>
      </c>
      <c r="B13" s="6" t="s">
        <v>81</v>
      </c>
      <c r="C13" s="7">
        <f t="shared" si="0"/>
        <v>553.4</v>
      </c>
      <c r="D13" s="8">
        <v>553.4</v>
      </c>
      <c r="E13" s="8">
        <v>0</v>
      </c>
      <c r="F13" s="8">
        <v>82.8</v>
      </c>
      <c r="G13" s="87">
        <f t="shared" si="1"/>
        <v>553.4</v>
      </c>
      <c r="H13" s="87">
        <f t="shared" si="2"/>
        <v>553.4</v>
      </c>
      <c r="I13" s="91">
        <v>0</v>
      </c>
      <c r="J13" s="112">
        <v>0</v>
      </c>
      <c r="K13" s="17">
        <v>0</v>
      </c>
      <c r="L13" s="112">
        <f t="shared" si="36"/>
        <v>0</v>
      </c>
      <c r="M13" s="116">
        <v>3.4064131550415615</v>
      </c>
      <c r="N13" s="120">
        <f t="shared" si="37"/>
        <v>553.4</v>
      </c>
      <c r="O13" s="116">
        <v>3.0862282616552226</v>
      </c>
      <c r="P13" s="120">
        <f t="shared" si="38"/>
        <v>553.4</v>
      </c>
      <c r="Q13" s="116">
        <v>0</v>
      </c>
      <c r="R13" s="120">
        <f t="shared" si="39"/>
        <v>0</v>
      </c>
      <c r="S13" s="5" t="s">
        <v>73</v>
      </c>
      <c r="T13" s="87">
        <v>28.44</v>
      </c>
      <c r="U13" s="88">
        <v>4.68</v>
      </c>
      <c r="V13" s="88">
        <v>6.05</v>
      </c>
      <c r="W13" s="88">
        <v>8.24</v>
      </c>
      <c r="X13" s="88">
        <v>6.34</v>
      </c>
      <c r="Y13" s="88">
        <v>2.89</v>
      </c>
      <c r="Z13" s="88">
        <v>0</v>
      </c>
      <c r="AA13" s="88">
        <v>0</v>
      </c>
      <c r="AB13" s="88">
        <v>0.24</v>
      </c>
      <c r="AC13" s="257"/>
      <c r="AD13" s="110">
        <f t="shared" si="40"/>
        <v>30051.119346824238</v>
      </c>
      <c r="AE13" s="110">
        <f t="shared" si="41"/>
        <v>29895.662613200093</v>
      </c>
      <c r="AF13" s="16">
        <f>SUMIF('20.01'!$I:$I,$B:$B,'20.01'!$D:$D)*1.2</f>
        <v>18310.451999999997</v>
      </c>
      <c r="AG13" s="17">
        <f t="shared" si="42"/>
        <v>3540.8265704159571</v>
      </c>
      <c r="AH13" s="17">
        <f t="shared" si="43"/>
        <v>422.57568482326053</v>
      </c>
      <c r="AI13" s="16">
        <f>SUMIF('20.01'!$J:$J,$B:$B,'20.01'!$D:$D)*1.2</f>
        <v>0</v>
      </c>
      <c r="AJ13" s="17">
        <f t="shared" si="44"/>
        <v>171.72525791451835</v>
      </c>
      <c r="AK13" s="17">
        <f t="shared" si="45"/>
        <v>417.76940293145583</v>
      </c>
      <c r="AL13" s="17">
        <f t="shared" si="46"/>
        <v>7032.3136971149079</v>
      </c>
      <c r="AM13" s="110">
        <f t="shared" si="47"/>
        <v>0</v>
      </c>
      <c r="AN13" s="17">
        <f>SUMIF('20.01'!$K:$K,$B:$B,'20.01'!$D:$D)*1.2</f>
        <v>0</v>
      </c>
      <c r="AO13" s="17">
        <f>SUMIF('20.01'!$L:$L,$B:$B,'20.01'!$D:$D)*1.2</f>
        <v>0</v>
      </c>
      <c r="AP13" s="17">
        <f>SUMIF('20.01'!$M:$M,$B:$B,'20.01'!$D:$D)*1.2</f>
        <v>0</v>
      </c>
      <c r="AQ13" s="110">
        <f t="shared" si="48"/>
        <v>155.45673362414652</v>
      </c>
      <c r="AR13" s="17">
        <f t="shared" si="49"/>
        <v>155.45673362414652</v>
      </c>
      <c r="AS13" s="17">
        <f>(SUMIF('20.01'!$N:$N,$B:$B,'20.01'!$D:$D)+SUMIF('20.01'!$O:$O,$B:$B,'20.01'!$D:$D))*1.2</f>
        <v>0</v>
      </c>
      <c r="AT13" s="110">
        <f>SUMIF('20.01'!$P:$P,$B:$B,'20.01'!$D:$D)*1.2</f>
        <v>0</v>
      </c>
      <c r="AU13" s="110">
        <f t="shared" si="50"/>
        <v>0</v>
      </c>
      <c r="AV13" s="17">
        <f>SUMIF('20.01'!$Q:$Q,$B:$B,'20.01'!$D:$D)*1.2</f>
        <v>0</v>
      </c>
      <c r="AW13" s="17">
        <f>SUMIF('20.01'!$R:$R,$B:$B,'20.01'!$D:$D)*1.2</f>
        <v>0</v>
      </c>
      <c r="AX13" s="110">
        <f t="shared" si="51"/>
        <v>0</v>
      </c>
      <c r="AY13" s="17">
        <f>SUMIF('20.01'!$S:$S,$B:$B,'20.01'!$D:$D)*1.2</f>
        <v>0</v>
      </c>
      <c r="AZ13" s="17">
        <f>SUMIF('20.01'!$T:$T,$B:$B,'20.01'!$D:$D)*1.2</f>
        <v>0</v>
      </c>
      <c r="BA13" s="110">
        <f t="shared" si="52"/>
        <v>0</v>
      </c>
      <c r="BB13" s="17">
        <f>SUMIF('20.01'!$U:$U,$B:$B,'20.01'!$D:$D)*1.2</f>
        <v>0</v>
      </c>
      <c r="BC13" s="17">
        <f>SUMIF('20.01'!$V:$V,$B:$B,'20.01'!$D:$D)*1.2</f>
        <v>0</v>
      </c>
      <c r="BD13" s="17">
        <f>SUMIF('20.01'!$W:$W,$B:$B,'20.01'!$D:$D)*1.2</f>
        <v>0</v>
      </c>
      <c r="BE13" s="110">
        <f>SUMIF('20.01'!$X:$X,$B:$B,'20.01'!$D:$D)*1.2</f>
        <v>0</v>
      </c>
      <c r="BF13" s="110">
        <f t="shared" si="53"/>
        <v>0</v>
      </c>
      <c r="BG13" s="17">
        <f>SUMIF('20.01'!$Y:$Y,$B:$B,'20.01'!$D:$D)*1.2</f>
        <v>0</v>
      </c>
      <c r="BH13" s="17">
        <f>SUMIF('20.01'!$Z:$Z,$B:$B,'20.01'!$D:$D)*1.2</f>
        <v>0</v>
      </c>
      <c r="BI13" s="17">
        <f>SUMIF('20.01'!$AA:$AA,$B:$B,'20.01'!$D:$D)*1.2</f>
        <v>0</v>
      </c>
      <c r="BJ13" s="17">
        <f>SUMIF('20.01'!$AB:$AB,$B:$B,'20.01'!$D:$D)*1.2</f>
        <v>0</v>
      </c>
      <c r="BK13" s="17">
        <f>SUMIF('20.01'!$AC:$AC,$B:$B,'20.01'!$D:$D)*1.2</f>
        <v>0</v>
      </c>
      <c r="BL13" s="17">
        <f>SUMIF('20.01'!$AD:$AD,$B:$B,'20.01'!$D:$D)*1.2</f>
        <v>0</v>
      </c>
      <c r="BM13" s="110">
        <f t="shared" si="54"/>
        <v>0</v>
      </c>
      <c r="BN13" s="17">
        <f>SUMIF('20.01'!$AE:$AE,$B:$B,'20.01'!$D:$D)*1.2</f>
        <v>0</v>
      </c>
      <c r="BO13" s="17">
        <f>SUMIF('20.01'!$AF:$AF,$B:$B,'20.01'!$D:$D)*1.2</f>
        <v>0</v>
      </c>
      <c r="BP13" s="110">
        <f>SUMIF('20.01'!$AG:$AG,$B:$B,'20.01'!$D:$D)*1.2</f>
        <v>0</v>
      </c>
      <c r="BQ13" s="110">
        <f>SUMIF('20.01'!$AH:$AH,$B:$B,'20.01'!$D:$D)*1.2</f>
        <v>0</v>
      </c>
      <c r="BR13" s="110">
        <f>SUMIF('20.01'!$AI:$AI,$B:$B,'20.01'!$D:$D)*1.2</f>
        <v>0</v>
      </c>
      <c r="BS13" s="110">
        <f t="shared" si="55"/>
        <v>0</v>
      </c>
      <c r="BT13" s="17">
        <f>SUMIF('20.01'!$AJ:$AJ,$B:$B,'20.01'!$D:$D)*1.2</f>
        <v>0</v>
      </c>
      <c r="BU13" s="17">
        <f>SUMIF('20.01'!$AK:$AK,$B:$B,'20.01'!$D:$D)*1.2</f>
        <v>0</v>
      </c>
      <c r="BV13" s="110">
        <f>SUMIF('20.01'!$AL:$AL,$B:$B,'20.01'!$D:$D)*1.2</f>
        <v>0</v>
      </c>
      <c r="BW13" s="110">
        <f>SUMIF('20.01'!$AM:$AM,$B:$B,'20.01'!$D:$D)*1.2</f>
        <v>0</v>
      </c>
      <c r="BX13" s="110">
        <f>SUMIF('20.01'!$AN:$AN,$B:$B,'20.01'!$D:$D)*1.2</f>
        <v>0</v>
      </c>
      <c r="BY13" s="110">
        <f t="shared" si="3"/>
        <v>89905.827514534569</v>
      </c>
      <c r="BZ13" s="17">
        <f t="shared" si="4"/>
        <v>48057.665888337462</v>
      </c>
      <c r="CA13" s="17">
        <f t="shared" si="5"/>
        <v>3432.3422040266491</v>
      </c>
      <c r="CB13" s="17">
        <f t="shared" si="6"/>
        <v>228.16453057833465</v>
      </c>
      <c r="CC13" s="17">
        <f>SUMIF('20.01'!$AO:$AO,$B:$B,'20.01'!$D:$D)*1.2</f>
        <v>0</v>
      </c>
      <c r="CD13" s="17">
        <f t="shared" si="7"/>
        <v>3581.9513945576609</v>
      </c>
      <c r="CE13" s="17">
        <f>SUMIF('20.01'!$AQ:$AQ,$B:$B,'20.01'!$D:$D)*1.2</f>
        <v>0</v>
      </c>
      <c r="CF13" s="17">
        <f t="shared" si="8"/>
        <v>325.90095353545576</v>
      </c>
      <c r="CG13" s="17">
        <f>SUMIF('20.01'!$AR:$AR,$B:$B,'20.01'!$D:$D)*1.2</f>
        <v>33897.864000000001</v>
      </c>
      <c r="CH13" s="17">
        <f t="shared" si="9"/>
        <v>191.93201386453649</v>
      </c>
      <c r="CI13" s="17">
        <f>SUMIF('20.01'!$AT:$AT,$B:$B,'20.01'!$D:$D)*1.2</f>
        <v>0</v>
      </c>
      <c r="CJ13" s="17">
        <f>SUMIF('20.01'!$AU:$AU,$B:$B,'20.01'!$D:$D)*1.2</f>
        <v>0</v>
      </c>
      <c r="CK13" s="17">
        <f>SUMIF('20.01'!$AV:$AV,$B:$B,'20.01'!$D:$D)*1.2</f>
        <v>0</v>
      </c>
      <c r="CL13" s="17">
        <f t="shared" si="10"/>
        <v>190.00652963446151</v>
      </c>
      <c r="CM13" s="17">
        <f>SUMIF('20.01'!$AW:$AW,$B:$B,'20.01'!$D:$D)*1.2</f>
        <v>0</v>
      </c>
      <c r="CN13" s="17">
        <f>SUMIF('20.01'!$AX:$AX,$B:$B,'20.01'!$D:$D)*1.2</f>
        <v>0</v>
      </c>
      <c r="CO13" s="110">
        <f t="shared" si="56"/>
        <v>63739.860395080381</v>
      </c>
      <c r="CP13" s="17">
        <f t="shared" si="57"/>
        <v>50280.639289329629</v>
      </c>
      <c r="CQ13" s="17">
        <f t="shared" si="11"/>
        <v>15512.269064298163</v>
      </c>
      <c r="CR13" s="17">
        <f t="shared" si="12"/>
        <v>34768.370225031467</v>
      </c>
      <c r="CS13" s="17">
        <f t="shared" si="58"/>
        <v>13459.221105750756</v>
      </c>
      <c r="CT13" s="17">
        <f t="shared" si="13"/>
        <v>490.33123165869733</v>
      </c>
      <c r="CU13" s="17">
        <f t="shared" si="14"/>
        <v>474.26479212797079</v>
      </c>
      <c r="CV13" s="17">
        <f t="shared" si="15"/>
        <v>490.16302821947016</v>
      </c>
      <c r="CW13" s="17">
        <f t="shared" si="16"/>
        <v>5.1398990422823241</v>
      </c>
      <c r="CX13" s="17">
        <f t="shared" si="17"/>
        <v>7237.494599392051</v>
      </c>
      <c r="CY13" s="17">
        <f t="shared" si="18"/>
        <v>4761.827555310284</v>
      </c>
      <c r="CZ13" s="110">
        <f t="shared" si="59"/>
        <v>15821.902006158409</v>
      </c>
      <c r="DA13" s="17">
        <f t="shared" si="60"/>
        <v>597.66267933515417</v>
      </c>
      <c r="DB13" s="17">
        <f t="shared" si="19"/>
        <v>567.15995885871882</v>
      </c>
      <c r="DC13" s="17">
        <f t="shared" si="20"/>
        <v>30.502720476435293</v>
      </c>
      <c r="DD13" s="17">
        <f t="shared" si="21"/>
        <v>1053.1501979710565</v>
      </c>
      <c r="DE13" s="17">
        <f t="shared" si="22"/>
        <v>363.36456852066073</v>
      </c>
      <c r="DF13" s="17">
        <f t="shared" si="23"/>
        <v>440.9935261194035</v>
      </c>
      <c r="DG13" s="17">
        <f t="shared" si="61"/>
        <v>13366.731034212135</v>
      </c>
      <c r="DH13" s="110">
        <f t="shared" si="62"/>
        <v>9874.1028149592512</v>
      </c>
      <c r="DI13" s="17">
        <f t="shared" si="24"/>
        <v>8857.4728146027301</v>
      </c>
      <c r="DJ13" s="17">
        <f t="shared" si="25"/>
        <v>979.58444633789009</v>
      </c>
      <c r="DK13" s="17">
        <f t="shared" si="26"/>
        <v>37.045554018630661</v>
      </c>
      <c r="DL13" s="110">
        <f t="shared" si="63"/>
        <v>58701.901848825451</v>
      </c>
      <c r="DM13" s="17">
        <f t="shared" si="27"/>
        <v>31112.007979877486</v>
      </c>
      <c r="DN13" s="17">
        <f t="shared" si="28"/>
        <v>27589.893868947962</v>
      </c>
      <c r="DO13" s="17">
        <f t="shared" si="29"/>
        <v>0</v>
      </c>
      <c r="DP13" s="110">
        <f t="shared" si="64"/>
        <v>0</v>
      </c>
      <c r="DQ13" s="17">
        <f>SUMIF('20.01'!$BB:$BB,$B:$B,'20.01'!$D:$D)*1.2</f>
        <v>0</v>
      </c>
      <c r="DR13" s="17">
        <f t="shared" si="30"/>
        <v>0</v>
      </c>
      <c r="DS13" s="17">
        <f t="shared" si="31"/>
        <v>0</v>
      </c>
      <c r="DT13" s="110">
        <f t="shared" si="65"/>
        <v>2560.2840000000001</v>
      </c>
      <c r="DU13" s="17">
        <f>SUMIF('20.01'!$BD:$BD,$B:$B,'20.01'!$D:$D)*1.2</f>
        <v>2560.2840000000001</v>
      </c>
      <c r="DV13" s="17">
        <f t="shared" si="32"/>
        <v>0</v>
      </c>
      <c r="DW13" s="17">
        <f t="shared" si="33"/>
        <v>0</v>
      </c>
      <c r="DX13" s="110">
        <f t="shared" si="34"/>
        <v>270654.99792638223</v>
      </c>
      <c r="DY13" s="110"/>
      <c r="DZ13" s="110">
        <f t="shared" si="66"/>
        <v>270654.99792638223</v>
      </c>
      <c r="EA13" s="257"/>
      <c r="EB13" s="110">
        <f t="shared" si="35"/>
        <v>0</v>
      </c>
      <c r="EC13" s="110">
        <f>SUMIF(еирц!$B:$B,$B:$B,еирц!$K:$K)</f>
        <v>185245.38000000003</v>
      </c>
      <c r="ED13" s="110">
        <f>SUMIF(еирц!$B:$B,$B:$B,еирц!$P:$P)</f>
        <v>182497.81</v>
      </c>
      <c r="EE13" s="110">
        <f>SUMIF(еирц!$B:$B,$B:$B,еирц!$S:$S)</f>
        <v>80302.95</v>
      </c>
      <c r="EF13" s="177">
        <f t="shared" si="67"/>
        <v>-85409.617926382198</v>
      </c>
      <c r="EG13" s="181">
        <f t="shared" si="68"/>
        <v>0</v>
      </c>
      <c r="EH13" s="177">
        <f t="shared" si="69"/>
        <v>-85409.617926382198</v>
      </c>
    </row>
    <row r="14" spans="1:138" ht="12" customHeight="1" x14ac:dyDescent="0.25">
      <c r="A14" s="5">
        <f t="shared" si="70"/>
        <v>10</v>
      </c>
      <c r="B14" s="6" t="s">
        <v>82</v>
      </c>
      <c r="C14" s="7">
        <f t="shared" si="0"/>
        <v>2262.31</v>
      </c>
      <c r="D14" s="8">
        <v>2262.31</v>
      </c>
      <c r="E14" s="8">
        <v>0</v>
      </c>
      <c r="F14" s="8">
        <v>484.5</v>
      </c>
      <c r="G14" s="87">
        <f t="shared" si="1"/>
        <v>2262.31</v>
      </c>
      <c r="H14" s="87">
        <f t="shared" si="2"/>
        <v>2262.31</v>
      </c>
      <c r="I14" s="91">
        <v>1</v>
      </c>
      <c r="J14" s="112">
        <v>1.6636558405274944E-4</v>
      </c>
      <c r="K14" s="17">
        <v>1</v>
      </c>
      <c r="L14" s="112">
        <f t="shared" si="36"/>
        <v>2.4096385542168672E-3</v>
      </c>
      <c r="M14" s="116">
        <v>3.406416308273037</v>
      </c>
      <c r="N14" s="120">
        <f t="shared" si="37"/>
        <v>2262.31</v>
      </c>
      <c r="O14" s="116">
        <v>3.0862310898555085</v>
      </c>
      <c r="P14" s="120">
        <f t="shared" si="38"/>
        <v>2262.31</v>
      </c>
      <c r="Q14" s="116">
        <v>1.6009260920876411</v>
      </c>
      <c r="R14" s="120">
        <f t="shared" si="39"/>
        <v>2262.31</v>
      </c>
      <c r="S14" s="5" t="s">
        <v>73</v>
      </c>
      <c r="T14" s="87">
        <v>41.34</v>
      </c>
      <c r="U14" s="88">
        <v>4.68</v>
      </c>
      <c r="V14" s="88">
        <v>7.92</v>
      </c>
      <c r="W14" s="88">
        <v>12.32</v>
      </c>
      <c r="X14" s="88">
        <v>6.34</v>
      </c>
      <c r="Y14" s="88">
        <v>2.89</v>
      </c>
      <c r="Z14" s="88">
        <v>1.66</v>
      </c>
      <c r="AA14" s="88">
        <v>5.29</v>
      </c>
      <c r="AB14" s="88">
        <v>0.24</v>
      </c>
      <c r="AC14" s="257"/>
      <c r="AD14" s="110">
        <f t="shared" si="40"/>
        <v>71669.389241405777</v>
      </c>
      <c r="AE14" s="110">
        <f t="shared" si="41"/>
        <v>71033.879080500032</v>
      </c>
      <c r="AF14" s="16">
        <f>SUMIF('20.01'!$I:$I,$B:$B,'20.01'!$D:$D)*1.2</f>
        <v>23673.311999999998</v>
      </c>
      <c r="AG14" s="17">
        <f t="shared" si="42"/>
        <v>14474.96812164388</v>
      </c>
      <c r="AH14" s="17">
        <f t="shared" si="43"/>
        <v>1727.4976464266545</v>
      </c>
      <c r="AI14" s="16">
        <f>SUMIF('20.01'!$J:$J,$B:$B,'20.01'!$D:$D)*1.2</f>
        <v>0</v>
      </c>
      <c r="AJ14" s="17">
        <f t="shared" si="44"/>
        <v>702.01620569677277</v>
      </c>
      <c r="AK14" s="17">
        <f t="shared" si="45"/>
        <v>1707.8494722549003</v>
      </c>
      <c r="AL14" s="17">
        <f t="shared" si="46"/>
        <v>28748.235634477824</v>
      </c>
      <c r="AM14" s="110">
        <f t="shared" si="47"/>
        <v>0</v>
      </c>
      <c r="AN14" s="17">
        <f>SUMIF('20.01'!$K:$K,$B:$B,'20.01'!$D:$D)*1.2</f>
        <v>0</v>
      </c>
      <c r="AO14" s="17">
        <f>SUMIF('20.01'!$L:$L,$B:$B,'20.01'!$D:$D)*1.2</f>
        <v>0</v>
      </c>
      <c r="AP14" s="17">
        <f>SUMIF('20.01'!$M:$M,$B:$B,'20.01'!$D:$D)*1.2</f>
        <v>0</v>
      </c>
      <c r="AQ14" s="110">
        <f t="shared" si="48"/>
        <v>635.5101609057516</v>
      </c>
      <c r="AR14" s="17">
        <f t="shared" si="49"/>
        <v>635.5101609057516</v>
      </c>
      <c r="AS14" s="17">
        <f>(SUMIF('20.01'!$N:$N,$B:$B,'20.01'!$D:$D)+SUMIF('20.01'!$O:$O,$B:$B,'20.01'!$D:$D))*1.2</f>
        <v>0</v>
      </c>
      <c r="AT14" s="110">
        <f>SUMIF('20.01'!$P:$P,$B:$B,'20.01'!$D:$D)*1.2</f>
        <v>0</v>
      </c>
      <c r="AU14" s="110">
        <f t="shared" si="50"/>
        <v>0</v>
      </c>
      <c r="AV14" s="17">
        <f>SUMIF('20.01'!$Q:$Q,$B:$B,'20.01'!$D:$D)*1.2</f>
        <v>0</v>
      </c>
      <c r="AW14" s="17">
        <f>SUMIF('20.01'!$R:$R,$B:$B,'20.01'!$D:$D)*1.2</f>
        <v>0</v>
      </c>
      <c r="AX14" s="110">
        <f t="shared" si="51"/>
        <v>0</v>
      </c>
      <c r="AY14" s="17">
        <f>SUMIF('20.01'!$S:$S,$B:$B,'20.01'!$D:$D)*1.2</f>
        <v>0</v>
      </c>
      <c r="AZ14" s="17">
        <f>SUMIF('20.01'!$T:$T,$B:$B,'20.01'!$D:$D)*1.2</f>
        <v>0</v>
      </c>
      <c r="BA14" s="110">
        <f t="shared" si="52"/>
        <v>0</v>
      </c>
      <c r="BB14" s="17">
        <f>SUMIF('20.01'!$U:$U,$B:$B,'20.01'!$D:$D)*1.2</f>
        <v>0</v>
      </c>
      <c r="BC14" s="17">
        <f>SUMIF('20.01'!$V:$V,$B:$B,'20.01'!$D:$D)*1.2</f>
        <v>0</v>
      </c>
      <c r="BD14" s="17">
        <f>SUMIF('20.01'!$W:$W,$B:$B,'20.01'!$D:$D)*1.2</f>
        <v>0</v>
      </c>
      <c r="BE14" s="110">
        <f>SUMIF('20.01'!$X:$X,$B:$B,'20.01'!$D:$D)*1.2</f>
        <v>0</v>
      </c>
      <c r="BF14" s="110">
        <f t="shared" si="53"/>
        <v>0</v>
      </c>
      <c r="BG14" s="17">
        <f>SUMIF('20.01'!$Y:$Y,$B:$B,'20.01'!$D:$D)*1.2</f>
        <v>0</v>
      </c>
      <c r="BH14" s="17">
        <f>SUMIF('20.01'!$Z:$Z,$B:$B,'20.01'!$D:$D)*1.2</f>
        <v>0</v>
      </c>
      <c r="BI14" s="17">
        <f>SUMIF('20.01'!$AA:$AA,$B:$B,'20.01'!$D:$D)*1.2</f>
        <v>0</v>
      </c>
      <c r="BJ14" s="17">
        <f>SUMIF('20.01'!$AB:$AB,$B:$B,'20.01'!$D:$D)*1.2</f>
        <v>0</v>
      </c>
      <c r="BK14" s="17">
        <f>SUMIF('20.01'!$AC:$AC,$B:$B,'20.01'!$D:$D)*1.2</f>
        <v>0</v>
      </c>
      <c r="BL14" s="17">
        <f>SUMIF('20.01'!$AD:$AD,$B:$B,'20.01'!$D:$D)*1.2</f>
        <v>0</v>
      </c>
      <c r="BM14" s="110">
        <f t="shared" si="54"/>
        <v>0</v>
      </c>
      <c r="BN14" s="17">
        <f>SUMIF('20.01'!$AE:$AE,$B:$B,'20.01'!$D:$D)*1.2</f>
        <v>0</v>
      </c>
      <c r="BO14" s="17">
        <f>SUMIF('20.01'!$AF:$AF,$B:$B,'20.01'!$D:$D)*1.2</f>
        <v>0</v>
      </c>
      <c r="BP14" s="110">
        <f>SUMIF('20.01'!$AG:$AG,$B:$B,'20.01'!$D:$D)*1.2</f>
        <v>0</v>
      </c>
      <c r="BQ14" s="110">
        <f>SUMIF('20.01'!$AH:$AH,$B:$B,'20.01'!$D:$D)*1.2</f>
        <v>0</v>
      </c>
      <c r="BR14" s="110">
        <f>SUMIF('20.01'!$AI:$AI,$B:$B,'20.01'!$D:$D)*1.2</f>
        <v>0</v>
      </c>
      <c r="BS14" s="110">
        <f t="shared" si="55"/>
        <v>0</v>
      </c>
      <c r="BT14" s="17">
        <f>SUMIF('20.01'!$AJ:$AJ,$B:$B,'20.01'!$D:$D)*1.2</f>
        <v>0</v>
      </c>
      <c r="BU14" s="17">
        <f>SUMIF('20.01'!$AK:$AK,$B:$B,'20.01'!$D:$D)*1.2</f>
        <v>0</v>
      </c>
      <c r="BV14" s="110">
        <f>SUMIF('20.01'!$AL:$AL,$B:$B,'20.01'!$D:$D)*1.2</f>
        <v>0</v>
      </c>
      <c r="BW14" s="110">
        <f>SUMIF('20.01'!$AM:$AM,$B:$B,'20.01'!$D:$D)*1.2</f>
        <v>0</v>
      </c>
      <c r="BX14" s="110">
        <f>SUMIF('20.01'!$AN:$AN,$B:$B,'20.01'!$D:$D)*1.2</f>
        <v>0</v>
      </c>
      <c r="BY14" s="110">
        <f t="shared" si="3"/>
        <v>228961.6478832069</v>
      </c>
      <c r="BZ14" s="17">
        <f t="shared" si="4"/>
        <v>196460.67603152283</v>
      </c>
      <c r="CA14" s="17">
        <f t="shared" si="5"/>
        <v>14031.481914693763</v>
      </c>
      <c r="CB14" s="17">
        <f t="shared" si="6"/>
        <v>932.74105379955233</v>
      </c>
      <c r="CC14" s="17">
        <f>SUMIF('20.01'!$AO:$AO,$B:$B,'20.01'!$D:$D)*1.2</f>
        <v>0</v>
      </c>
      <c r="CD14" s="17">
        <f t="shared" si="7"/>
        <v>14643.08720531576</v>
      </c>
      <c r="CE14" s="17">
        <f>SUMIF('20.01'!$AQ:$AQ,$B:$B,'20.01'!$D:$D)*1.2</f>
        <v>0</v>
      </c>
      <c r="CF14" s="17">
        <f t="shared" si="8"/>
        <v>1332.2894582450253</v>
      </c>
      <c r="CG14" s="17">
        <f>SUMIF('20.01'!$AR:$AR,$B:$B,'20.01'!$D:$D)*1.2</f>
        <v>0</v>
      </c>
      <c r="CH14" s="17">
        <f t="shared" si="9"/>
        <v>784.62181836985826</v>
      </c>
      <c r="CI14" s="17">
        <f>SUMIF('20.01'!$AT:$AT,$B:$B,'20.01'!$D:$D)*1.2</f>
        <v>0</v>
      </c>
      <c r="CJ14" s="17">
        <f>SUMIF('20.01'!$AU:$AU,$B:$B,'20.01'!$D:$D)*1.2</f>
        <v>0</v>
      </c>
      <c r="CK14" s="17">
        <f>SUMIF('20.01'!$AV:$AV,$B:$B,'20.01'!$D:$D)*1.2</f>
        <v>0</v>
      </c>
      <c r="CL14" s="17">
        <f t="shared" si="10"/>
        <v>776.75040126009867</v>
      </c>
      <c r="CM14" s="17">
        <f>SUMIF('20.01'!$AW:$AW,$B:$B,'20.01'!$D:$D)*1.2</f>
        <v>0</v>
      </c>
      <c r="CN14" s="17">
        <f>SUMIF('20.01'!$AX:$AX,$B:$B,'20.01'!$D:$D)*1.2</f>
        <v>0</v>
      </c>
      <c r="CO14" s="110">
        <f t="shared" si="56"/>
        <v>260569.79322442051</v>
      </c>
      <c r="CP14" s="17">
        <f t="shared" si="57"/>
        <v>205548.23467770749</v>
      </c>
      <c r="CQ14" s="17">
        <f t="shared" si="11"/>
        <v>63414.458667965991</v>
      </c>
      <c r="CR14" s="17">
        <f t="shared" si="12"/>
        <v>142133.7760097415</v>
      </c>
      <c r="CS14" s="17">
        <f t="shared" si="58"/>
        <v>55021.55854671303</v>
      </c>
      <c r="CT14" s="17">
        <f t="shared" si="13"/>
        <v>2004.483644188268</v>
      </c>
      <c r="CU14" s="17">
        <f t="shared" si="14"/>
        <v>1938.8037258385068</v>
      </c>
      <c r="CV14" s="17">
        <f t="shared" si="15"/>
        <v>2003.796025246096</v>
      </c>
      <c r="CW14" s="17">
        <f t="shared" si="16"/>
        <v>21.012007593685809</v>
      </c>
      <c r="CX14" s="17">
        <f t="shared" si="17"/>
        <v>29587.019167240029</v>
      </c>
      <c r="CY14" s="17">
        <f t="shared" si="18"/>
        <v>19466.443976606446</v>
      </c>
      <c r="CZ14" s="110">
        <f t="shared" si="59"/>
        <v>64680.244177000786</v>
      </c>
      <c r="DA14" s="17">
        <f t="shared" si="60"/>
        <v>2443.2566969402105</v>
      </c>
      <c r="DB14" s="17">
        <f t="shared" si="19"/>
        <v>2318.5609803499606</v>
      </c>
      <c r="DC14" s="17">
        <f t="shared" si="20"/>
        <v>124.69571659024997</v>
      </c>
      <c r="DD14" s="17">
        <f t="shared" si="21"/>
        <v>4305.298562291111</v>
      </c>
      <c r="DE14" s="17">
        <f t="shared" si="22"/>
        <v>1485.4414474340008</v>
      </c>
      <c r="DF14" s="17">
        <f t="shared" si="23"/>
        <v>1802.790141082739</v>
      </c>
      <c r="DG14" s="17">
        <f t="shared" si="61"/>
        <v>54643.45732925272</v>
      </c>
      <c r="DH14" s="110">
        <f t="shared" si="62"/>
        <v>40365.525007789052</v>
      </c>
      <c r="DI14" s="17">
        <f t="shared" si="24"/>
        <v>36209.521726064151</v>
      </c>
      <c r="DJ14" s="17">
        <f t="shared" si="25"/>
        <v>4004.5603339260429</v>
      </c>
      <c r="DK14" s="17">
        <f t="shared" si="26"/>
        <v>151.44294779885857</v>
      </c>
      <c r="DL14" s="110">
        <f t="shared" si="63"/>
        <v>305451.58269668242</v>
      </c>
      <c r="DM14" s="17">
        <f t="shared" si="27"/>
        <v>127186.49579500657</v>
      </c>
      <c r="DN14" s="17">
        <f t="shared" si="28"/>
        <v>112788.02457293036</v>
      </c>
      <c r="DO14" s="17">
        <f t="shared" si="29"/>
        <v>65477.062328745465</v>
      </c>
      <c r="DP14" s="110">
        <f t="shared" si="64"/>
        <v>7190.8278925916602</v>
      </c>
      <c r="DQ14" s="17">
        <f>SUMIF('20.01'!$BB:$BB,$B:$B,'20.01'!$D:$D)*1.2</f>
        <v>2596.14</v>
      </c>
      <c r="DR14" s="17">
        <f t="shared" si="30"/>
        <v>4560.8777430175523</v>
      </c>
      <c r="DS14" s="17">
        <f t="shared" si="31"/>
        <v>33.810149574108515</v>
      </c>
      <c r="DT14" s="110">
        <f t="shared" si="65"/>
        <v>5120.5559999999996</v>
      </c>
      <c r="DU14" s="17">
        <f>SUMIF('20.01'!$BD:$BD,$B:$B,'20.01'!$D:$D)*1.2</f>
        <v>5120.5559999999996</v>
      </c>
      <c r="DV14" s="17">
        <f t="shared" si="32"/>
        <v>0</v>
      </c>
      <c r="DW14" s="17">
        <f t="shared" si="33"/>
        <v>0</v>
      </c>
      <c r="DX14" s="110">
        <f t="shared" si="34"/>
        <v>984009.5661230972</v>
      </c>
      <c r="DY14" s="110">
        <f>EC14*EG14</f>
        <v>143091.68640000001</v>
      </c>
      <c r="DZ14" s="110">
        <f t="shared" si="66"/>
        <v>1127101.2525230972</v>
      </c>
      <c r="EA14" s="257"/>
      <c r="EB14" s="110">
        <f t="shared" si="35"/>
        <v>886.55421686746979</v>
      </c>
      <c r="EC14" s="110">
        <f>SUMIF(еирц!$B:$B,$B:$B,еирц!$K:$K)</f>
        <v>1100705.28</v>
      </c>
      <c r="ED14" s="110">
        <f>SUMIF(еирц!$B:$B,$B:$B,еирц!$P:$P)</f>
        <v>1055437.69</v>
      </c>
      <c r="EE14" s="110">
        <f>SUMIF(еирц!$B:$B,$B:$B,еирц!$S:$S)</f>
        <v>169827.71</v>
      </c>
      <c r="EF14" s="177">
        <f t="shared" si="67"/>
        <v>117582.26809377037</v>
      </c>
      <c r="EG14" s="183">
        <v>0.13</v>
      </c>
      <c r="EH14" s="177">
        <f t="shared" si="69"/>
        <v>-25509.418306229636</v>
      </c>
    </row>
    <row r="15" spans="1:138" ht="12" customHeight="1" x14ac:dyDescent="0.25">
      <c r="A15" s="5">
        <f t="shared" si="70"/>
        <v>11</v>
      </c>
      <c r="B15" s="6" t="s">
        <v>84</v>
      </c>
      <c r="C15" s="7">
        <f t="shared" si="0"/>
        <v>2252</v>
      </c>
      <c r="D15" s="8">
        <v>2252</v>
      </c>
      <c r="E15" s="8">
        <v>0</v>
      </c>
      <c r="F15" s="8">
        <v>485.9</v>
      </c>
      <c r="G15" s="87">
        <f t="shared" si="1"/>
        <v>2252</v>
      </c>
      <c r="H15" s="87">
        <f t="shared" si="2"/>
        <v>2252</v>
      </c>
      <c r="I15" s="91">
        <v>1</v>
      </c>
      <c r="J15" s="112">
        <v>3.5355603312914492E-3</v>
      </c>
      <c r="K15" s="17">
        <v>1</v>
      </c>
      <c r="L15" s="112">
        <f t="shared" si="36"/>
        <v>2.4096385542168672E-3</v>
      </c>
      <c r="M15" s="116">
        <v>3.406420181204477</v>
      </c>
      <c r="N15" s="120">
        <f t="shared" si="37"/>
        <v>2252</v>
      </c>
      <c r="O15" s="116">
        <v>3.0862310534730861</v>
      </c>
      <c r="P15" s="120">
        <f t="shared" si="38"/>
        <v>2252</v>
      </c>
      <c r="Q15" s="116">
        <v>1.6009261680582698</v>
      </c>
      <c r="R15" s="120">
        <f t="shared" si="39"/>
        <v>2252</v>
      </c>
      <c r="S15" s="5" t="s">
        <v>73</v>
      </c>
      <c r="T15" s="87">
        <v>41.34</v>
      </c>
      <c r="U15" s="88">
        <v>4.68</v>
      </c>
      <c r="V15" s="88">
        <v>7.92</v>
      </c>
      <c r="W15" s="88">
        <v>12.32</v>
      </c>
      <c r="X15" s="88">
        <v>6.34</v>
      </c>
      <c r="Y15" s="88">
        <v>2.89</v>
      </c>
      <c r="Z15" s="88">
        <v>1.66</v>
      </c>
      <c r="AA15" s="88">
        <v>5.29</v>
      </c>
      <c r="AB15" s="88">
        <v>0.24</v>
      </c>
      <c r="AC15" s="257"/>
      <c r="AD15" s="110">
        <f t="shared" si="40"/>
        <v>70224.869256682694</v>
      </c>
      <c r="AE15" s="110">
        <f t="shared" si="41"/>
        <v>69592.255299108467</v>
      </c>
      <c r="AF15" s="16">
        <f>SUMIF('20.01'!$I:$I,$B:$B,'20.01'!$D:$D)*1.2</f>
        <v>22447.524000000001</v>
      </c>
      <c r="AG15" s="17">
        <f t="shared" si="42"/>
        <v>14409.001511703533</v>
      </c>
      <c r="AH15" s="17">
        <f t="shared" si="43"/>
        <v>1719.6249407697555</v>
      </c>
      <c r="AI15" s="16">
        <f>SUMIF('20.01'!$J:$J,$B:$B,'20.01'!$D:$D)*1.2</f>
        <v>0</v>
      </c>
      <c r="AJ15" s="17">
        <f t="shared" si="44"/>
        <v>698.81691511292979</v>
      </c>
      <c r="AK15" s="17">
        <f t="shared" si="45"/>
        <v>1700.0663090018766</v>
      </c>
      <c r="AL15" s="17">
        <f t="shared" si="46"/>
        <v>28617.22162252037</v>
      </c>
      <c r="AM15" s="110">
        <f t="shared" si="47"/>
        <v>0</v>
      </c>
      <c r="AN15" s="17">
        <f>SUMIF('20.01'!$K:$K,$B:$B,'20.01'!$D:$D)*1.2</f>
        <v>0</v>
      </c>
      <c r="AO15" s="17">
        <f>SUMIF('20.01'!$L:$L,$B:$B,'20.01'!$D:$D)*1.2</f>
        <v>0</v>
      </c>
      <c r="AP15" s="17">
        <f>SUMIF('20.01'!$M:$M,$B:$B,'20.01'!$D:$D)*1.2</f>
        <v>0</v>
      </c>
      <c r="AQ15" s="110">
        <f t="shared" si="48"/>
        <v>632.61395757422838</v>
      </c>
      <c r="AR15" s="17">
        <f t="shared" si="49"/>
        <v>632.61395757422838</v>
      </c>
      <c r="AS15" s="17">
        <f>(SUMIF('20.01'!$N:$N,$B:$B,'20.01'!$D:$D)+SUMIF('20.01'!$O:$O,$B:$B,'20.01'!$D:$D))*1.2</f>
        <v>0</v>
      </c>
      <c r="AT15" s="110">
        <f>SUMIF('20.01'!$P:$P,$B:$B,'20.01'!$D:$D)*1.2</f>
        <v>0</v>
      </c>
      <c r="AU15" s="110">
        <f t="shared" si="50"/>
        <v>0</v>
      </c>
      <c r="AV15" s="17">
        <f>SUMIF('20.01'!$Q:$Q,$B:$B,'20.01'!$D:$D)*1.2</f>
        <v>0</v>
      </c>
      <c r="AW15" s="17">
        <f>SUMIF('20.01'!$R:$R,$B:$B,'20.01'!$D:$D)*1.2</f>
        <v>0</v>
      </c>
      <c r="AX15" s="110">
        <f t="shared" si="51"/>
        <v>0</v>
      </c>
      <c r="AY15" s="17">
        <f>SUMIF('20.01'!$S:$S,$B:$B,'20.01'!$D:$D)*1.2</f>
        <v>0</v>
      </c>
      <c r="AZ15" s="17">
        <f>SUMIF('20.01'!$T:$T,$B:$B,'20.01'!$D:$D)*1.2</f>
        <v>0</v>
      </c>
      <c r="BA15" s="110">
        <f t="shared" si="52"/>
        <v>0</v>
      </c>
      <c r="BB15" s="17">
        <f>SUMIF('20.01'!$U:$U,$B:$B,'20.01'!$D:$D)*1.2</f>
        <v>0</v>
      </c>
      <c r="BC15" s="17">
        <f>SUMIF('20.01'!$V:$V,$B:$B,'20.01'!$D:$D)*1.2</f>
        <v>0</v>
      </c>
      <c r="BD15" s="17">
        <f>SUMIF('20.01'!$W:$W,$B:$B,'20.01'!$D:$D)*1.2</f>
        <v>0</v>
      </c>
      <c r="BE15" s="110">
        <f>SUMIF('20.01'!$X:$X,$B:$B,'20.01'!$D:$D)*1.2</f>
        <v>0</v>
      </c>
      <c r="BF15" s="110">
        <f t="shared" si="53"/>
        <v>0</v>
      </c>
      <c r="BG15" s="17">
        <f>SUMIF('20.01'!$Y:$Y,$B:$B,'20.01'!$D:$D)*1.2</f>
        <v>0</v>
      </c>
      <c r="BH15" s="17">
        <f>SUMIF('20.01'!$Z:$Z,$B:$B,'20.01'!$D:$D)*1.2</f>
        <v>0</v>
      </c>
      <c r="BI15" s="17">
        <f>SUMIF('20.01'!$AA:$AA,$B:$B,'20.01'!$D:$D)*1.2</f>
        <v>0</v>
      </c>
      <c r="BJ15" s="17">
        <f>SUMIF('20.01'!$AB:$AB,$B:$B,'20.01'!$D:$D)*1.2</f>
        <v>0</v>
      </c>
      <c r="BK15" s="17">
        <f>SUMIF('20.01'!$AC:$AC,$B:$B,'20.01'!$D:$D)*1.2</f>
        <v>0</v>
      </c>
      <c r="BL15" s="17">
        <f>SUMIF('20.01'!$AD:$AD,$B:$B,'20.01'!$D:$D)*1.2</f>
        <v>0</v>
      </c>
      <c r="BM15" s="110">
        <f t="shared" si="54"/>
        <v>0</v>
      </c>
      <c r="BN15" s="17">
        <f>SUMIF('20.01'!$AE:$AE,$B:$B,'20.01'!$D:$D)*1.2</f>
        <v>0</v>
      </c>
      <c r="BO15" s="17">
        <f>SUMIF('20.01'!$AF:$AF,$B:$B,'20.01'!$D:$D)*1.2</f>
        <v>0</v>
      </c>
      <c r="BP15" s="110">
        <f>SUMIF('20.01'!$AG:$AG,$B:$B,'20.01'!$D:$D)*1.2</f>
        <v>0</v>
      </c>
      <c r="BQ15" s="110">
        <f>SUMIF('20.01'!$AH:$AH,$B:$B,'20.01'!$D:$D)*1.2</f>
        <v>0</v>
      </c>
      <c r="BR15" s="110">
        <f>SUMIF('20.01'!$AI:$AI,$B:$B,'20.01'!$D:$D)*1.2</f>
        <v>0</v>
      </c>
      <c r="BS15" s="110">
        <f t="shared" si="55"/>
        <v>0</v>
      </c>
      <c r="BT15" s="17">
        <f>SUMIF('20.01'!$AJ:$AJ,$B:$B,'20.01'!$D:$D)*1.2</f>
        <v>0</v>
      </c>
      <c r="BU15" s="17">
        <f>SUMIF('20.01'!$AK:$AK,$B:$B,'20.01'!$D:$D)*1.2</f>
        <v>0</v>
      </c>
      <c r="BV15" s="110">
        <f>SUMIF('20.01'!$AL:$AL,$B:$B,'20.01'!$D:$D)*1.2</f>
        <v>0</v>
      </c>
      <c r="BW15" s="110">
        <f>SUMIF('20.01'!$AM:$AM,$B:$B,'20.01'!$D:$D)*1.2</f>
        <v>0</v>
      </c>
      <c r="BX15" s="110">
        <f>SUMIF('20.01'!$AN:$AN,$B:$B,'20.01'!$D:$D)*1.2</f>
        <v>0</v>
      </c>
      <c r="BY15" s="110">
        <f t="shared" si="3"/>
        <v>227918.20353222234</v>
      </c>
      <c r="BZ15" s="17">
        <f t="shared" si="4"/>
        <v>195565.34799518608</v>
      </c>
      <c r="CA15" s="17">
        <f t="shared" si="5"/>
        <v>13967.536399472378</v>
      </c>
      <c r="CB15" s="17">
        <f t="shared" si="6"/>
        <v>928.49028345213162</v>
      </c>
      <c r="CC15" s="17">
        <f>SUMIF('20.01'!$AO:$AO,$B:$B,'20.01'!$D:$D)*1.2</f>
        <v>0</v>
      </c>
      <c r="CD15" s="17">
        <f t="shared" si="7"/>
        <v>14576.354428160195</v>
      </c>
      <c r="CE15" s="17">
        <f>SUMIF('20.01'!$AQ:$AQ,$B:$B,'20.01'!$D:$D)*1.2</f>
        <v>0</v>
      </c>
      <c r="CF15" s="17">
        <f t="shared" si="8"/>
        <v>1326.2178304334052</v>
      </c>
      <c r="CG15" s="17">
        <f>SUMIF('20.01'!$AR:$AR,$B:$B,'20.01'!$D:$D)*1.2</f>
        <v>0</v>
      </c>
      <c r="CH15" s="17">
        <f t="shared" si="9"/>
        <v>781.04607015348063</v>
      </c>
      <c r="CI15" s="17">
        <f>SUMIF('20.01'!$AT:$AT,$B:$B,'20.01'!$D:$D)*1.2</f>
        <v>0</v>
      </c>
      <c r="CJ15" s="17">
        <f>SUMIF('20.01'!$AU:$AU,$B:$B,'20.01'!$D:$D)*1.2</f>
        <v>0</v>
      </c>
      <c r="CK15" s="17">
        <f>SUMIF('20.01'!$AV:$AV,$B:$B,'20.01'!$D:$D)*1.2</f>
        <v>0</v>
      </c>
      <c r="CL15" s="17">
        <f t="shared" si="10"/>
        <v>773.21052536466811</v>
      </c>
      <c r="CM15" s="17">
        <f>SUMIF('20.01'!$AW:$AW,$B:$B,'20.01'!$D:$D)*1.2</f>
        <v>0</v>
      </c>
      <c r="CN15" s="17">
        <f>SUMIF('20.01'!$AX:$AX,$B:$B,'20.01'!$D:$D)*1.2</f>
        <v>0</v>
      </c>
      <c r="CO15" s="110">
        <f t="shared" si="56"/>
        <v>259382.30142703478</v>
      </c>
      <c r="CP15" s="17">
        <f t="shared" si="57"/>
        <v>204611.49201223408</v>
      </c>
      <c r="CQ15" s="17">
        <f t="shared" si="11"/>
        <v>63125.460666424769</v>
      </c>
      <c r="CR15" s="17">
        <f t="shared" si="12"/>
        <v>141486.03134580932</v>
      </c>
      <c r="CS15" s="17">
        <f t="shared" si="58"/>
        <v>54770.809414800693</v>
      </c>
      <c r="CT15" s="17">
        <f t="shared" si="13"/>
        <v>1995.3486333490901</v>
      </c>
      <c r="CU15" s="17">
        <f t="shared" si="14"/>
        <v>1929.9680373548795</v>
      </c>
      <c r="CV15" s="17">
        <f t="shared" si="15"/>
        <v>1994.6641480850142</v>
      </c>
      <c r="CW15" s="17">
        <f t="shared" si="16"/>
        <v>20.916249807046974</v>
      </c>
      <c r="CX15" s="17">
        <f t="shared" si="17"/>
        <v>29452.182576492411</v>
      </c>
      <c r="CY15" s="17">
        <f t="shared" si="18"/>
        <v>19377.729769712249</v>
      </c>
      <c r="CZ15" s="110">
        <f t="shared" si="59"/>
        <v>64385.47762535009</v>
      </c>
      <c r="DA15" s="17">
        <f t="shared" si="60"/>
        <v>2432.1220705868577</v>
      </c>
      <c r="DB15" s="17">
        <f t="shared" si="19"/>
        <v>2307.9946283878476</v>
      </c>
      <c r="DC15" s="17">
        <f t="shared" si="20"/>
        <v>124.12744219901028</v>
      </c>
      <c r="DD15" s="17">
        <f t="shared" si="21"/>
        <v>4285.6780734203458</v>
      </c>
      <c r="DE15" s="17">
        <f t="shared" si="22"/>
        <v>1478.6718617790532</v>
      </c>
      <c r="DF15" s="17">
        <f t="shared" si="23"/>
        <v>1794.5743057840564</v>
      </c>
      <c r="DG15" s="17">
        <f t="shared" si="61"/>
        <v>54394.43131377978</v>
      </c>
      <c r="DH15" s="110">
        <f t="shared" si="62"/>
        <v>40181.567653213286</v>
      </c>
      <c r="DI15" s="17">
        <f t="shared" si="24"/>
        <v>36044.504478650793</v>
      </c>
      <c r="DJ15" s="17">
        <f t="shared" si="25"/>
        <v>3986.3103960117969</v>
      </c>
      <c r="DK15" s="17">
        <f t="shared" si="26"/>
        <v>150.75277855069797</v>
      </c>
      <c r="DL15" s="110">
        <f t="shared" si="63"/>
        <v>304059.55162330926</v>
      </c>
      <c r="DM15" s="17">
        <f t="shared" si="27"/>
        <v>126606.87020362142</v>
      </c>
      <c r="DN15" s="17">
        <f t="shared" si="28"/>
        <v>112274.01697302278</v>
      </c>
      <c r="DO15" s="17">
        <f t="shared" si="29"/>
        <v>65178.66444666504</v>
      </c>
      <c r="DP15" s="110">
        <f t="shared" si="64"/>
        <v>103841.31306993887</v>
      </c>
      <c r="DQ15" s="17">
        <f>SUMIF('20.01'!$BB:$BB,$B:$B,'20.01'!$D:$D)*1.2</f>
        <v>6196.1399999999994</v>
      </c>
      <c r="DR15" s="17">
        <f t="shared" si="30"/>
        <v>96926.648115935488</v>
      </c>
      <c r="DS15" s="17">
        <f t="shared" si="31"/>
        <v>718.52495400338785</v>
      </c>
      <c r="DT15" s="110">
        <f t="shared" si="65"/>
        <v>5120.5559999999996</v>
      </c>
      <c r="DU15" s="17">
        <f>SUMIF('20.01'!$BD:$BD,$B:$B,'20.01'!$D:$D)*1.2</f>
        <v>5120.5559999999996</v>
      </c>
      <c r="DV15" s="17">
        <f t="shared" si="32"/>
        <v>0</v>
      </c>
      <c r="DW15" s="17">
        <f t="shared" si="33"/>
        <v>0</v>
      </c>
      <c r="DX15" s="110">
        <f t="shared" si="34"/>
        <v>1075113.8401877515</v>
      </c>
      <c r="DY15" s="110">
        <f>EC15*EG15</f>
        <v>87655.104000000007</v>
      </c>
      <c r="DZ15" s="110">
        <f t="shared" si="66"/>
        <v>1162768.9441877515</v>
      </c>
      <c r="EA15" s="257"/>
      <c r="EB15" s="110">
        <f t="shared" si="35"/>
        <v>886.55421686746979</v>
      </c>
      <c r="EC15" s="110">
        <f>SUMIF(еирц!$B:$B,$B:$B,еирц!$K:$K)</f>
        <v>1095688.8</v>
      </c>
      <c r="ED15" s="110">
        <f>SUMIF(еирц!$B:$B,$B:$B,еирц!$P:$P)</f>
        <v>1076166.2400000002</v>
      </c>
      <c r="EE15" s="110">
        <f>SUMIF(еирц!$B:$B,$B:$B,еирц!$S:$S)</f>
        <v>194239.53</v>
      </c>
      <c r="EF15" s="177">
        <f t="shared" si="67"/>
        <v>21461.514029116137</v>
      </c>
      <c r="EG15" s="182">
        <v>0.08</v>
      </c>
      <c r="EH15" s="177">
        <f t="shared" si="69"/>
        <v>-66193.589970883913</v>
      </c>
    </row>
    <row r="16" spans="1:138" ht="12" customHeight="1" x14ac:dyDescent="0.25">
      <c r="A16" s="5">
        <f t="shared" si="70"/>
        <v>12</v>
      </c>
      <c r="B16" s="6" t="s">
        <v>85</v>
      </c>
      <c r="C16" s="7">
        <f t="shared" si="0"/>
        <v>2252.2800000000002</v>
      </c>
      <c r="D16" s="8">
        <v>2252.2800000000002</v>
      </c>
      <c r="E16" s="8">
        <v>0</v>
      </c>
      <c r="F16" s="8">
        <v>485.9</v>
      </c>
      <c r="G16" s="87">
        <f t="shared" si="1"/>
        <v>2252.2800000000002</v>
      </c>
      <c r="H16" s="87">
        <f t="shared" si="2"/>
        <v>2252.2800000000002</v>
      </c>
      <c r="I16" s="91">
        <v>1</v>
      </c>
      <c r="J16" s="112">
        <v>3.5219821202352435E-3</v>
      </c>
      <c r="K16" s="17">
        <v>1</v>
      </c>
      <c r="L16" s="112">
        <f t="shared" si="36"/>
        <v>2.4096385542168672E-3</v>
      </c>
      <c r="M16" s="116">
        <v>3.4064190085592019</v>
      </c>
      <c r="N16" s="120">
        <f t="shared" si="37"/>
        <v>2252.2800000000002</v>
      </c>
      <c r="O16" s="116">
        <v>3.0862328102710417</v>
      </c>
      <c r="P16" s="120">
        <f t="shared" si="38"/>
        <v>2252.2800000000002</v>
      </c>
      <c r="Q16" s="116">
        <v>1.6009261055634809</v>
      </c>
      <c r="R16" s="120">
        <f t="shared" si="39"/>
        <v>2252.2800000000002</v>
      </c>
      <c r="S16" s="5" t="s">
        <v>73</v>
      </c>
      <c r="T16" s="87">
        <v>41.34</v>
      </c>
      <c r="U16" s="88">
        <v>4.68</v>
      </c>
      <c r="V16" s="88">
        <v>7.92</v>
      </c>
      <c r="W16" s="88">
        <v>12.32</v>
      </c>
      <c r="X16" s="88">
        <v>6.34</v>
      </c>
      <c r="Y16" s="88">
        <v>2.89</v>
      </c>
      <c r="Z16" s="88">
        <v>1.66</v>
      </c>
      <c r="AA16" s="88">
        <v>5.29</v>
      </c>
      <c r="AB16" s="88">
        <v>0.24</v>
      </c>
      <c r="AC16" s="257"/>
      <c r="AD16" s="110">
        <f t="shared" si="40"/>
        <v>73513.517601563639</v>
      </c>
      <c r="AE16" s="110">
        <f t="shared" si="41"/>
        <v>72880.824988612803</v>
      </c>
      <c r="AF16" s="16">
        <f>SUMIF('20.01'!$I:$I,$B:$B,'20.01'!$D:$D)*1.2</f>
        <v>25730.232</v>
      </c>
      <c r="AG16" s="17">
        <f t="shared" si="42"/>
        <v>14410.793039422573</v>
      </c>
      <c r="AH16" s="17">
        <f t="shared" si="43"/>
        <v>1719.8387484888567</v>
      </c>
      <c r="AI16" s="16">
        <f>SUMIF('20.01'!$J:$J,$B:$B,'20.01'!$D:$D)*1.2</f>
        <v>0</v>
      </c>
      <c r="AJ16" s="17">
        <f t="shared" si="44"/>
        <v>698.90380176312158</v>
      </c>
      <c r="AK16" s="17">
        <f t="shared" si="45"/>
        <v>1700.2776849195147</v>
      </c>
      <c r="AL16" s="17">
        <f t="shared" si="46"/>
        <v>28620.779714018732</v>
      </c>
      <c r="AM16" s="110">
        <f t="shared" si="47"/>
        <v>0</v>
      </c>
      <c r="AN16" s="17">
        <f>SUMIF('20.01'!$K:$K,$B:$B,'20.01'!$D:$D)*1.2</f>
        <v>0</v>
      </c>
      <c r="AO16" s="17">
        <f>SUMIF('20.01'!$L:$L,$B:$B,'20.01'!$D:$D)*1.2</f>
        <v>0</v>
      </c>
      <c r="AP16" s="17">
        <f>SUMIF('20.01'!$M:$M,$B:$B,'20.01'!$D:$D)*1.2</f>
        <v>0</v>
      </c>
      <c r="AQ16" s="110">
        <f t="shared" si="48"/>
        <v>632.69261295083629</v>
      </c>
      <c r="AR16" s="17">
        <f t="shared" si="49"/>
        <v>632.69261295083629</v>
      </c>
      <c r="AS16" s="17">
        <f>(SUMIF('20.01'!$N:$N,$B:$B,'20.01'!$D:$D)+SUMIF('20.01'!$O:$O,$B:$B,'20.01'!$D:$D))*1.2</f>
        <v>0</v>
      </c>
      <c r="AT16" s="110">
        <f>SUMIF('20.01'!$P:$P,$B:$B,'20.01'!$D:$D)*1.2</f>
        <v>0</v>
      </c>
      <c r="AU16" s="110">
        <f t="shared" si="50"/>
        <v>0</v>
      </c>
      <c r="AV16" s="17">
        <f>SUMIF('20.01'!$Q:$Q,$B:$B,'20.01'!$D:$D)*1.2</f>
        <v>0</v>
      </c>
      <c r="AW16" s="17">
        <f>SUMIF('20.01'!$R:$R,$B:$B,'20.01'!$D:$D)*1.2</f>
        <v>0</v>
      </c>
      <c r="AX16" s="110">
        <f t="shared" si="51"/>
        <v>0</v>
      </c>
      <c r="AY16" s="17">
        <f>SUMIF('20.01'!$S:$S,$B:$B,'20.01'!$D:$D)*1.2</f>
        <v>0</v>
      </c>
      <c r="AZ16" s="17">
        <f>SUMIF('20.01'!$T:$T,$B:$B,'20.01'!$D:$D)*1.2</f>
        <v>0</v>
      </c>
      <c r="BA16" s="110">
        <f t="shared" si="52"/>
        <v>0</v>
      </c>
      <c r="BB16" s="17">
        <f>SUMIF('20.01'!$U:$U,$B:$B,'20.01'!$D:$D)*1.2</f>
        <v>0</v>
      </c>
      <c r="BC16" s="17">
        <f>SUMIF('20.01'!$V:$V,$B:$B,'20.01'!$D:$D)*1.2</f>
        <v>0</v>
      </c>
      <c r="BD16" s="17">
        <f>SUMIF('20.01'!$W:$W,$B:$B,'20.01'!$D:$D)*1.2</f>
        <v>0</v>
      </c>
      <c r="BE16" s="110">
        <f>SUMIF('20.01'!$X:$X,$B:$B,'20.01'!$D:$D)*1.2</f>
        <v>0</v>
      </c>
      <c r="BF16" s="110">
        <f t="shared" si="53"/>
        <v>0</v>
      </c>
      <c r="BG16" s="17">
        <f>SUMIF('20.01'!$Y:$Y,$B:$B,'20.01'!$D:$D)*1.2</f>
        <v>0</v>
      </c>
      <c r="BH16" s="17">
        <f>SUMIF('20.01'!$Z:$Z,$B:$B,'20.01'!$D:$D)*1.2</f>
        <v>0</v>
      </c>
      <c r="BI16" s="17">
        <f>SUMIF('20.01'!$AA:$AA,$B:$B,'20.01'!$D:$D)*1.2</f>
        <v>0</v>
      </c>
      <c r="BJ16" s="17">
        <f>SUMIF('20.01'!$AB:$AB,$B:$B,'20.01'!$D:$D)*1.2</f>
        <v>0</v>
      </c>
      <c r="BK16" s="17">
        <f>SUMIF('20.01'!$AC:$AC,$B:$B,'20.01'!$D:$D)*1.2</f>
        <v>0</v>
      </c>
      <c r="BL16" s="17">
        <f>SUMIF('20.01'!$AD:$AD,$B:$B,'20.01'!$D:$D)*1.2</f>
        <v>0</v>
      </c>
      <c r="BM16" s="110">
        <f t="shared" si="54"/>
        <v>0</v>
      </c>
      <c r="BN16" s="17">
        <f>SUMIF('20.01'!$AE:$AE,$B:$B,'20.01'!$D:$D)*1.2</f>
        <v>0</v>
      </c>
      <c r="BO16" s="17">
        <f>SUMIF('20.01'!$AF:$AF,$B:$B,'20.01'!$D:$D)*1.2</f>
        <v>0</v>
      </c>
      <c r="BP16" s="110">
        <f>SUMIF('20.01'!$AG:$AG,$B:$B,'20.01'!$D:$D)*1.2</f>
        <v>0</v>
      </c>
      <c r="BQ16" s="110">
        <f>SUMIF('20.01'!$AH:$AH,$B:$B,'20.01'!$D:$D)*1.2</f>
        <v>0</v>
      </c>
      <c r="BR16" s="110">
        <f>SUMIF('20.01'!$AI:$AI,$B:$B,'20.01'!$D:$D)*1.2</f>
        <v>0</v>
      </c>
      <c r="BS16" s="110">
        <f t="shared" si="55"/>
        <v>0</v>
      </c>
      <c r="BT16" s="17">
        <f>SUMIF('20.01'!$AJ:$AJ,$B:$B,'20.01'!$D:$D)*1.2</f>
        <v>0</v>
      </c>
      <c r="BU16" s="17">
        <f>SUMIF('20.01'!$AK:$AK,$B:$B,'20.01'!$D:$D)*1.2</f>
        <v>0</v>
      </c>
      <c r="BV16" s="110">
        <f>SUMIF('20.01'!$AL:$AL,$B:$B,'20.01'!$D:$D)*1.2</f>
        <v>0</v>
      </c>
      <c r="BW16" s="110">
        <f>SUMIF('20.01'!$AM:$AM,$B:$B,'20.01'!$D:$D)*1.2</f>
        <v>0</v>
      </c>
      <c r="BX16" s="110">
        <f>SUMIF('20.01'!$AN:$AN,$B:$B,'20.01'!$D:$D)*1.2</f>
        <v>0</v>
      </c>
      <c r="BY16" s="110">
        <f t="shared" si="3"/>
        <v>227946.54149713757</v>
      </c>
      <c r="BZ16" s="17">
        <f t="shared" si="4"/>
        <v>195589.66340257449</v>
      </c>
      <c r="CA16" s="17">
        <f t="shared" si="5"/>
        <v>13969.273038101088</v>
      </c>
      <c r="CB16" s="17">
        <f t="shared" si="6"/>
        <v>928.60572629376873</v>
      </c>
      <c r="CC16" s="17">
        <f>SUMIF('20.01'!$AO:$AO,$B:$B,'20.01'!$D:$D)*1.2</f>
        <v>0</v>
      </c>
      <c r="CD16" s="17">
        <f t="shared" si="7"/>
        <v>14578.166763524267</v>
      </c>
      <c r="CE16" s="17">
        <f>SUMIF('20.01'!$AQ:$AQ,$B:$B,'20.01'!$D:$D)*1.2</f>
        <v>0</v>
      </c>
      <c r="CF16" s="17">
        <f t="shared" si="8"/>
        <v>1326.3827243021981</v>
      </c>
      <c r="CG16" s="17">
        <f>SUMIF('20.01'!$AR:$AR,$B:$B,'20.01'!$D:$D)*1.2</f>
        <v>0</v>
      </c>
      <c r="CH16" s="17">
        <f t="shared" si="9"/>
        <v>781.14318067730085</v>
      </c>
      <c r="CI16" s="17">
        <f>SUMIF('20.01'!$AT:$AT,$B:$B,'20.01'!$D:$D)*1.2</f>
        <v>0</v>
      </c>
      <c r="CJ16" s="17">
        <f>SUMIF('20.01'!$AU:$AU,$B:$B,'20.01'!$D:$D)*1.2</f>
        <v>0</v>
      </c>
      <c r="CK16" s="17">
        <f>SUMIF('20.01'!$AV:$AV,$B:$B,'20.01'!$D:$D)*1.2</f>
        <v>0</v>
      </c>
      <c r="CL16" s="17">
        <f t="shared" si="10"/>
        <v>773.30666166444712</v>
      </c>
      <c r="CM16" s="17">
        <f>SUMIF('20.01'!$AW:$AW,$B:$B,'20.01'!$D:$D)*1.2</f>
        <v>0</v>
      </c>
      <c r="CN16" s="17">
        <f>SUMIF('20.01'!$AX:$AX,$B:$B,'20.01'!$D:$D)*1.2</f>
        <v>0</v>
      </c>
      <c r="CO16" s="110">
        <f t="shared" si="56"/>
        <v>259414.55144675041</v>
      </c>
      <c r="CP16" s="17">
        <f t="shared" si="57"/>
        <v>204636.93216221785</v>
      </c>
      <c r="CQ16" s="17">
        <f t="shared" si="11"/>
        <v>63133.309302742091</v>
      </c>
      <c r="CR16" s="17">
        <f t="shared" si="12"/>
        <v>141503.62285947576</v>
      </c>
      <c r="CS16" s="17">
        <f t="shared" si="58"/>
        <v>54777.619284532557</v>
      </c>
      <c r="CT16" s="17">
        <f t="shared" si="13"/>
        <v>1995.5967228772154</v>
      </c>
      <c r="CU16" s="17">
        <f t="shared" si="14"/>
        <v>1930.2079978568599</v>
      </c>
      <c r="CV16" s="17">
        <f t="shared" si="15"/>
        <v>1994.9121525083997</v>
      </c>
      <c r="CW16" s="17">
        <f t="shared" si="16"/>
        <v>20.918850406490126</v>
      </c>
      <c r="CX16" s="17">
        <f t="shared" si="17"/>
        <v>29455.844481963733</v>
      </c>
      <c r="CY16" s="17">
        <f t="shared" si="18"/>
        <v>19380.139078919852</v>
      </c>
      <c r="CZ16" s="110">
        <f t="shared" si="59"/>
        <v>64393.482924521988</v>
      </c>
      <c r="DA16" s="17">
        <f t="shared" si="60"/>
        <v>2432.4244658709449</v>
      </c>
      <c r="DB16" s="17">
        <f t="shared" si="19"/>
        <v>2308.2815904197964</v>
      </c>
      <c r="DC16" s="17">
        <f t="shared" si="20"/>
        <v>124.14287545114871</v>
      </c>
      <c r="DD16" s="17">
        <f t="shared" si="21"/>
        <v>4286.2109285982142</v>
      </c>
      <c r="DE16" s="17">
        <f t="shared" si="22"/>
        <v>1478.8557108560062</v>
      </c>
      <c r="DF16" s="17">
        <f t="shared" si="23"/>
        <v>1794.797432251916</v>
      </c>
      <c r="DG16" s="17">
        <f t="shared" si="61"/>
        <v>54401.194386944902</v>
      </c>
      <c r="DH16" s="110">
        <f t="shared" si="62"/>
        <v>40186.563585248332</v>
      </c>
      <c r="DI16" s="17">
        <f t="shared" si="24"/>
        <v>36048.986033381712</v>
      </c>
      <c r="DJ16" s="17">
        <f t="shared" si="25"/>
        <v>3986.8060296311951</v>
      </c>
      <c r="DK16" s="17">
        <f t="shared" si="26"/>
        <v>150.77152223542009</v>
      </c>
      <c r="DL16" s="110">
        <f t="shared" si="63"/>
        <v>304097.35654091788</v>
      </c>
      <c r="DM16" s="17">
        <f t="shared" si="27"/>
        <v>126622.61173277642</v>
      </c>
      <c r="DN16" s="17">
        <f t="shared" si="28"/>
        <v>112287.97644227344</v>
      </c>
      <c r="DO16" s="17">
        <f t="shared" si="29"/>
        <v>65186.768365868003</v>
      </c>
      <c r="DP16" s="110">
        <f t="shared" si="64"/>
        <v>99866.309776449867</v>
      </c>
      <c r="DQ16" s="17">
        <f>SUMIF('20.01'!$BB:$BB,$B:$B,'20.01'!$D:$D)*1.2</f>
        <v>2596.14</v>
      </c>
      <c r="DR16" s="17">
        <f t="shared" si="30"/>
        <v>96554.404295503206</v>
      </c>
      <c r="DS16" s="17">
        <f t="shared" si="31"/>
        <v>715.76548094666737</v>
      </c>
      <c r="DT16" s="110">
        <f t="shared" si="65"/>
        <v>5120.5559999999996</v>
      </c>
      <c r="DU16" s="17">
        <f>SUMIF('20.01'!$BD:$BD,$B:$B,'20.01'!$D:$D)*1.2</f>
        <v>5120.5559999999996</v>
      </c>
      <c r="DV16" s="17">
        <f t="shared" si="32"/>
        <v>0</v>
      </c>
      <c r="DW16" s="17">
        <f t="shared" si="33"/>
        <v>0</v>
      </c>
      <c r="DX16" s="110">
        <f t="shared" si="34"/>
        <v>1074538.8793725898</v>
      </c>
      <c r="DY16" s="110">
        <f>EC16*EG16</f>
        <v>87666.02399999999</v>
      </c>
      <c r="DZ16" s="110">
        <f t="shared" si="66"/>
        <v>1162204.9033725897</v>
      </c>
      <c r="EA16" s="257"/>
      <c r="EB16" s="110">
        <f t="shared" si="35"/>
        <v>886.55421686746979</v>
      </c>
      <c r="EC16" s="110">
        <f>SUMIF(еирц!$B:$B,$B:$B,еирц!$K:$K)</f>
        <v>1095825.2999999998</v>
      </c>
      <c r="ED16" s="110">
        <f>SUMIF(еирц!$B:$B,$B:$B,еирц!$P:$P)</f>
        <v>996657.75</v>
      </c>
      <c r="EE16" s="110">
        <f>SUMIF(еирц!$B:$B,$B:$B,еирц!$S:$S)</f>
        <v>685848.15</v>
      </c>
      <c r="EF16" s="177">
        <f t="shared" si="67"/>
        <v>22172.974844277604</v>
      </c>
      <c r="EG16" s="182">
        <v>0.08</v>
      </c>
      <c r="EH16" s="177">
        <f t="shared" si="69"/>
        <v>-65493.049155722372</v>
      </c>
    </row>
    <row r="17" spans="1:138" ht="12" customHeight="1" x14ac:dyDescent="0.25">
      <c r="A17" s="5">
        <f t="shared" si="70"/>
        <v>13</v>
      </c>
      <c r="B17" s="6" t="s">
        <v>86</v>
      </c>
      <c r="C17" s="7">
        <f t="shared" si="0"/>
        <v>546.05999999999995</v>
      </c>
      <c r="D17" s="8">
        <v>546.05999999999995</v>
      </c>
      <c r="E17" s="8">
        <v>0</v>
      </c>
      <c r="F17" s="8">
        <v>89.7</v>
      </c>
      <c r="G17" s="87">
        <f t="shared" si="1"/>
        <v>546.05999999999995</v>
      </c>
      <c r="H17" s="87">
        <f t="shared" si="2"/>
        <v>546.05999999999995</v>
      </c>
      <c r="I17" s="91">
        <v>0</v>
      </c>
      <c r="J17" s="112">
        <v>0</v>
      </c>
      <c r="K17" s="17">
        <v>0</v>
      </c>
      <c r="L17" s="112">
        <f t="shared" si="36"/>
        <v>0</v>
      </c>
      <c r="M17" s="116">
        <v>3.4064108975418113</v>
      </c>
      <c r="N17" s="120">
        <f t="shared" si="37"/>
        <v>546.05999999999995</v>
      </c>
      <c r="O17" s="116">
        <v>3.0862085146224603</v>
      </c>
      <c r="P17" s="120">
        <f t="shared" si="38"/>
        <v>546.05999999999995</v>
      </c>
      <c r="Q17" s="116">
        <v>0</v>
      </c>
      <c r="R17" s="120">
        <f t="shared" si="39"/>
        <v>0</v>
      </c>
      <c r="S17" s="5" t="s">
        <v>73</v>
      </c>
      <c r="T17" s="87">
        <v>28.44</v>
      </c>
      <c r="U17" s="88">
        <v>4.68</v>
      </c>
      <c r="V17" s="88">
        <v>6.05</v>
      </c>
      <c r="W17" s="88">
        <v>8.24</v>
      </c>
      <c r="X17" s="88">
        <v>6.34</v>
      </c>
      <c r="Y17" s="88">
        <v>2.89</v>
      </c>
      <c r="Z17" s="88">
        <v>0</v>
      </c>
      <c r="AA17" s="88">
        <v>0</v>
      </c>
      <c r="AB17" s="88">
        <v>0.24</v>
      </c>
      <c r="AC17" s="257"/>
      <c r="AD17" s="110">
        <f t="shared" si="40"/>
        <v>36393.289448873955</v>
      </c>
      <c r="AE17" s="110">
        <f t="shared" si="41"/>
        <v>36239.894609765171</v>
      </c>
      <c r="AF17" s="16">
        <f>SUMIF('20.01'!$I:$I,$B:$B,'20.01'!$D:$D)*1.2</f>
        <v>24808.344000000001</v>
      </c>
      <c r="AG17" s="17">
        <f t="shared" si="42"/>
        <v>3493.8629509239922</v>
      </c>
      <c r="AH17" s="17">
        <f t="shared" si="43"/>
        <v>416.97086818682624</v>
      </c>
      <c r="AI17" s="16">
        <f>SUMIF('20.01'!$J:$J,$B:$B,'20.01'!$D:$D)*1.2</f>
        <v>0</v>
      </c>
      <c r="AJ17" s="17">
        <f t="shared" si="44"/>
        <v>169.44758644163696</v>
      </c>
      <c r="AK17" s="17">
        <f t="shared" si="45"/>
        <v>412.22833423337687</v>
      </c>
      <c r="AL17" s="17">
        <f t="shared" si="46"/>
        <v>6939.0408699793388</v>
      </c>
      <c r="AM17" s="110">
        <f t="shared" si="47"/>
        <v>0</v>
      </c>
      <c r="AN17" s="17">
        <f>SUMIF('20.01'!$K:$K,$B:$B,'20.01'!$D:$D)*1.2</f>
        <v>0</v>
      </c>
      <c r="AO17" s="17">
        <f>SUMIF('20.01'!$L:$L,$B:$B,'20.01'!$D:$D)*1.2</f>
        <v>0</v>
      </c>
      <c r="AP17" s="17">
        <f>SUMIF('20.01'!$M:$M,$B:$B,'20.01'!$D:$D)*1.2</f>
        <v>0</v>
      </c>
      <c r="AQ17" s="110">
        <f t="shared" si="48"/>
        <v>153.39483910878468</v>
      </c>
      <c r="AR17" s="17">
        <f t="shared" si="49"/>
        <v>153.39483910878468</v>
      </c>
      <c r="AS17" s="17">
        <f>(SUMIF('20.01'!$N:$N,$B:$B,'20.01'!$D:$D)+SUMIF('20.01'!$O:$O,$B:$B,'20.01'!$D:$D))*1.2</f>
        <v>0</v>
      </c>
      <c r="AT17" s="110">
        <f>SUMIF('20.01'!$P:$P,$B:$B,'20.01'!$D:$D)*1.2</f>
        <v>0</v>
      </c>
      <c r="AU17" s="110">
        <f t="shared" si="50"/>
        <v>0</v>
      </c>
      <c r="AV17" s="17">
        <f>SUMIF('20.01'!$Q:$Q,$B:$B,'20.01'!$D:$D)*1.2</f>
        <v>0</v>
      </c>
      <c r="AW17" s="17">
        <f>SUMIF('20.01'!$R:$R,$B:$B,'20.01'!$D:$D)*1.2</f>
        <v>0</v>
      </c>
      <c r="AX17" s="110">
        <f t="shared" si="51"/>
        <v>0</v>
      </c>
      <c r="AY17" s="17">
        <f>SUMIF('20.01'!$S:$S,$B:$B,'20.01'!$D:$D)*1.2</f>
        <v>0</v>
      </c>
      <c r="AZ17" s="17">
        <f>SUMIF('20.01'!$T:$T,$B:$B,'20.01'!$D:$D)*1.2</f>
        <v>0</v>
      </c>
      <c r="BA17" s="110">
        <f t="shared" si="52"/>
        <v>0</v>
      </c>
      <c r="BB17" s="17">
        <f>SUMIF('20.01'!$U:$U,$B:$B,'20.01'!$D:$D)*1.2</f>
        <v>0</v>
      </c>
      <c r="BC17" s="17">
        <f>SUMIF('20.01'!$V:$V,$B:$B,'20.01'!$D:$D)*1.2</f>
        <v>0</v>
      </c>
      <c r="BD17" s="17">
        <f>SUMIF('20.01'!$W:$W,$B:$B,'20.01'!$D:$D)*1.2</f>
        <v>0</v>
      </c>
      <c r="BE17" s="110">
        <f>SUMIF('20.01'!$X:$X,$B:$B,'20.01'!$D:$D)*1.2</f>
        <v>0</v>
      </c>
      <c r="BF17" s="110">
        <f t="shared" si="53"/>
        <v>0</v>
      </c>
      <c r="BG17" s="17">
        <f>SUMIF('20.01'!$Y:$Y,$B:$B,'20.01'!$D:$D)*1.2</f>
        <v>0</v>
      </c>
      <c r="BH17" s="17">
        <f>SUMIF('20.01'!$Z:$Z,$B:$B,'20.01'!$D:$D)*1.2</f>
        <v>0</v>
      </c>
      <c r="BI17" s="17">
        <f>SUMIF('20.01'!$AA:$AA,$B:$B,'20.01'!$D:$D)*1.2</f>
        <v>0</v>
      </c>
      <c r="BJ17" s="17">
        <f>SUMIF('20.01'!$AB:$AB,$B:$B,'20.01'!$D:$D)*1.2</f>
        <v>0</v>
      </c>
      <c r="BK17" s="17">
        <f>SUMIF('20.01'!$AC:$AC,$B:$B,'20.01'!$D:$D)*1.2</f>
        <v>0</v>
      </c>
      <c r="BL17" s="17">
        <f>SUMIF('20.01'!$AD:$AD,$B:$B,'20.01'!$D:$D)*1.2</f>
        <v>0</v>
      </c>
      <c r="BM17" s="110">
        <f t="shared" si="54"/>
        <v>0</v>
      </c>
      <c r="BN17" s="17">
        <f>SUMIF('20.01'!$AE:$AE,$B:$B,'20.01'!$D:$D)*1.2</f>
        <v>0</v>
      </c>
      <c r="BO17" s="17">
        <f>SUMIF('20.01'!$AF:$AF,$B:$B,'20.01'!$D:$D)*1.2</f>
        <v>0</v>
      </c>
      <c r="BP17" s="110">
        <f>SUMIF('20.01'!$AG:$AG,$B:$B,'20.01'!$D:$D)*1.2</f>
        <v>0</v>
      </c>
      <c r="BQ17" s="110">
        <f>SUMIF('20.01'!$AH:$AH,$B:$B,'20.01'!$D:$D)*1.2</f>
        <v>0</v>
      </c>
      <c r="BR17" s="110">
        <f>SUMIF('20.01'!$AI:$AI,$B:$B,'20.01'!$D:$D)*1.2</f>
        <v>0</v>
      </c>
      <c r="BS17" s="110">
        <f t="shared" si="55"/>
        <v>0</v>
      </c>
      <c r="BT17" s="17">
        <f>SUMIF('20.01'!$AJ:$AJ,$B:$B,'20.01'!$D:$D)*1.2</f>
        <v>0</v>
      </c>
      <c r="BU17" s="17">
        <f>SUMIF('20.01'!$AK:$AK,$B:$B,'20.01'!$D:$D)*1.2</f>
        <v>0</v>
      </c>
      <c r="BV17" s="110">
        <f>SUMIF('20.01'!$AL:$AL,$B:$B,'20.01'!$D:$D)*1.2</f>
        <v>0</v>
      </c>
      <c r="BW17" s="110">
        <f>SUMIF('20.01'!$AM:$AM,$B:$B,'20.01'!$D:$D)*1.2</f>
        <v>0</v>
      </c>
      <c r="BX17" s="110">
        <f>SUMIF('20.01'!$AN:$AN,$B:$B,'20.01'!$D:$D)*1.2</f>
        <v>0</v>
      </c>
      <c r="BY17" s="110">
        <f t="shared" si="3"/>
        <v>67165.936005686191</v>
      </c>
      <c r="BZ17" s="17">
        <f t="shared" si="4"/>
        <v>47420.254851798978</v>
      </c>
      <c r="CA17" s="17">
        <f t="shared" si="5"/>
        <v>3386.8174628312104</v>
      </c>
      <c r="CB17" s="17">
        <f t="shared" si="6"/>
        <v>225.13827894399242</v>
      </c>
      <c r="CC17" s="17">
        <f>SUMIF('20.01'!$AO:$AO,$B:$B,'20.01'!$D:$D)*1.2</f>
        <v>0</v>
      </c>
      <c r="CD17" s="17">
        <f t="shared" si="7"/>
        <v>3534.4423175138345</v>
      </c>
      <c r="CE17" s="17">
        <f>SUMIF('20.01'!$AQ:$AQ,$B:$B,'20.01'!$D:$D)*1.2</f>
        <v>0</v>
      </c>
      <c r="CF17" s="17">
        <f t="shared" si="8"/>
        <v>321.57837854638774</v>
      </c>
      <c r="CG17" s="17">
        <f>SUMIF('20.01'!$AR:$AR,$B:$B,'20.01'!$D:$D)*1.2</f>
        <v>11900.832</v>
      </c>
      <c r="CH17" s="17">
        <f t="shared" si="9"/>
        <v>189.38633084725117</v>
      </c>
      <c r="CI17" s="17">
        <f>SUMIF('20.01'!$AT:$AT,$B:$B,'20.01'!$D:$D)*1.2</f>
        <v>0</v>
      </c>
      <c r="CJ17" s="17">
        <f>SUMIF('20.01'!$AU:$AU,$B:$B,'20.01'!$D:$D)*1.2</f>
        <v>0</v>
      </c>
      <c r="CK17" s="17">
        <f>SUMIF('20.01'!$AV:$AV,$B:$B,'20.01'!$D:$D)*1.2</f>
        <v>0</v>
      </c>
      <c r="CL17" s="17">
        <f t="shared" si="10"/>
        <v>187.4863852045429</v>
      </c>
      <c r="CM17" s="17">
        <f>SUMIF('20.01'!$AW:$AW,$B:$B,'20.01'!$D:$D)*1.2</f>
        <v>0</v>
      </c>
      <c r="CN17" s="17">
        <f>SUMIF('20.01'!$AX:$AX,$B:$B,'20.01'!$D:$D)*1.2</f>
        <v>0</v>
      </c>
      <c r="CO17" s="110">
        <f t="shared" si="56"/>
        <v>62894.449163963844</v>
      </c>
      <c r="CP17" s="17">
        <f t="shared" si="57"/>
        <v>49613.743929041084</v>
      </c>
      <c r="CQ17" s="17">
        <f t="shared" si="11"/>
        <v>15306.522669408483</v>
      </c>
      <c r="CR17" s="17">
        <f t="shared" si="12"/>
        <v>34307.221259632599</v>
      </c>
      <c r="CS17" s="17">
        <f t="shared" si="58"/>
        <v>13280.705234922762</v>
      </c>
      <c r="CT17" s="17">
        <f t="shared" si="13"/>
        <v>483.82774188570335</v>
      </c>
      <c r="CU17" s="17">
        <f t="shared" si="14"/>
        <v>467.97439896891893</v>
      </c>
      <c r="CV17" s="17">
        <f t="shared" si="15"/>
        <v>483.66176940643993</v>
      </c>
      <c r="CW17" s="17">
        <f t="shared" si="16"/>
        <v>5.071726185451185</v>
      </c>
      <c r="CX17" s="17">
        <f t="shared" si="17"/>
        <v>7141.5003631081008</v>
      </c>
      <c r="CY17" s="17">
        <f t="shared" si="18"/>
        <v>4698.6692353681483</v>
      </c>
      <c r="CZ17" s="110">
        <f t="shared" si="59"/>
        <v>15612.04880643813</v>
      </c>
      <c r="DA17" s="17">
        <f t="shared" si="60"/>
        <v>589.73560295944026</v>
      </c>
      <c r="DB17" s="17">
        <f t="shared" si="19"/>
        <v>559.63745416406209</v>
      </c>
      <c r="DC17" s="17">
        <f t="shared" si="20"/>
        <v>30.098148795378126</v>
      </c>
      <c r="DD17" s="17">
        <f t="shared" si="21"/>
        <v>1039.1817800941003</v>
      </c>
      <c r="DE17" s="17">
        <f t="shared" si="22"/>
        <v>358.54509628910733</v>
      </c>
      <c r="DF17" s="17">
        <f t="shared" si="23"/>
        <v>435.14442514051586</v>
      </c>
      <c r="DG17" s="17">
        <f t="shared" si="61"/>
        <v>13189.441901954966</v>
      </c>
      <c r="DH17" s="110">
        <f t="shared" si="62"/>
        <v>9743.1380251836799</v>
      </c>
      <c r="DI17" s="17">
        <f t="shared" si="24"/>
        <v>8739.9920584422962</v>
      </c>
      <c r="DJ17" s="17">
        <f t="shared" si="25"/>
        <v>966.59176502939681</v>
      </c>
      <c r="DK17" s="17">
        <f t="shared" si="26"/>
        <v>36.554201711986735</v>
      </c>
      <c r="DL17" s="110">
        <f t="shared" si="63"/>
        <v>57923.311390620926</v>
      </c>
      <c r="DM17" s="17">
        <f t="shared" si="27"/>
        <v>30699.35503702909</v>
      </c>
      <c r="DN17" s="17">
        <f t="shared" si="28"/>
        <v>27223.956353591835</v>
      </c>
      <c r="DO17" s="17">
        <f t="shared" si="29"/>
        <v>0</v>
      </c>
      <c r="DP17" s="110">
        <f t="shared" si="64"/>
        <v>0</v>
      </c>
      <c r="DQ17" s="17">
        <f>SUMIF('20.01'!$BB:$BB,$B:$B,'20.01'!$D:$D)*1.2</f>
        <v>0</v>
      </c>
      <c r="DR17" s="17">
        <f t="shared" si="30"/>
        <v>0</v>
      </c>
      <c r="DS17" s="17">
        <f t="shared" si="31"/>
        <v>0</v>
      </c>
      <c r="DT17" s="110">
        <f t="shared" si="65"/>
        <v>758.60399999999993</v>
      </c>
      <c r="DU17" s="17">
        <f>SUMIF('20.01'!$BD:$BD,$B:$B,'20.01'!$D:$D)*1.2</f>
        <v>758.60399999999993</v>
      </c>
      <c r="DV17" s="17">
        <f t="shared" si="32"/>
        <v>0</v>
      </c>
      <c r="DW17" s="17">
        <f t="shared" si="33"/>
        <v>0</v>
      </c>
      <c r="DX17" s="110">
        <f t="shared" si="34"/>
        <v>250490.77684076669</v>
      </c>
      <c r="DY17" s="110"/>
      <c r="DZ17" s="110">
        <f t="shared" si="66"/>
        <v>250490.77684076669</v>
      </c>
      <c r="EA17" s="257"/>
      <c r="EB17" s="110">
        <f t="shared" si="35"/>
        <v>0</v>
      </c>
      <c r="EC17" s="110">
        <f>SUMIF(еирц!$B:$B,$B:$B,еирц!$K:$K)</f>
        <v>182788.32</v>
      </c>
      <c r="ED17" s="110">
        <f>SUMIF(еирц!$B:$B,$B:$B,еирц!$P:$P)</f>
        <v>202081.44</v>
      </c>
      <c r="EE17" s="110">
        <f>SUMIF(еирц!$B:$B,$B:$B,еирц!$S:$S)</f>
        <v>15247.069999999998</v>
      </c>
      <c r="EF17" s="177">
        <f t="shared" si="67"/>
        <v>-67702.456840766681</v>
      </c>
      <c r="EG17" s="181">
        <f t="shared" si="68"/>
        <v>0</v>
      </c>
      <c r="EH17" s="177">
        <f t="shared" si="69"/>
        <v>-67702.456840766681</v>
      </c>
    </row>
    <row r="18" spans="1:138" ht="12" customHeight="1" x14ac:dyDescent="0.25">
      <c r="A18" s="5">
        <f t="shared" si="70"/>
        <v>14</v>
      </c>
      <c r="B18" s="6" t="s">
        <v>88</v>
      </c>
      <c r="C18" s="7">
        <f t="shared" si="0"/>
        <v>560.67999999999995</v>
      </c>
      <c r="D18" s="8">
        <v>560.67999999999995</v>
      </c>
      <c r="E18" s="8">
        <v>0</v>
      </c>
      <c r="F18" s="8">
        <v>100</v>
      </c>
      <c r="G18" s="87">
        <f t="shared" si="1"/>
        <v>560.67999999999995</v>
      </c>
      <c r="H18" s="87">
        <f t="shared" si="2"/>
        <v>560.67999999999995</v>
      </c>
      <c r="I18" s="91">
        <v>0</v>
      </c>
      <c r="J18" s="112">
        <v>0</v>
      </c>
      <c r="K18" s="17">
        <v>0</v>
      </c>
      <c r="L18" s="112">
        <f t="shared" si="36"/>
        <v>0</v>
      </c>
      <c r="M18" s="116">
        <v>3.4064146106542199</v>
      </c>
      <c r="N18" s="120">
        <f t="shared" si="37"/>
        <v>560.67999999999995</v>
      </c>
      <c r="O18" s="116">
        <v>3.0862302733940878</v>
      </c>
      <c r="P18" s="120">
        <f t="shared" si="38"/>
        <v>560.67999999999995</v>
      </c>
      <c r="Q18" s="116">
        <v>0</v>
      </c>
      <c r="R18" s="120">
        <f t="shared" si="39"/>
        <v>0</v>
      </c>
      <c r="S18" s="5" t="s">
        <v>73</v>
      </c>
      <c r="T18" s="87">
        <v>28.44</v>
      </c>
      <c r="U18" s="88">
        <v>4.68</v>
      </c>
      <c r="V18" s="88">
        <v>6.05</v>
      </c>
      <c r="W18" s="88">
        <v>8.24</v>
      </c>
      <c r="X18" s="88">
        <v>6.34</v>
      </c>
      <c r="Y18" s="88">
        <v>2.89</v>
      </c>
      <c r="Z18" s="88">
        <v>0</v>
      </c>
      <c r="AA18" s="88">
        <v>0</v>
      </c>
      <c r="AB18" s="88">
        <v>0.24</v>
      </c>
      <c r="AC18" s="257"/>
      <c r="AD18" s="110">
        <f t="shared" si="40"/>
        <v>63625.688313728606</v>
      </c>
      <c r="AE18" s="110">
        <f t="shared" si="41"/>
        <v>63468.186540312658</v>
      </c>
      <c r="AF18" s="16">
        <f>SUMIF('20.01'!$I:$I,$B:$B,'20.01'!$D:$D)*1.2</f>
        <v>51730.571999999993</v>
      </c>
      <c r="AG18" s="17">
        <f t="shared" si="42"/>
        <v>3587.4062911109841</v>
      </c>
      <c r="AH18" s="17">
        <f t="shared" si="43"/>
        <v>428.1346855198874</v>
      </c>
      <c r="AI18" s="16">
        <f>SUMIF('20.01'!$J:$J,$B:$B,'20.01'!$D:$D)*1.2</f>
        <v>0</v>
      </c>
      <c r="AJ18" s="17">
        <f t="shared" si="44"/>
        <v>173.98431081950153</v>
      </c>
      <c r="AK18" s="17">
        <f t="shared" si="45"/>
        <v>423.26517679004093</v>
      </c>
      <c r="AL18" s="17">
        <f t="shared" si="46"/>
        <v>7124.8240760722556</v>
      </c>
      <c r="AM18" s="110">
        <f t="shared" si="47"/>
        <v>0</v>
      </c>
      <c r="AN18" s="17">
        <f>SUMIF('20.01'!$K:$K,$B:$B,'20.01'!$D:$D)*1.2</f>
        <v>0</v>
      </c>
      <c r="AO18" s="17">
        <f>SUMIF('20.01'!$L:$L,$B:$B,'20.01'!$D:$D)*1.2</f>
        <v>0</v>
      </c>
      <c r="AP18" s="17">
        <f>SUMIF('20.01'!$M:$M,$B:$B,'20.01'!$D:$D)*1.2</f>
        <v>0</v>
      </c>
      <c r="AQ18" s="110">
        <f t="shared" si="48"/>
        <v>157.50177341594951</v>
      </c>
      <c r="AR18" s="17">
        <f t="shared" si="49"/>
        <v>157.50177341594951</v>
      </c>
      <c r="AS18" s="17">
        <f>(SUMIF('20.01'!$N:$N,$B:$B,'20.01'!$D:$D)+SUMIF('20.01'!$O:$O,$B:$B,'20.01'!$D:$D))*1.2</f>
        <v>0</v>
      </c>
      <c r="AT18" s="110">
        <f>SUMIF('20.01'!$P:$P,$B:$B,'20.01'!$D:$D)*1.2</f>
        <v>0</v>
      </c>
      <c r="AU18" s="110">
        <f t="shared" si="50"/>
        <v>0</v>
      </c>
      <c r="AV18" s="17">
        <f>SUMIF('20.01'!$Q:$Q,$B:$B,'20.01'!$D:$D)*1.2</f>
        <v>0</v>
      </c>
      <c r="AW18" s="17">
        <f>SUMIF('20.01'!$R:$R,$B:$B,'20.01'!$D:$D)*1.2</f>
        <v>0</v>
      </c>
      <c r="AX18" s="110">
        <f t="shared" si="51"/>
        <v>0</v>
      </c>
      <c r="AY18" s="17">
        <f>SUMIF('20.01'!$S:$S,$B:$B,'20.01'!$D:$D)*1.2</f>
        <v>0</v>
      </c>
      <c r="AZ18" s="17">
        <f>SUMIF('20.01'!$T:$T,$B:$B,'20.01'!$D:$D)*1.2</f>
        <v>0</v>
      </c>
      <c r="BA18" s="110">
        <f t="shared" si="52"/>
        <v>0</v>
      </c>
      <c r="BB18" s="17">
        <f>SUMIF('20.01'!$U:$U,$B:$B,'20.01'!$D:$D)*1.2</f>
        <v>0</v>
      </c>
      <c r="BC18" s="17">
        <f>SUMIF('20.01'!$V:$V,$B:$B,'20.01'!$D:$D)*1.2</f>
        <v>0</v>
      </c>
      <c r="BD18" s="17">
        <f>SUMIF('20.01'!$W:$W,$B:$B,'20.01'!$D:$D)*1.2</f>
        <v>0</v>
      </c>
      <c r="BE18" s="110">
        <f>SUMIF('20.01'!$X:$X,$B:$B,'20.01'!$D:$D)*1.2</f>
        <v>0</v>
      </c>
      <c r="BF18" s="110">
        <f t="shared" si="53"/>
        <v>0</v>
      </c>
      <c r="BG18" s="17">
        <f>SUMIF('20.01'!$Y:$Y,$B:$B,'20.01'!$D:$D)*1.2</f>
        <v>0</v>
      </c>
      <c r="BH18" s="17">
        <f>SUMIF('20.01'!$Z:$Z,$B:$B,'20.01'!$D:$D)*1.2</f>
        <v>0</v>
      </c>
      <c r="BI18" s="17">
        <f>SUMIF('20.01'!$AA:$AA,$B:$B,'20.01'!$D:$D)*1.2</f>
        <v>0</v>
      </c>
      <c r="BJ18" s="17">
        <f>SUMIF('20.01'!$AB:$AB,$B:$B,'20.01'!$D:$D)*1.2</f>
        <v>0</v>
      </c>
      <c r="BK18" s="17">
        <f>SUMIF('20.01'!$AC:$AC,$B:$B,'20.01'!$D:$D)*1.2</f>
        <v>0</v>
      </c>
      <c r="BL18" s="17">
        <f>SUMIF('20.01'!$AD:$AD,$B:$B,'20.01'!$D:$D)*1.2</f>
        <v>0</v>
      </c>
      <c r="BM18" s="110">
        <f t="shared" si="54"/>
        <v>0</v>
      </c>
      <c r="BN18" s="17">
        <f>SUMIF('20.01'!$AE:$AE,$B:$B,'20.01'!$D:$D)*1.2</f>
        <v>0</v>
      </c>
      <c r="BO18" s="17">
        <f>SUMIF('20.01'!$AF:$AF,$B:$B,'20.01'!$D:$D)*1.2</f>
        <v>0</v>
      </c>
      <c r="BP18" s="110">
        <f>SUMIF('20.01'!$AG:$AG,$B:$B,'20.01'!$D:$D)*1.2</f>
        <v>0</v>
      </c>
      <c r="BQ18" s="110">
        <f>SUMIF('20.01'!$AH:$AH,$B:$B,'20.01'!$D:$D)*1.2</f>
        <v>0</v>
      </c>
      <c r="BR18" s="110">
        <f>SUMIF('20.01'!$AI:$AI,$B:$B,'20.01'!$D:$D)*1.2</f>
        <v>0</v>
      </c>
      <c r="BS18" s="110">
        <f t="shared" si="55"/>
        <v>0</v>
      </c>
      <c r="BT18" s="17">
        <f>SUMIF('20.01'!$AJ:$AJ,$B:$B,'20.01'!$D:$D)*1.2</f>
        <v>0</v>
      </c>
      <c r="BU18" s="17">
        <f>SUMIF('20.01'!$AK:$AK,$B:$B,'20.01'!$D:$D)*1.2</f>
        <v>0</v>
      </c>
      <c r="BV18" s="110">
        <f>SUMIF('20.01'!$AL:$AL,$B:$B,'20.01'!$D:$D)*1.2</f>
        <v>0</v>
      </c>
      <c r="BW18" s="110">
        <f>SUMIF('20.01'!$AM:$AM,$B:$B,'20.01'!$D:$D)*1.2</f>
        <v>0</v>
      </c>
      <c r="BX18" s="110">
        <f>SUMIF('20.01'!$AN:$AN,$B:$B,'20.01'!$D:$D)*1.2</f>
        <v>0</v>
      </c>
      <c r="BY18" s="110">
        <f t="shared" si="3"/>
        <v>65011.646602329674</v>
      </c>
      <c r="BZ18" s="17">
        <f t="shared" si="4"/>
        <v>48689.866480435579</v>
      </c>
      <c r="CA18" s="17">
        <f t="shared" si="5"/>
        <v>3477.4948083730783</v>
      </c>
      <c r="CB18" s="17">
        <f t="shared" si="6"/>
        <v>231.16604446089747</v>
      </c>
      <c r="CC18" s="17">
        <f>SUMIF('20.01'!$AO:$AO,$B:$B,'20.01'!$D:$D)*1.2</f>
        <v>0</v>
      </c>
      <c r="CD18" s="17">
        <f t="shared" si="7"/>
        <v>3629.0721140234714</v>
      </c>
      <c r="CE18" s="17">
        <f>SUMIF('20.01'!$AQ:$AQ,$B:$B,'20.01'!$D:$D)*1.2</f>
        <v>0</v>
      </c>
      <c r="CF18" s="17">
        <f t="shared" si="8"/>
        <v>330.18819412406822</v>
      </c>
      <c r="CG18" s="17">
        <f>SUMIF('20.01'!$AR:$AR,$B:$B,'20.01'!$D:$D)*1.2</f>
        <v>8266.8959999999988</v>
      </c>
      <c r="CH18" s="17">
        <f t="shared" si="9"/>
        <v>194.45688748386036</v>
      </c>
      <c r="CI18" s="17">
        <f>SUMIF('20.01'!$AT:$AT,$B:$B,'20.01'!$D:$D)*1.2</f>
        <v>0</v>
      </c>
      <c r="CJ18" s="17">
        <f>SUMIF('20.01'!$AU:$AU,$B:$B,'20.01'!$D:$D)*1.2</f>
        <v>0</v>
      </c>
      <c r="CK18" s="17">
        <f>SUMIF('20.01'!$AV:$AV,$B:$B,'20.01'!$D:$D)*1.2</f>
        <v>0</v>
      </c>
      <c r="CL18" s="17">
        <f t="shared" si="10"/>
        <v>192.50607342871319</v>
      </c>
      <c r="CM18" s="17">
        <f>SUMIF('20.01'!$AW:$AW,$B:$B,'20.01'!$D:$D)*1.2</f>
        <v>0</v>
      </c>
      <c r="CN18" s="17">
        <f>SUMIF('20.01'!$AX:$AX,$B:$B,'20.01'!$D:$D)*1.2</f>
        <v>0</v>
      </c>
      <c r="CO18" s="110">
        <f t="shared" si="56"/>
        <v>64578.36090768643</v>
      </c>
      <c r="CP18" s="17">
        <f t="shared" si="57"/>
        <v>50942.083188907367</v>
      </c>
      <c r="CQ18" s="17">
        <f t="shared" si="11"/>
        <v>15716.333608548417</v>
      </c>
      <c r="CR18" s="17">
        <f t="shared" si="12"/>
        <v>35225.749580358948</v>
      </c>
      <c r="CS18" s="17">
        <f t="shared" si="58"/>
        <v>13636.277718779062</v>
      </c>
      <c r="CT18" s="17">
        <f t="shared" si="13"/>
        <v>496.78155938995013</v>
      </c>
      <c r="CU18" s="17">
        <f t="shared" si="14"/>
        <v>480.50376517945546</v>
      </c>
      <c r="CV18" s="17">
        <f t="shared" si="15"/>
        <v>496.61114322748921</v>
      </c>
      <c r="CW18" s="17">
        <f t="shared" si="16"/>
        <v>5.2075146278042164</v>
      </c>
      <c r="CX18" s="17">
        <f t="shared" si="17"/>
        <v>7332.7041416464308</v>
      </c>
      <c r="CY18" s="17">
        <f t="shared" si="18"/>
        <v>4824.4695947079326</v>
      </c>
      <c r="CZ18" s="110">
        <f t="shared" si="59"/>
        <v>16030.03978462757</v>
      </c>
      <c r="DA18" s="17">
        <f t="shared" si="60"/>
        <v>605.52495672142061</v>
      </c>
      <c r="DB18" s="17">
        <f t="shared" si="19"/>
        <v>574.62097168938635</v>
      </c>
      <c r="DC18" s="17">
        <f t="shared" si="20"/>
        <v>30.903985032034225</v>
      </c>
      <c r="DD18" s="17">
        <f t="shared" si="21"/>
        <v>1067.0044325956126</v>
      </c>
      <c r="DE18" s="17">
        <f t="shared" si="22"/>
        <v>368.14464452143847</v>
      </c>
      <c r="DF18" s="17">
        <f t="shared" si="23"/>
        <v>446.79481428374982</v>
      </c>
      <c r="DG18" s="17">
        <f t="shared" si="61"/>
        <v>13542.570936505348</v>
      </c>
      <c r="DH18" s="110">
        <f t="shared" si="62"/>
        <v>10003.997047870171</v>
      </c>
      <c r="DI18" s="17">
        <f t="shared" si="24"/>
        <v>8973.993237606539</v>
      </c>
      <c r="DJ18" s="17">
        <f t="shared" si="25"/>
        <v>992.47092044222654</v>
      </c>
      <c r="DK18" s="17">
        <f t="shared" si="26"/>
        <v>37.532889821405561</v>
      </c>
      <c r="DL18" s="110">
        <f t="shared" si="63"/>
        <v>59474.127807371609</v>
      </c>
      <c r="DM18" s="17">
        <f t="shared" si="27"/>
        <v>31521.287737906954</v>
      </c>
      <c r="DN18" s="17">
        <f t="shared" si="28"/>
        <v>27952.840069464659</v>
      </c>
      <c r="DO18" s="17">
        <f t="shared" si="29"/>
        <v>0</v>
      </c>
      <c r="DP18" s="110">
        <f t="shared" si="64"/>
        <v>0</v>
      </c>
      <c r="DQ18" s="17">
        <f>SUMIF('20.01'!$BB:$BB,$B:$B,'20.01'!$D:$D)*1.2</f>
        <v>0</v>
      </c>
      <c r="DR18" s="17">
        <f t="shared" si="30"/>
        <v>0</v>
      </c>
      <c r="DS18" s="17">
        <f t="shared" si="31"/>
        <v>0</v>
      </c>
      <c r="DT18" s="110">
        <f t="shared" si="65"/>
        <v>758.60399999999993</v>
      </c>
      <c r="DU18" s="17">
        <f>SUMIF('20.01'!$BD:$BD,$B:$B,'20.01'!$D:$D)*1.2</f>
        <v>758.60399999999993</v>
      </c>
      <c r="DV18" s="17">
        <f t="shared" si="32"/>
        <v>0</v>
      </c>
      <c r="DW18" s="17">
        <f t="shared" si="33"/>
        <v>0</v>
      </c>
      <c r="DX18" s="110">
        <f t="shared" si="34"/>
        <v>279482.46446361404</v>
      </c>
      <c r="DY18" s="110"/>
      <c r="DZ18" s="110">
        <f t="shared" si="66"/>
        <v>279482.46446361404</v>
      </c>
      <c r="EA18" s="257"/>
      <c r="EB18" s="110">
        <f t="shared" si="35"/>
        <v>0</v>
      </c>
      <c r="EC18" s="110">
        <f>SUMIF(еирц!$B:$B,$B:$B,еирц!$K:$K)</f>
        <v>187682.34</v>
      </c>
      <c r="ED18" s="110">
        <f>SUMIF(еирц!$B:$B,$B:$B,еирц!$P:$P)</f>
        <v>169113.03</v>
      </c>
      <c r="EE18" s="110">
        <f>SUMIF(еирц!$B:$B,$B:$B,еирц!$S:$S)</f>
        <v>99000.25</v>
      </c>
      <c r="EF18" s="177">
        <f t="shared" si="67"/>
        <v>-91800.124463614047</v>
      </c>
      <c r="EG18" s="181">
        <f t="shared" si="68"/>
        <v>0</v>
      </c>
      <c r="EH18" s="177">
        <f t="shared" si="69"/>
        <v>-91800.124463614047</v>
      </c>
    </row>
    <row r="19" spans="1:138" ht="12" customHeight="1" x14ac:dyDescent="0.25">
      <c r="A19" s="5">
        <f t="shared" si="70"/>
        <v>15</v>
      </c>
      <c r="B19" s="6" t="s">
        <v>89</v>
      </c>
      <c r="C19" s="7">
        <f t="shared" si="0"/>
        <v>642.20000000000005</v>
      </c>
      <c r="D19" s="8">
        <v>642.20000000000005</v>
      </c>
      <c r="E19" s="8">
        <v>0</v>
      </c>
      <c r="F19" s="8">
        <v>65.400000000000006</v>
      </c>
      <c r="G19" s="87">
        <f t="shared" si="1"/>
        <v>642.20000000000005</v>
      </c>
      <c r="H19" s="87">
        <f t="shared" si="2"/>
        <v>642.20000000000005</v>
      </c>
      <c r="I19" s="91">
        <v>0</v>
      </c>
      <c r="J19" s="112">
        <v>0</v>
      </c>
      <c r="K19" s="17">
        <v>0</v>
      </c>
      <c r="L19" s="112">
        <f t="shared" si="36"/>
        <v>0</v>
      </c>
      <c r="M19" s="116">
        <v>3.4064178026766263</v>
      </c>
      <c r="N19" s="120">
        <f t="shared" si="37"/>
        <v>642.20000000000005</v>
      </c>
      <c r="O19" s="116">
        <v>3.0862309368191725</v>
      </c>
      <c r="P19" s="120">
        <f t="shared" si="38"/>
        <v>642.20000000000005</v>
      </c>
      <c r="Q19" s="116">
        <v>0</v>
      </c>
      <c r="R19" s="120">
        <f t="shared" si="39"/>
        <v>0</v>
      </c>
      <c r="S19" s="5" t="s">
        <v>73</v>
      </c>
      <c r="T19" s="87">
        <v>28.44</v>
      </c>
      <c r="U19" s="88">
        <v>4.68</v>
      </c>
      <c r="V19" s="88">
        <v>6.05</v>
      </c>
      <c r="W19" s="88">
        <v>8.24</v>
      </c>
      <c r="X19" s="88">
        <v>6.34</v>
      </c>
      <c r="Y19" s="88">
        <v>2.89</v>
      </c>
      <c r="Z19" s="88">
        <v>0</v>
      </c>
      <c r="AA19" s="88">
        <v>0</v>
      </c>
      <c r="AB19" s="88">
        <v>0.24</v>
      </c>
      <c r="AC19" s="257"/>
      <c r="AD19" s="110">
        <f t="shared" si="40"/>
        <v>47242.233294778693</v>
      </c>
      <c r="AE19" s="110">
        <f t="shared" si="41"/>
        <v>47061.831570287497</v>
      </c>
      <c r="AF19" s="16">
        <f>SUMIF('20.01'!$I:$I,$B:$B,'20.01'!$D:$D)*1.2</f>
        <v>33617.627999999997</v>
      </c>
      <c r="AG19" s="17">
        <f t="shared" si="42"/>
        <v>4108.9967898827754</v>
      </c>
      <c r="AH19" s="17">
        <f t="shared" si="43"/>
        <v>490.38327573816036</v>
      </c>
      <c r="AI19" s="16">
        <f>SUMIF('20.01'!$J:$J,$B:$B,'20.01'!$D:$D)*1.2</f>
        <v>0</v>
      </c>
      <c r="AJ19" s="17">
        <f t="shared" si="44"/>
        <v>199.2807384038737</v>
      </c>
      <c r="AK19" s="17">
        <f t="shared" si="45"/>
        <v>484.80576538232918</v>
      </c>
      <c r="AL19" s="17">
        <f t="shared" si="46"/>
        <v>8160.7370008803655</v>
      </c>
      <c r="AM19" s="110">
        <f t="shared" si="47"/>
        <v>0</v>
      </c>
      <c r="AN19" s="17">
        <f>SUMIF('20.01'!$K:$K,$B:$B,'20.01'!$D:$D)*1.2</f>
        <v>0</v>
      </c>
      <c r="AO19" s="17">
        <f>SUMIF('20.01'!$L:$L,$B:$B,'20.01'!$D:$D)*1.2</f>
        <v>0</v>
      </c>
      <c r="AP19" s="17">
        <f>SUMIF('20.01'!$M:$M,$B:$B,'20.01'!$D:$D)*1.2</f>
        <v>0</v>
      </c>
      <c r="AQ19" s="110">
        <f t="shared" si="48"/>
        <v>180.40172449119427</v>
      </c>
      <c r="AR19" s="17">
        <f t="shared" si="49"/>
        <v>180.40172449119427</v>
      </c>
      <c r="AS19" s="17">
        <f>(SUMIF('20.01'!$N:$N,$B:$B,'20.01'!$D:$D)+SUMIF('20.01'!$O:$O,$B:$B,'20.01'!$D:$D))*1.2</f>
        <v>0</v>
      </c>
      <c r="AT19" s="110">
        <f>SUMIF('20.01'!$P:$P,$B:$B,'20.01'!$D:$D)*1.2</f>
        <v>0</v>
      </c>
      <c r="AU19" s="110">
        <f t="shared" si="50"/>
        <v>0</v>
      </c>
      <c r="AV19" s="17">
        <f>SUMIF('20.01'!$Q:$Q,$B:$B,'20.01'!$D:$D)*1.2</f>
        <v>0</v>
      </c>
      <c r="AW19" s="17">
        <f>SUMIF('20.01'!$R:$R,$B:$B,'20.01'!$D:$D)*1.2</f>
        <v>0</v>
      </c>
      <c r="AX19" s="110">
        <f t="shared" si="51"/>
        <v>0</v>
      </c>
      <c r="AY19" s="17">
        <f>SUMIF('20.01'!$S:$S,$B:$B,'20.01'!$D:$D)*1.2</f>
        <v>0</v>
      </c>
      <c r="AZ19" s="17">
        <f>SUMIF('20.01'!$T:$T,$B:$B,'20.01'!$D:$D)*1.2</f>
        <v>0</v>
      </c>
      <c r="BA19" s="110">
        <f t="shared" si="52"/>
        <v>0</v>
      </c>
      <c r="BB19" s="17">
        <f>SUMIF('20.01'!$U:$U,$B:$B,'20.01'!$D:$D)*1.2</f>
        <v>0</v>
      </c>
      <c r="BC19" s="17">
        <f>SUMIF('20.01'!$V:$V,$B:$B,'20.01'!$D:$D)*1.2</f>
        <v>0</v>
      </c>
      <c r="BD19" s="17">
        <f>SUMIF('20.01'!$W:$W,$B:$B,'20.01'!$D:$D)*1.2</f>
        <v>0</v>
      </c>
      <c r="BE19" s="110">
        <f>SUMIF('20.01'!$X:$X,$B:$B,'20.01'!$D:$D)*1.2</f>
        <v>0</v>
      </c>
      <c r="BF19" s="110">
        <f t="shared" si="53"/>
        <v>0</v>
      </c>
      <c r="BG19" s="17">
        <f>SUMIF('20.01'!$Y:$Y,$B:$B,'20.01'!$D:$D)*1.2</f>
        <v>0</v>
      </c>
      <c r="BH19" s="17">
        <f>SUMIF('20.01'!$Z:$Z,$B:$B,'20.01'!$D:$D)*1.2</f>
        <v>0</v>
      </c>
      <c r="BI19" s="17">
        <f>SUMIF('20.01'!$AA:$AA,$B:$B,'20.01'!$D:$D)*1.2</f>
        <v>0</v>
      </c>
      <c r="BJ19" s="17">
        <f>SUMIF('20.01'!$AB:$AB,$B:$B,'20.01'!$D:$D)*1.2</f>
        <v>0</v>
      </c>
      <c r="BK19" s="17">
        <f>SUMIF('20.01'!$AC:$AC,$B:$B,'20.01'!$D:$D)*1.2</f>
        <v>0</v>
      </c>
      <c r="BL19" s="17">
        <f>SUMIF('20.01'!$AD:$AD,$B:$B,'20.01'!$D:$D)*1.2</f>
        <v>0</v>
      </c>
      <c r="BM19" s="110">
        <f t="shared" si="54"/>
        <v>0</v>
      </c>
      <c r="BN19" s="17">
        <f>SUMIF('20.01'!$AE:$AE,$B:$B,'20.01'!$D:$D)*1.2</f>
        <v>0</v>
      </c>
      <c r="BO19" s="17">
        <f>SUMIF('20.01'!$AF:$AF,$B:$B,'20.01'!$D:$D)*1.2</f>
        <v>0</v>
      </c>
      <c r="BP19" s="110">
        <f>SUMIF('20.01'!$AG:$AG,$B:$B,'20.01'!$D:$D)*1.2</f>
        <v>0</v>
      </c>
      <c r="BQ19" s="110">
        <f>SUMIF('20.01'!$AH:$AH,$B:$B,'20.01'!$D:$D)*1.2</f>
        <v>0</v>
      </c>
      <c r="BR19" s="110">
        <f>SUMIF('20.01'!$AI:$AI,$B:$B,'20.01'!$D:$D)*1.2</f>
        <v>0</v>
      </c>
      <c r="BS19" s="110">
        <f t="shared" si="55"/>
        <v>0</v>
      </c>
      <c r="BT19" s="17">
        <f>SUMIF('20.01'!$AJ:$AJ,$B:$B,'20.01'!$D:$D)*1.2</f>
        <v>0</v>
      </c>
      <c r="BU19" s="17">
        <f>SUMIF('20.01'!$AK:$AK,$B:$B,'20.01'!$D:$D)*1.2</f>
        <v>0</v>
      </c>
      <c r="BV19" s="110">
        <f>SUMIF('20.01'!$AL:$AL,$B:$B,'20.01'!$D:$D)*1.2</f>
        <v>0</v>
      </c>
      <c r="BW19" s="110">
        <f>SUMIF('20.01'!$AM:$AM,$B:$B,'20.01'!$D:$D)*1.2</f>
        <v>0</v>
      </c>
      <c r="BX19" s="110">
        <f>SUMIF('20.01'!$AN:$AN,$B:$B,'20.01'!$D:$D)*1.2</f>
        <v>0</v>
      </c>
      <c r="BY19" s="110">
        <f t="shared" si="3"/>
        <v>90481.586673354002</v>
      </c>
      <c r="BZ19" s="17">
        <f t="shared" si="4"/>
        <v>55769.123660083707</v>
      </c>
      <c r="CA19" s="17">
        <f t="shared" si="5"/>
        <v>3983.1047405600184</v>
      </c>
      <c r="CB19" s="17">
        <f t="shared" si="6"/>
        <v>264.77640321179348</v>
      </c>
      <c r="CC19" s="17">
        <f>SUMIF('20.01'!$AO:$AO,$B:$B,'20.01'!$D:$D)*1.2</f>
        <v>0</v>
      </c>
      <c r="CD19" s="17">
        <f t="shared" si="7"/>
        <v>4156.7206100197509</v>
      </c>
      <c r="CE19" s="17">
        <f>SUMIF('20.01'!$AQ:$AQ,$B:$B,'20.01'!$D:$D)*1.2</f>
        <v>0</v>
      </c>
      <c r="CF19" s="17">
        <f t="shared" si="8"/>
        <v>378.19586620973928</v>
      </c>
      <c r="CG19" s="17">
        <f>SUMIF('20.01'!$AR:$AR,$B:$B,'20.01'!$D:$D)*1.2</f>
        <v>25486.44</v>
      </c>
      <c r="CH19" s="17">
        <f t="shared" si="9"/>
        <v>222.72992284749793</v>
      </c>
      <c r="CI19" s="17">
        <f>SUMIF('20.01'!$AT:$AT,$B:$B,'20.01'!$D:$D)*1.2</f>
        <v>0</v>
      </c>
      <c r="CJ19" s="17">
        <f>SUMIF('20.01'!$AU:$AU,$B:$B,'20.01'!$D:$D)*1.2</f>
        <v>0</v>
      </c>
      <c r="CK19" s="17">
        <f>SUMIF('20.01'!$AV:$AV,$B:$B,'20.01'!$D:$D)*1.2</f>
        <v>0</v>
      </c>
      <c r="CL19" s="17">
        <f t="shared" si="10"/>
        <v>220.49547042148751</v>
      </c>
      <c r="CM19" s="17">
        <f>SUMIF('20.01'!$AW:$AW,$B:$B,'20.01'!$D:$D)*1.2</f>
        <v>0</v>
      </c>
      <c r="CN19" s="17">
        <f>SUMIF('20.01'!$AX:$AX,$B:$B,'20.01'!$D:$D)*1.2</f>
        <v>0</v>
      </c>
      <c r="CO19" s="110">
        <f t="shared" si="56"/>
        <v>73967.723790604679</v>
      </c>
      <c r="CP19" s="17">
        <f t="shared" si="57"/>
        <v>58348.801141321819</v>
      </c>
      <c r="CQ19" s="17">
        <f t="shared" si="11"/>
        <v>18001.408010647418</v>
      </c>
      <c r="CR19" s="17">
        <f t="shared" si="12"/>
        <v>40347.393130674398</v>
      </c>
      <c r="CS19" s="17">
        <f t="shared" si="58"/>
        <v>15618.922649282862</v>
      </c>
      <c r="CT19" s="17">
        <f t="shared" si="13"/>
        <v>569.01105343551762</v>
      </c>
      <c r="CU19" s="17">
        <f t="shared" si="14"/>
        <v>550.36655132739952</v>
      </c>
      <c r="CV19" s="17">
        <f t="shared" si="15"/>
        <v>568.81585963596638</v>
      </c>
      <c r="CW19" s="17">
        <f t="shared" si="16"/>
        <v>5.9646605799669485</v>
      </c>
      <c r="CX19" s="17">
        <f t="shared" si="17"/>
        <v>8398.8417631542743</v>
      </c>
      <c r="CY19" s="17">
        <f t="shared" si="18"/>
        <v>5525.9227611497372</v>
      </c>
      <c r="CZ19" s="110">
        <f t="shared" si="59"/>
        <v>18360.725457815199</v>
      </c>
      <c r="DA19" s="17">
        <f t="shared" si="60"/>
        <v>693.56518371708705</v>
      </c>
      <c r="DB19" s="17">
        <f t="shared" si="19"/>
        <v>658.16791756246698</v>
      </c>
      <c r="DC19" s="17">
        <f t="shared" si="20"/>
        <v>35.39726615462007</v>
      </c>
      <c r="DD19" s="17">
        <f t="shared" si="21"/>
        <v>1222.1414115233333</v>
      </c>
      <c r="DE19" s="17">
        <f t="shared" si="22"/>
        <v>421.67099006860923</v>
      </c>
      <c r="DF19" s="17">
        <f t="shared" si="23"/>
        <v>511.75649164055108</v>
      </c>
      <c r="DG19" s="17">
        <f t="shared" si="61"/>
        <v>15511.591380865619</v>
      </c>
      <c r="DH19" s="110">
        <f t="shared" si="62"/>
        <v>11458.526974641907</v>
      </c>
      <c r="DI19" s="17">
        <f t="shared" si="24"/>
        <v>10278.765886407433</v>
      </c>
      <c r="DJ19" s="17">
        <f t="shared" si="25"/>
        <v>1136.7711084896875</v>
      </c>
      <c r="DK19" s="17">
        <f t="shared" si="26"/>
        <v>42.989979744786076</v>
      </c>
      <c r="DL19" s="110">
        <f t="shared" si="63"/>
        <v>68121.3613431798</v>
      </c>
      <c r="DM19" s="17">
        <f t="shared" si="27"/>
        <v>36104.321511885297</v>
      </c>
      <c r="DN19" s="17">
        <f t="shared" si="28"/>
        <v>32017.039831294511</v>
      </c>
      <c r="DO19" s="17">
        <f t="shared" si="29"/>
        <v>0</v>
      </c>
      <c r="DP19" s="110">
        <f t="shared" si="64"/>
        <v>0</v>
      </c>
      <c r="DQ19" s="17">
        <f>SUMIF('20.01'!$BB:$BB,$B:$B,'20.01'!$D:$D)*1.2</f>
        <v>0</v>
      </c>
      <c r="DR19" s="17">
        <f t="shared" si="30"/>
        <v>0</v>
      </c>
      <c r="DS19" s="17">
        <f t="shared" si="31"/>
        <v>0</v>
      </c>
      <c r="DT19" s="110">
        <f t="shared" si="65"/>
        <v>1517.1959999999999</v>
      </c>
      <c r="DU19" s="17">
        <f>SUMIF('20.01'!$BD:$BD,$B:$B,'20.01'!$D:$D)*1.2</f>
        <v>1517.1959999999999</v>
      </c>
      <c r="DV19" s="17">
        <f t="shared" si="32"/>
        <v>0</v>
      </c>
      <c r="DW19" s="17">
        <f t="shared" si="33"/>
        <v>0</v>
      </c>
      <c r="DX19" s="110">
        <f t="shared" si="34"/>
        <v>311149.35353437427</v>
      </c>
      <c r="DY19" s="110"/>
      <c r="DZ19" s="110">
        <f t="shared" si="66"/>
        <v>311149.35353437427</v>
      </c>
      <c r="EA19" s="257"/>
      <c r="EB19" s="110">
        <f t="shared" si="35"/>
        <v>0</v>
      </c>
      <c r="EC19" s="110">
        <f>SUMIF(еирц!$B:$B,$B:$B,еирц!$K:$K)</f>
        <v>214970.34</v>
      </c>
      <c r="ED19" s="110">
        <f>SUMIF(еирц!$B:$B,$B:$B,еирц!$P:$P)</f>
        <v>169390.71000000002</v>
      </c>
      <c r="EE19" s="110">
        <f>SUMIF(еирц!$B:$B,$B:$B,еирц!$S:$S)</f>
        <v>234343.49</v>
      </c>
      <c r="EF19" s="177">
        <f t="shared" si="67"/>
        <v>-96179.013534374273</v>
      </c>
      <c r="EG19" s="181">
        <f t="shared" si="68"/>
        <v>0</v>
      </c>
      <c r="EH19" s="177">
        <f t="shared" si="69"/>
        <v>-96179.013534374273</v>
      </c>
    </row>
    <row r="20" spans="1:138" ht="12" customHeight="1" x14ac:dyDescent="0.25">
      <c r="A20" s="5">
        <f t="shared" si="70"/>
        <v>16</v>
      </c>
      <c r="B20" s="6" t="s">
        <v>90</v>
      </c>
      <c r="C20" s="7">
        <f t="shared" si="0"/>
        <v>646.79999999999995</v>
      </c>
      <c r="D20" s="8">
        <v>646.79999999999995</v>
      </c>
      <c r="E20" s="8">
        <v>0</v>
      </c>
      <c r="F20" s="8">
        <v>65.400000000000006</v>
      </c>
      <c r="G20" s="87">
        <f t="shared" si="1"/>
        <v>646.79999999999995</v>
      </c>
      <c r="H20" s="87">
        <f t="shared" si="2"/>
        <v>646.79999999999995</v>
      </c>
      <c r="I20" s="91">
        <v>0</v>
      </c>
      <c r="J20" s="112">
        <v>0</v>
      </c>
      <c r="K20" s="17">
        <v>0</v>
      </c>
      <c r="L20" s="112">
        <f t="shared" si="36"/>
        <v>0</v>
      </c>
      <c r="M20" s="116">
        <v>3.4064127416112573</v>
      </c>
      <c r="N20" s="120">
        <f t="shared" si="37"/>
        <v>646.79999999999995</v>
      </c>
      <c r="O20" s="116">
        <v>3.0862221122622544</v>
      </c>
      <c r="P20" s="120">
        <f t="shared" si="38"/>
        <v>646.79999999999995</v>
      </c>
      <c r="Q20" s="116">
        <v>0</v>
      </c>
      <c r="R20" s="120">
        <f t="shared" si="39"/>
        <v>0</v>
      </c>
      <c r="S20" s="5" t="s">
        <v>73</v>
      </c>
      <c r="T20" s="87">
        <v>28.44</v>
      </c>
      <c r="U20" s="88">
        <v>4.68</v>
      </c>
      <c r="V20" s="88">
        <v>6.05</v>
      </c>
      <c r="W20" s="88">
        <v>8.24</v>
      </c>
      <c r="X20" s="88">
        <v>6.34</v>
      </c>
      <c r="Y20" s="88">
        <v>2.89</v>
      </c>
      <c r="Z20" s="88">
        <v>0</v>
      </c>
      <c r="AA20" s="88">
        <v>0</v>
      </c>
      <c r="AB20" s="88">
        <v>0.24</v>
      </c>
      <c r="AC20" s="257"/>
      <c r="AD20" s="110">
        <f t="shared" si="40"/>
        <v>136486.31267496553</v>
      </c>
      <c r="AE20" s="110">
        <f t="shared" si="41"/>
        <v>61326.218755001486</v>
      </c>
      <c r="AF20" s="16">
        <f>SUMIF('20.01'!$I:$I,$B:$B,'20.01'!$D:$D)*1.2</f>
        <v>44681.724000000002</v>
      </c>
      <c r="AG20" s="17">
        <f t="shared" si="42"/>
        <v>4138.4290309812814</v>
      </c>
      <c r="AH20" s="17">
        <f t="shared" si="43"/>
        <v>493.89583112339159</v>
      </c>
      <c r="AI20" s="16">
        <f>SUMIF('20.01'!$J:$J,$B:$B,'20.01'!$D:$D)*1.2</f>
        <v>3103.9919999999997</v>
      </c>
      <c r="AJ20" s="17">
        <f t="shared" si="44"/>
        <v>200.70816194273667</v>
      </c>
      <c r="AK20" s="17">
        <f t="shared" si="45"/>
        <v>488.278369743523</v>
      </c>
      <c r="AL20" s="17">
        <f t="shared" si="46"/>
        <v>8219.1913612105564</v>
      </c>
      <c r="AM20" s="110">
        <f t="shared" si="47"/>
        <v>0</v>
      </c>
      <c r="AN20" s="17">
        <f>SUMIF('20.01'!$K:$K,$B:$B,'20.01'!$D:$D)*1.2</f>
        <v>0</v>
      </c>
      <c r="AO20" s="17">
        <f>SUMIF('20.01'!$L:$L,$B:$B,'20.01'!$D:$D)*1.2</f>
        <v>0</v>
      </c>
      <c r="AP20" s="17">
        <f>SUMIF('20.01'!$M:$M,$B:$B,'20.01'!$D:$D)*1.2</f>
        <v>0</v>
      </c>
      <c r="AQ20" s="110">
        <f t="shared" si="48"/>
        <v>181.69391996403681</v>
      </c>
      <c r="AR20" s="17">
        <f t="shared" si="49"/>
        <v>181.69391996403681</v>
      </c>
      <c r="AS20" s="17">
        <f>(SUMIF('20.01'!$N:$N,$B:$B,'20.01'!$D:$D)+SUMIF('20.01'!$O:$O,$B:$B,'20.01'!$D:$D))*1.2</f>
        <v>0</v>
      </c>
      <c r="AT20" s="110">
        <f>SUMIF('20.01'!$P:$P,$B:$B,'20.01'!$D:$D)*1.2</f>
        <v>0</v>
      </c>
      <c r="AU20" s="110">
        <f t="shared" si="50"/>
        <v>74978.399999999994</v>
      </c>
      <c r="AV20" s="17">
        <f>SUMIF('20.01'!$Q:$Q,$B:$B,'20.01'!$D:$D)*1.2</f>
        <v>74978.399999999994</v>
      </c>
      <c r="AW20" s="17">
        <f>SUMIF('20.01'!$R:$R,$B:$B,'20.01'!$D:$D)*1.2</f>
        <v>0</v>
      </c>
      <c r="AX20" s="110">
        <f t="shared" si="51"/>
        <v>0</v>
      </c>
      <c r="AY20" s="17">
        <f>SUMIF('20.01'!$S:$S,$B:$B,'20.01'!$D:$D)*1.2</f>
        <v>0</v>
      </c>
      <c r="AZ20" s="17">
        <f>SUMIF('20.01'!$T:$T,$B:$B,'20.01'!$D:$D)*1.2</f>
        <v>0</v>
      </c>
      <c r="BA20" s="110">
        <f t="shared" si="52"/>
        <v>0</v>
      </c>
      <c r="BB20" s="17">
        <f>SUMIF('20.01'!$U:$U,$B:$B,'20.01'!$D:$D)*1.2</f>
        <v>0</v>
      </c>
      <c r="BC20" s="17">
        <f>SUMIF('20.01'!$V:$V,$B:$B,'20.01'!$D:$D)*1.2</f>
        <v>0</v>
      </c>
      <c r="BD20" s="17">
        <f>SUMIF('20.01'!$W:$W,$B:$B,'20.01'!$D:$D)*1.2</f>
        <v>0</v>
      </c>
      <c r="BE20" s="110">
        <f>SUMIF('20.01'!$X:$X,$B:$B,'20.01'!$D:$D)*1.2</f>
        <v>0</v>
      </c>
      <c r="BF20" s="110">
        <f t="shared" si="53"/>
        <v>0</v>
      </c>
      <c r="BG20" s="17">
        <f>SUMIF('20.01'!$Y:$Y,$B:$B,'20.01'!$D:$D)*1.2</f>
        <v>0</v>
      </c>
      <c r="BH20" s="17">
        <f>SUMIF('20.01'!$Z:$Z,$B:$B,'20.01'!$D:$D)*1.2</f>
        <v>0</v>
      </c>
      <c r="BI20" s="17">
        <f>SUMIF('20.01'!$AA:$AA,$B:$B,'20.01'!$D:$D)*1.2</f>
        <v>0</v>
      </c>
      <c r="BJ20" s="17">
        <f>SUMIF('20.01'!$AB:$AB,$B:$B,'20.01'!$D:$D)*1.2</f>
        <v>0</v>
      </c>
      <c r="BK20" s="17">
        <f>SUMIF('20.01'!$AC:$AC,$B:$B,'20.01'!$D:$D)*1.2</f>
        <v>0</v>
      </c>
      <c r="BL20" s="17">
        <f>SUMIF('20.01'!$AD:$AD,$B:$B,'20.01'!$D:$D)*1.2</f>
        <v>0</v>
      </c>
      <c r="BM20" s="110">
        <f t="shared" si="54"/>
        <v>0</v>
      </c>
      <c r="BN20" s="17">
        <f>SUMIF('20.01'!$AE:$AE,$B:$B,'20.01'!$D:$D)*1.2</f>
        <v>0</v>
      </c>
      <c r="BO20" s="17">
        <f>SUMIF('20.01'!$AF:$AF,$B:$B,'20.01'!$D:$D)*1.2</f>
        <v>0</v>
      </c>
      <c r="BP20" s="110">
        <f>SUMIF('20.01'!$AG:$AG,$B:$B,'20.01'!$D:$D)*1.2</f>
        <v>0</v>
      </c>
      <c r="BQ20" s="110">
        <f>SUMIF('20.01'!$AH:$AH,$B:$B,'20.01'!$D:$D)*1.2</f>
        <v>0</v>
      </c>
      <c r="BR20" s="110">
        <f>SUMIF('20.01'!$AI:$AI,$B:$B,'20.01'!$D:$D)*1.2</f>
        <v>0</v>
      </c>
      <c r="BS20" s="110">
        <f t="shared" si="55"/>
        <v>0</v>
      </c>
      <c r="BT20" s="17">
        <f>SUMIF('20.01'!$AJ:$AJ,$B:$B,'20.01'!$D:$D)*1.2</f>
        <v>0</v>
      </c>
      <c r="BU20" s="17">
        <f>SUMIF('20.01'!$AK:$AK,$B:$B,'20.01'!$D:$D)*1.2</f>
        <v>0</v>
      </c>
      <c r="BV20" s="110">
        <f>SUMIF('20.01'!$AL:$AL,$B:$B,'20.01'!$D:$D)*1.2</f>
        <v>0</v>
      </c>
      <c r="BW20" s="110">
        <f>SUMIF('20.01'!$AM:$AM,$B:$B,'20.01'!$D:$D)*1.2</f>
        <v>0</v>
      </c>
      <c r="BX20" s="110">
        <f>SUMIF('20.01'!$AN:$AN,$B:$B,'20.01'!$D:$D)*1.2</f>
        <v>0</v>
      </c>
      <c r="BY20" s="110">
        <f t="shared" si="3"/>
        <v>138265.07095410363</v>
      </c>
      <c r="BZ20" s="17">
        <f t="shared" si="4"/>
        <v>56168.591067178662</v>
      </c>
      <c r="CA20" s="17">
        <f t="shared" si="5"/>
        <v>4011.6352323173769</v>
      </c>
      <c r="CB20" s="17">
        <f t="shared" si="6"/>
        <v>266.67296418154473</v>
      </c>
      <c r="CC20" s="17">
        <f>SUMIF('20.01'!$AO:$AO,$B:$B,'20.01'!$D:$D)*1.2</f>
        <v>0</v>
      </c>
      <c r="CD20" s="17">
        <f t="shared" si="7"/>
        <v>4186.4946910008939</v>
      </c>
      <c r="CE20" s="17">
        <f>SUMIF('20.01'!$AQ:$AQ,$B:$B,'20.01'!$D:$D)*1.2</f>
        <v>0</v>
      </c>
      <c r="CF20" s="17">
        <f t="shared" si="8"/>
        <v>380.904836911335</v>
      </c>
      <c r="CG20" s="17">
        <f>SUMIF('20.01'!$AR:$AR,$B:$B,'20.01'!$D:$D)*1.2</f>
        <v>72804.371999999988</v>
      </c>
      <c r="CH20" s="17">
        <f t="shared" si="9"/>
        <v>224.3253100245432</v>
      </c>
      <c r="CI20" s="17">
        <f>SUMIF('20.01'!$AT:$AT,$B:$B,'20.01'!$D:$D)*1.2</f>
        <v>0</v>
      </c>
      <c r="CJ20" s="17">
        <f>SUMIF('20.01'!$AU:$AU,$B:$B,'20.01'!$D:$D)*1.2</f>
        <v>0</v>
      </c>
      <c r="CK20" s="17">
        <f>SUMIF('20.01'!$AV:$AV,$B:$B,'20.01'!$D:$D)*1.2</f>
        <v>0</v>
      </c>
      <c r="CL20" s="17">
        <f t="shared" si="10"/>
        <v>222.07485248928387</v>
      </c>
      <c r="CM20" s="17">
        <f>SUMIF('20.01'!$AW:$AW,$B:$B,'20.01'!$D:$D)*1.2</f>
        <v>0</v>
      </c>
      <c r="CN20" s="17">
        <f>SUMIF('20.01'!$AX:$AX,$B:$B,'20.01'!$D:$D)*1.2</f>
        <v>0</v>
      </c>
      <c r="CO20" s="110">
        <f t="shared" si="56"/>
        <v>74497.545543075525</v>
      </c>
      <c r="CP20" s="17">
        <f t="shared" si="57"/>
        <v>58766.746462483563</v>
      </c>
      <c r="CQ20" s="17">
        <f t="shared" si="11"/>
        <v>18130.349893003346</v>
      </c>
      <c r="CR20" s="17">
        <f t="shared" si="12"/>
        <v>40636.396569480217</v>
      </c>
      <c r="CS20" s="17">
        <f t="shared" si="58"/>
        <v>15730.799080591956</v>
      </c>
      <c r="CT20" s="17">
        <f t="shared" si="13"/>
        <v>573.08680996900148</v>
      </c>
      <c r="CU20" s="17">
        <f t="shared" si="14"/>
        <v>554.30875957421665</v>
      </c>
      <c r="CV20" s="17">
        <f t="shared" si="15"/>
        <v>572.89021802015407</v>
      </c>
      <c r="CW20" s="17">
        <f t="shared" si="16"/>
        <v>6.0073847136758358</v>
      </c>
      <c r="CX20" s="17">
        <f t="shared" si="17"/>
        <v>8459.0016387545693</v>
      </c>
      <c r="CY20" s="17">
        <f t="shared" si="18"/>
        <v>5565.5042695603388</v>
      </c>
      <c r="CZ20" s="110">
        <f t="shared" si="59"/>
        <v>18492.24108706769</v>
      </c>
      <c r="DA20" s="17">
        <f t="shared" si="60"/>
        <v>698.53310624137623</v>
      </c>
      <c r="DB20" s="17">
        <f t="shared" si="19"/>
        <v>662.882293801625</v>
      </c>
      <c r="DC20" s="17">
        <f t="shared" si="20"/>
        <v>35.650812439751263</v>
      </c>
      <c r="DD20" s="17">
        <f t="shared" si="21"/>
        <v>1230.8954608740141</v>
      </c>
      <c r="DE20" s="17">
        <f t="shared" si="22"/>
        <v>424.69136776140829</v>
      </c>
      <c r="DF20" s="17">
        <f t="shared" si="23"/>
        <v>515.42214075538527</v>
      </c>
      <c r="DG20" s="17">
        <f t="shared" si="61"/>
        <v>15622.699011435505</v>
      </c>
      <c r="DH20" s="110">
        <f t="shared" si="62"/>
        <v>11540.603000931771</v>
      </c>
      <c r="DI20" s="17">
        <f t="shared" si="24"/>
        <v>10352.391428415332</v>
      </c>
      <c r="DJ20" s="17">
        <f t="shared" si="25"/>
        <v>1144.9136608083616</v>
      </c>
      <c r="DK20" s="17">
        <f t="shared" si="26"/>
        <v>43.297911708077905</v>
      </c>
      <c r="DL20" s="110">
        <f t="shared" si="63"/>
        <v>68609.306316986447</v>
      </c>
      <c r="DM20" s="17">
        <f t="shared" si="27"/>
        <v>36362.932348002811</v>
      </c>
      <c r="DN20" s="17">
        <f t="shared" si="28"/>
        <v>32246.373968983629</v>
      </c>
      <c r="DO20" s="17">
        <f t="shared" si="29"/>
        <v>0</v>
      </c>
      <c r="DP20" s="110">
        <f t="shared" si="64"/>
        <v>0</v>
      </c>
      <c r="DQ20" s="17">
        <f>SUMIF('20.01'!$BB:$BB,$B:$B,'20.01'!$D:$D)*1.2</f>
        <v>0</v>
      </c>
      <c r="DR20" s="17">
        <f t="shared" si="30"/>
        <v>0</v>
      </c>
      <c r="DS20" s="17">
        <f t="shared" si="31"/>
        <v>0</v>
      </c>
      <c r="DT20" s="110">
        <f t="shared" si="65"/>
        <v>1517.1959999999999</v>
      </c>
      <c r="DU20" s="17">
        <f>SUMIF('20.01'!$BD:$BD,$B:$B,'20.01'!$D:$D)*1.2</f>
        <v>1517.1959999999999</v>
      </c>
      <c r="DV20" s="17">
        <f t="shared" si="32"/>
        <v>0</v>
      </c>
      <c r="DW20" s="17">
        <f t="shared" si="33"/>
        <v>0</v>
      </c>
      <c r="DX20" s="110">
        <f t="shared" si="34"/>
        <v>449408.27557713067</v>
      </c>
      <c r="DY20" s="110"/>
      <c r="DZ20" s="110">
        <f t="shared" si="66"/>
        <v>449408.27557713067</v>
      </c>
      <c r="EA20" s="257"/>
      <c r="EB20" s="110">
        <f t="shared" si="35"/>
        <v>0</v>
      </c>
      <c r="EC20" s="110">
        <f>SUMIF(еирц!$B:$B,$B:$B,еирц!$K:$K)</f>
        <v>216510.24</v>
      </c>
      <c r="ED20" s="110">
        <f>SUMIF(еирц!$B:$B,$B:$B,еирц!$P:$P)</f>
        <v>209363.68</v>
      </c>
      <c r="EE20" s="110">
        <f>SUMIF(еирц!$B:$B,$B:$B,еирц!$S:$S)</f>
        <v>64481.279999999999</v>
      </c>
      <c r="EF20" s="177">
        <f t="shared" si="67"/>
        <v>-232898.03557713068</v>
      </c>
      <c r="EG20" s="181">
        <f t="shared" si="68"/>
        <v>0</v>
      </c>
      <c r="EH20" s="177">
        <f t="shared" si="69"/>
        <v>-232898.03557713068</v>
      </c>
    </row>
    <row r="21" spans="1:138" ht="12" customHeight="1" x14ac:dyDescent="0.25">
      <c r="A21" s="5">
        <f t="shared" si="70"/>
        <v>17</v>
      </c>
      <c r="B21" s="6" t="s">
        <v>91</v>
      </c>
      <c r="C21" s="7">
        <f t="shared" si="0"/>
        <v>633</v>
      </c>
      <c r="D21" s="8">
        <v>633</v>
      </c>
      <c r="E21" s="8">
        <v>0</v>
      </c>
      <c r="F21" s="8">
        <v>65.400000000000006</v>
      </c>
      <c r="G21" s="87">
        <f t="shared" si="1"/>
        <v>633</v>
      </c>
      <c r="H21" s="87">
        <f t="shared" si="2"/>
        <v>633</v>
      </c>
      <c r="I21" s="91">
        <v>0</v>
      </c>
      <c r="J21" s="112">
        <v>0</v>
      </c>
      <c r="K21" s="17">
        <v>0</v>
      </c>
      <c r="L21" s="112">
        <f t="shared" si="36"/>
        <v>0</v>
      </c>
      <c r="M21" s="116">
        <v>3.4064171961435123</v>
      </c>
      <c r="N21" s="120">
        <f t="shared" si="37"/>
        <v>633</v>
      </c>
      <c r="O21" s="116">
        <v>3.0862438438438438</v>
      </c>
      <c r="P21" s="120">
        <f t="shared" si="38"/>
        <v>633</v>
      </c>
      <c r="Q21" s="116">
        <v>0</v>
      </c>
      <c r="R21" s="120">
        <f t="shared" si="39"/>
        <v>0</v>
      </c>
      <c r="S21" s="5" t="s">
        <v>73</v>
      </c>
      <c r="T21" s="87">
        <v>28.44</v>
      </c>
      <c r="U21" s="88">
        <v>4.68</v>
      </c>
      <c r="V21" s="88">
        <v>6.05</v>
      </c>
      <c r="W21" s="88">
        <v>8.24</v>
      </c>
      <c r="X21" s="88">
        <v>6.34</v>
      </c>
      <c r="Y21" s="88">
        <v>2.89</v>
      </c>
      <c r="Z21" s="88">
        <v>0</v>
      </c>
      <c r="AA21" s="88">
        <v>0</v>
      </c>
      <c r="AB21" s="88">
        <v>0.24</v>
      </c>
      <c r="AC21" s="257"/>
      <c r="AD21" s="110">
        <f t="shared" si="40"/>
        <v>49775.46653440503</v>
      </c>
      <c r="AE21" s="110">
        <f t="shared" si="41"/>
        <v>49597.649200859523</v>
      </c>
      <c r="AF21" s="16">
        <f>SUMIF('20.01'!$I:$I,$B:$B,'20.01'!$D:$D)*1.2</f>
        <v>36346.043999999994</v>
      </c>
      <c r="AG21" s="17">
        <f t="shared" si="42"/>
        <v>4050.132307685762</v>
      </c>
      <c r="AH21" s="17">
        <f t="shared" si="43"/>
        <v>483.35816496769775</v>
      </c>
      <c r="AI21" s="16">
        <f>SUMIF('20.01'!$J:$J,$B:$B,'20.01'!$D:$D)*1.2</f>
        <v>0</v>
      </c>
      <c r="AJ21" s="17">
        <f t="shared" si="44"/>
        <v>196.42589132614768</v>
      </c>
      <c r="AK21" s="17">
        <f t="shared" si="45"/>
        <v>477.86055665994132</v>
      </c>
      <c r="AL21" s="17">
        <f t="shared" si="46"/>
        <v>8043.8282802199792</v>
      </c>
      <c r="AM21" s="110">
        <f t="shared" si="47"/>
        <v>0</v>
      </c>
      <c r="AN21" s="17">
        <f>SUMIF('20.01'!$K:$K,$B:$B,'20.01'!$D:$D)*1.2</f>
        <v>0</v>
      </c>
      <c r="AO21" s="17">
        <f>SUMIF('20.01'!$L:$L,$B:$B,'20.01'!$D:$D)*1.2</f>
        <v>0</v>
      </c>
      <c r="AP21" s="17">
        <f>SUMIF('20.01'!$M:$M,$B:$B,'20.01'!$D:$D)*1.2</f>
        <v>0</v>
      </c>
      <c r="AQ21" s="110">
        <f t="shared" si="48"/>
        <v>177.81733354550914</v>
      </c>
      <c r="AR21" s="17">
        <f t="shared" si="49"/>
        <v>177.81733354550914</v>
      </c>
      <c r="AS21" s="17">
        <f>(SUMIF('20.01'!$N:$N,$B:$B,'20.01'!$D:$D)+SUMIF('20.01'!$O:$O,$B:$B,'20.01'!$D:$D))*1.2</f>
        <v>0</v>
      </c>
      <c r="AT21" s="110">
        <f>SUMIF('20.01'!$P:$P,$B:$B,'20.01'!$D:$D)*1.2</f>
        <v>0</v>
      </c>
      <c r="AU21" s="110">
        <f t="shared" si="50"/>
        <v>0</v>
      </c>
      <c r="AV21" s="17">
        <f>SUMIF('20.01'!$Q:$Q,$B:$B,'20.01'!$D:$D)*1.2</f>
        <v>0</v>
      </c>
      <c r="AW21" s="17">
        <f>SUMIF('20.01'!$R:$R,$B:$B,'20.01'!$D:$D)*1.2</f>
        <v>0</v>
      </c>
      <c r="AX21" s="110">
        <f t="shared" si="51"/>
        <v>0</v>
      </c>
      <c r="AY21" s="17">
        <f>SUMIF('20.01'!$S:$S,$B:$B,'20.01'!$D:$D)*1.2</f>
        <v>0</v>
      </c>
      <c r="AZ21" s="17">
        <f>SUMIF('20.01'!$T:$T,$B:$B,'20.01'!$D:$D)*1.2</f>
        <v>0</v>
      </c>
      <c r="BA21" s="110">
        <f t="shared" si="52"/>
        <v>0</v>
      </c>
      <c r="BB21" s="17">
        <f>SUMIF('20.01'!$U:$U,$B:$B,'20.01'!$D:$D)*1.2</f>
        <v>0</v>
      </c>
      <c r="BC21" s="17">
        <f>SUMIF('20.01'!$V:$V,$B:$B,'20.01'!$D:$D)*1.2</f>
        <v>0</v>
      </c>
      <c r="BD21" s="17">
        <f>SUMIF('20.01'!$W:$W,$B:$B,'20.01'!$D:$D)*1.2</f>
        <v>0</v>
      </c>
      <c r="BE21" s="110">
        <f>SUMIF('20.01'!$X:$X,$B:$B,'20.01'!$D:$D)*1.2</f>
        <v>0</v>
      </c>
      <c r="BF21" s="110">
        <f t="shared" si="53"/>
        <v>0</v>
      </c>
      <c r="BG21" s="17">
        <f>SUMIF('20.01'!$Y:$Y,$B:$B,'20.01'!$D:$D)*1.2</f>
        <v>0</v>
      </c>
      <c r="BH21" s="17">
        <f>SUMIF('20.01'!$Z:$Z,$B:$B,'20.01'!$D:$D)*1.2</f>
        <v>0</v>
      </c>
      <c r="BI21" s="17">
        <f>SUMIF('20.01'!$AA:$AA,$B:$B,'20.01'!$D:$D)*1.2</f>
        <v>0</v>
      </c>
      <c r="BJ21" s="17">
        <f>SUMIF('20.01'!$AB:$AB,$B:$B,'20.01'!$D:$D)*1.2</f>
        <v>0</v>
      </c>
      <c r="BK21" s="17">
        <f>SUMIF('20.01'!$AC:$AC,$B:$B,'20.01'!$D:$D)*1.2</f>
        <v>0</v>
      </c>
      <c r="BL21" s="17">
        <f>SUMIF('20.01'!$AD:$AD,$B:$B,'20.01'!$D:$D)*1.2</f>
        <v>0</v>
      </c>
      <c r="BM21" s="110">
        <f t="shared" si="54"/>
        <v>0</v>
      </c>
      <c r="BN21" s="17">
        <f>SUMIF('20.01'!$AE:$AE,$B:$B,'20.01'!$D:$D)*1.2</f>
        <v>0</v>
      </c>
      <c r="BO21" s="17">
        <f>SUMIF('20.01'!$AF:$AF,$B:$B,'20.01'!$D:$D)*1.2</f>
        <v>0</v>
      </c>
      <c r="BP21" s="110">
        <f>SUMIF('20.01'!$AG:$AG,$B:$B,'20.01'!$D:$D)*1.2</f>
        <v>0</v>
      </c>
      <c r="BQ21" s="110">
        <f>SUMIF('20.01'!$AH:$AH,$B:$B,'20.01'!$D:$D)*1.2</f>
        <v>0</v>
      </c>
      <c r="BR21" s="110">
        <f>SUMIF('20.01'!$AI:$AI,$B:$B,'20.01'!$D:$D)*1.2</f>
        <v>0</v>
      </c>
      <c r="BS21" s="110">
        <f t="shared" si="55"/>
        <v>0</v>
      </c>
      <c r="BT21" s="17">
        <f>SUMIF('20.01'!$AJ:$AJ,$B:$B,'20.01'!$D:$D)*1.2</f>
        <v>0</v>
      </c>
      <c r="BU21" s="17">
        <f>SUMIF('20.01'!$AK:$AK,$B:$B,'20.01'!$D:$D)*1.2</f>
        <v>0</v>
      </c>
      <c r="BV21" s="110">
        <f>SUMIF('20.01'!$AL:$AL,$B:$B,'20.01'!$D:$D)*1.2</f>
        <v>0</v>
      </c>
      <c r="BW21" s="110">
        <f>SUMIF('20.01'!$AM:$AM,$B:$B,'20.01'!$D:$D)*1.2</f>
        <v>0</v>
      </c>
      <c r="BX21" s="110">
        <f>SUMIF('20.01'!$AN:$AN,$B:$B,'20.01'!$D:$D)*1.2</f>
        <v>0</v>
      </c>
      <c r="BY21" s="110">
        <f t="shared" si="3"/>
        <v>104474.66611185466</v>
      </c>
      <c r="BZ21" s="17">
        <f t="shared" si="4"/>
        <v>54970.188845893776</v>
      </c>
      <c r="CA21" s="17">
        <f t="shared" si="5"/>
        <v>3926.0437570452996</v>
      </c>
      <c r="CB21" s="17">
        <f t="shared" si="6"/>
        <v>260.98328127229098</v>
      </c>
      <c r="CC21" s="17">
        <f>SUMIF('20.01'!$AO:$AO,$B:$B,'20.01'!$D:$D)*1.2</f>
        <v>0</v>
      </c>
      <c r="CD21" s="17">
        <f t="shared" si="7"/>
        <v>4097.1724480574621</v>
      </c>
      <c r="CE21" s="17">
        <f>SUMIF('20.01'!$AQ:$AQ,$B:$B,'20.01'!$D:$D)*1.2</f>
        <v>0</v>
      </c>
      <c r="CF21" s="17">
        <f t="shared" si="8"/>
        <v>372.77792480654773</v>
      </c>
      <c r="CG21" s="17">
        <f>SUMIF('20.01'!$AR:$AR,$B:$B,'20.01'!$D:$D)*1.2</f>
        <v>40410.623999999996</v>
      </c>
      <c r="CH21" s="17">
        <f t="shared" si="9"/>
        <v>219.53914849340731</v>
      </c>
      <c r="CI21" s="17">
        <f>SUMIF('20.01'!$AT:$AT,$B:$B,'20.01'!$D:$D)*1.2</f>
        <v>0</v>
      </c>
      <c r="CJ21" s="17">
        <f>SUMIF('20.01'!$AU:$AU,$B:$B,'20.01'!$D:$D)*1.2</f>
        <v>0</v>
      </c>
      <c r="CK21" s="17">
        <f>SUMIF('20.01'!$AV:$AV,$B:$B,'20.01'!$D:$D)*1.2</f>
        <v>0</v>
      </c>
      <c r="CL21" s="17">
        <f t="shared" si="10"/>
        <v>217.33670628589473</v>
      </c>
      <c r="CM21" s="17">
        <f>SUMIF('20.01'!$AW:$AW,$B:$B,'20.01'!$D:$D)*1.2</f>
        <v>0</v>
      </c>
      <c r="CN21" s="17">
        <f>SUMIF('20.01'!$AX:$AX,$B:$B,'20.01'!$D:$D)*1.2</f>
        <v>0</v>
      </c>
      <c r="CO21" s="110">
        <f t="shared" si="56"/>
        <v>72908.08028566296</v>
      </c>
      <c r="CP21" s="17">
        <f t="shared" si="57"/>
        <v>57512.910498998295</v>
      </c>
      <c r="CQ21" s="17">
        <f t="shared" si="11"/>
        <v>17743.524245935558</v>
      </c>
      <c r="CR21" s="17">
        <f t="shared" si="12"/>
        <v>39769.386253062738</v>
      </c>
      <c r="CS21" s="17">
        <f t="shared" si="58"/>
        <v>15395.169786664672</v>
      </c>
      <c r="CT21" s="17">
        <f t="shared" si="13"/>
        <v>560.85954036854969</v>
      </c>
      <c r="CU21" s="17">
        <f t="shared" si="14"/>
        <v>542.48213483376503</v>
      </c>
      <c r="CV21" s="17">
        <f t="shared" si="15"/>
        <v>560.66714286759054</v>
      </c>
      <c r="CW21" s="17">
        <f t="shared" si="16"/>
        <v>5.8792123125491713</v>
      </c>
      <c r="CX21" s="17">
        <f t="shared" si="17"/>
        <v>8278.5220119536843</v>
      </c>
      <c r="CY21" s="17">
        <f t="shared" si="18"/>
        <v>5446.7597443285322</v>
      </c>
      <c r="CZ21" s="110">
        <f t="shared" si="59"/>
        <v>18097.694199310215</v>
      </c>
      <c r="DA21" s="17">
        <f t="shared" si="60"/>
        <v>683.62933866850835</v>
      </c>
      <c r="DB21" s="17">
        <f t="shared" si="19"/>
        <v>648.73916508415073</v>
      </c>
      <c r="DC21" s="17">
        <f t="shared" si="20"/>
        <v>34.890173584357683</v>
      </c>
      <c r="DD21" s="17">
        <f t="shared" si="21"/>
        <v>1204.6333128219712</v>
      </c>
      <c r="DE21" s="17">
        <f t="shared" si="22"/>
        <v>415.63023468301094</v>
      </c>
      <c r="DF21" s="17">
        <f t="shared" si="23"/>
        <v>504.42519341088263</v>
      </c>
      <c r="DG21" s="17">
        <f t="shared" si="61"/>
        <v>15289.376119725843</v>
      </c>
      <c r="DH21" s="110">
        <f t="shared" si="62"/>
        <v>11294.37492206217</v>
      </c>
      <c r="DI21" s="17">
        <f t="shared" si="24"/>
        <v>10131.51480239163</v>
      </c>
      <c r="DJ21" s="17">
        <f t="shared" si="25"/>
        <v>1120.4860038523391</v>
      </c>
      <c r="DK21" s="17">
        <f t="shared" si="26"/>
        <v>42.374115818202405</v>
      </c>
      <c r="DL21" s="110">
        <f t="shared" si="63"/>
        <v>67145.471395566521</v>
      </c>
      <c r="DM21" s="17">
        <f t="shared" si="27"/>
        <v>35587.099839650255</v>
      </c>
      <c r="DN21" s="17">
        <f t="shared" si="28"/>
        <v>31558.371555916263</v>
      </c>
      <c r="DO21" s="17">
        <f t="shared" si="29"/>
        <v>0</v>
      </c>
      <c r="DP21" s="110">
        <f t="shared" si="64"/>
        <v>0</v>
      </c>
      <c r="DQ21" s="17">
        <f>SUMIF('20.01'!$BB:$BB,$B:$B,'20.01'!$D:$D)*1.2</f>
        <v>0</v>
      </c>
      <c r="DR21" s="17">
        <f t="shared" si="30"/>
        <v>0</v>
      </c>
      <c r="DS21" s="17">
        <f t="shared" si="31"/>
        <v>0</v>
      </c>
      <c r="DT21" s="110">
        <f t="shared" si="65"/>
        <v>1517.1959999999999</v>
      </c>
      <c r="DU21" s="17">
        <f>SUMIF('20.01'!$BD:$BD,$B:$B,'20.01'!$D:$D)*1.2</f>
        <v>1517.1959999999999</v>
      </c>
      <c r="DV21" s="17">
        <f t="shared" si="32"/>
        <v>0</v>
      </c>
      <c r="DW21" s="17">
        <f t="shared" si="33"/>
        <v>0</v>
      </c>
      <c r="DX21" s="110">
        <f t="shared" si="34"/>
        <v>325212.94944886153</v>
      </c>
      <c r="DY21" s="110"/>
      <c r="DZ21" s="110">
        <f t="shared" si="66"/>
        <v>325212.94944886153</v>
      </c>
      <c r="EA21" s="257"/>
      <c r="EB21" s="110">
        <f t="shared" si="35"/>
        <v>0</v>
      </c>
      <c r="EC21" s="110">
        <f>SUMIF(еирц!$B:$B,$B:$B,еирц!$K:$K)</f>
        <v>211890.66</v>
      </c>
      <c r="ED21" s="110">
        <f>SUMIF(еирц!$B:$B,$B:$B,еирц!$P:$P)</f>
        <v>208248.90000000002</v>
      </c>
      <c r="EE21" s="110">
        <f>SUMIF(еирц!$B:$B,$B:$B,еирц!$S:$S)</f>
        <v>75596.060000000012</v>
      </c>
      <c r="EF21" s="177">
        <f t="shared" si="67"/>
        <v>-113322.28944886153</v>
      </c>
      <c r="EG21" s="181">
        <f t="shared" si="68"/>
        <v>0</v>
      </c>
      <c r="EH21" s="177">
        <f t="shared" si="69"/>
        <v>-113322.28944886153</v>
      </c>
    </row>
    <row r="22" spans="1:138" ht="12" customHeight="1" x14ac:dyDescent="0.25">
      <c r="A22" s="5">
        <f t="shared" si="70"/>
        <v>18</v>
      </c>
      <c r="B22" s="6" t="s">
        <v>92</v>
      </c>
      <c r="C22" s="7">
        <f t="shared" si="0"/>
        <v>604.79999999999995</v>
      </c>
      <c r="D22" s="8">
        <v>604.79999999999995</v>
      </c>
      <c r="E22" s="8">
        <v>0</v>
      </c>
      <c r="F22" s="8">
        <v>67.400000000000006</v>
      </c>
      <c r="G22" s="87">
        <f t="shared" si="1"/>
        <v>604.79999999999995</v>
      </c>
      <c r="H22" s="87">
        <f t="shared" si="2"/>
        <v>604.79999999999995</v>
      </c>
      <c r="I22" s="91">
        <v>0</v>
      </c>
      <c r="J22" s="112">
        <v>0</v>
      </c>
      <c r="K22" s="17">
        <v>0</v>
      </c>
      <c r="L22" s="112">
        <f t="shared" si="36"/>
        <v>0</v>
      </c>
      <c r="M22" s="116">
        <v>3.4064071428571432</v>
      </c>
      <c r="N22" s="120">
        <f t="shared" si="37"/>
        <v>604.79999999999995</v>
      </c>
      <c r="O22" s="116">
        <v>3.086233068783069</v>
      </c>
      <c r="P22" s="120">
        <f t="shared" si="38"/>
        <v>604.79999999999995</v>
      </c>
      <c r="Q22" s="116">
        <v>0</v>
      </c>
      <c r="R22" s="120">
        <f t="shared" si="39"/>
        <v>0</v>
      </c>
      <c r="S22" s="5" t="s">
        <v>73</v>
      </c>
      <c r="T22" s="87">
        <v>28.44</v>
      </c>
      <c r="U22" s="88">
        <v>4.68</v>
      </c>
      <c r="V22" s="88">
        <v>6.05</v>
      </c>
      <c r="W22" s="88">
        <v>8.24</v>
      </c>
      <c r="X22" s="88">
        <v>6.34</v>
      </c>
      <c r="Y22" s="88">
        <v>2.89</v>
      </c>
      <c r="Z22" s="88">
        <v>0</v>
      </c>
      <c r="AA22" s="88">
        <v>0</v>
      </c>
      <c r="AB22" s="88">
        <v>0.24</v>
      </c>
      <c r="AC22" s="257"/>
      <c r="AD22" s="110">
        <f t="shared" si="40"/>
        <v>46777.10494282491</v>
      </c>
      <c r="AE22" s="110">
        <f t="shared" si="41"/>
        <v>46607.209329352045</v>
      </c>
      <c r="AF22" s="16">
        <f>SUMIF('20.01'!$I:$I,$B:$B,'20.01'!$D:$D)*1.2</f>
        <v>33945.96</v>
      </c>
      <c r="AG22" s="17">
        <f t="shared" si="42"/>
        <v>3869.6998731253534</v>
      </c>
      <c r="AH22" s="17">
        <f t="shared" si="43"/>
        <v>461.82467325823626</v>
      </c>
      <c r="AI22" s="16">
        <f>SUMIF('20.01'!$J:$J,$B:$B,'20.01'!$D:$D)*1.2</f>
        <v>0</v>
      </c>
      <c r="AJ22" s="17">
        <f t="shared" si="44"/>
        <v>187.67516441398752</v>
      </c>
      <c r="AK22" s="17">
        <f t="shared" si="45"/>
        <v>456.57198209783968</v>
      </c>
      <c r="AL22" s="17">
        <f t="shared" si="46"/>
        <v>7685.4776364566242</v>
      </c>
      <c r="AM22" s="110">
        <f t="shared" si="47"/>
        <v>0</v>
      </c>
      <c r="AN22" s="17">
        <f>SUMIF('20.01'!$K:$K,$B:$B,'20.01'!$D:$D)*1.2</f>
        <v>0</v>
      </c>
      <c r="AO22" s="17">
        <f>SUMIF('20.01'!$L:$L,$B:$B,'20.01'!$D:$D)*1.2</f>
        <v>0</v>
      </c>
      <c r="AP22" s="17">
        <f>SUMIF('20.01'!$M:$M,$B:$B,'20.01'!$D:$D)*1.2</f>
        <v>0</v>
      </c>
      <c r="AQ22" s="110">
        <f t="shared" si="48"/>
        <v>169.89561347286559</v>
      </c>
      <c r="AR22" s="17">
        <f t="shared" si="49"/>
        <v>169.89561347286559</v>
      </c>
      <c r="AS22" s="17">
        <f>(SUMIF('20.01'!$N:$N,$B:$B,'20.01'!$D:$D)+SUMIF('20.01'!$O:$O,$B:$B,'20.01'!$D:$D))*1.2</f>
        <v>0</v>
      </c>
      <c r="AT22" s="110">
        <f>SUMIF('20.01'!$P:$P,$B:$B,'20.01'!$D:$D)*1.2</f>
        <v>0</v>
      </c>
      <c r="AU22" s="110">
        <f t="shared" si="50"/>
        <v>0</v>
      </c>
      <c r="AV22" s="17">
        <f>SUMIF('20.01'!$Q:$Q,$B:$B,'20.01'!$D:$D)*1.2</f>
        <v>0</v>
      </c>
      <c r="AW22" s="17">
        <f>SUMIF('20.01'!$R:$R,$B:$B,'20.01'!$D:$D)*1.2</f>
        <v>0</v>
      </c>
      <c r="AX22" s="110">
        <f t="shared" si="51"/>
        <v>0</v>
      </c>
      <c r="AY22" s="17">
        <f>SUMIF('20.01'!$S:$S,$B:$B,'20.01'!$D:$D)*1.2</f>
        <v>0</v>
      </c>
      <c r="AZ22" s="17">
        <f>SUMIF('20.01'!$T:$T,$B:$B,'20.01'!$D:$D)*1.2</f>
        <v>0</v>
      </c>
      <c r="BA22" s="110">
        <f t="shared" si="52"/>
        <v>0</v>
      </c>
      <c r="BB22" s="17">
        <f>SUMIF('20.01'!$U:$U,$B:$B,'20.01'!$D:$D)*1.2</f>
        <v>0</v>
      </c>
      <c r="BC22" s="17">
        <f>SUMIF('20.01'!$V:$V,$B:$B,'20.01'!$D:$D)*1.2</f>
        <v>0</v>
      </c>
      <c r="BD22" s="17">
        <f>SUMIF('20.01'!$W:$W,$B:$B,'20.01'!$D:$D)*1.2</f>
        <v>0</v>
      </c>
      <c r="BE22" s="110">
        <f>SUMIF('20.01'!$X:$X,$B:$B,'20.01'!$D:$D)*1.2</f>
        <v>0</v>
      </c>
      <c r="BF22" s="110">
        <f t="shared" si="53"/>
        <v>0</v>
      </c>
      <c r="BG22" s="17">
        <f>SUMIF('20.01'!$Y:$Y,$B:$B,'20.01'!$D:$D)*1.2</f>
        <v>0</v>
      </c>
      <c r="BH22" s="17">
        <f>SUMIF('20.01'!$Z:$Z,$B:$B,'20.01'!$D:$D)*1.2</f>
        <v>0</v>
      </c>
      <c r="BI22" s="17">
        <f>SUMIF('20.01'!$AA:$AA,$B:$B,'20.01'!$D:$D)*1.2</f>
        <v>0</v>
      </c>
      <c r="BJ22" s="17">
        <f>SUMIF('20.01'!$AB:$AB,$B:$B,'20.01'!$D:$D)*1.2</f>
        <v>0</v>
      </c>
      <c r="BK22" s="17">
        <f>SUMIF('20.01'!$AC:$AC,$B:$B,'20.01'!$D:$D)*1.2</f>
        <v>0</v>
      </c>
      <c r="BL22" s="17">
        <f>SUMIF('20.01'!$AD:$AD,$B:$B,'20.01'!$D:$D)*1.2</f>
        <v>0</v>
      </c>
      <c r="BM22" s="110">
        <f t="shared" si="54"/>
        <v>0</v>
      </c>
      <c r="BN22" s="17">
        <f>SUMIF('20.01'!$AE:$AE,$B:$B,'20.01'!$D:$D)*1.2</f>
        <v>0</v>
      </c>
      <c r="BO22" s="17">
        <f>SUMIF('20.01'!$AF:$AF,$B:$B,'20.01'!$D:$D)*1.2</f>
        <v>0</v>
      </c>
      <c r="BP22" s="110">
        <f>SUMIF('20.01'!$AG:$AG,$B:$B,'20.01'!$D:$D)*1.2</f>
        <v>0</v>
      </c>
      <c r="BQ22" s="110">
        <f>SUMIF('20.01'!$AH:$AH,$B:$B,'20.01'!$D:$D)*1.2</f>
        <v>0</v>
      </c>
      <c r="BR22" s="110">
        <f>SUMIF('20.01'!$AI:$AI,$B:$B,'20.01'!$D:$D)*1.2</f>
        <v>0</v>
      </c>
      <c r="BS22" s="110">
        <f t="shared" si="55"/>
        <v>0</v>
      </c>
      <c r="BT22" s="17">
        <f>SUMIF('20.01'!$AJ:$AJ,$B:$B,'20.01'!$D:$D)*1.2</f>
        <v>0</v>
      </c>
      <c r="BU22" s="17">
        <f>SUMIF('20.01'!$AK:$AK,$B:$B,'20.01'!$D:$D)*1.2</f>
        <v>0</v>
      </c>
      <c r="BV22" s="110">
        <f>SUMIF('20.01'!$AL:$AL,$B:$B,'20.01'!$D:$D)*1.2</f>
        <v>0</v>
      </c>
      <c r="BW22" s="110">
        <f>SUMIF('20.01'!$AM:$AM,$B:$B,'20.01'!$D:$D)*1.2</f>
        <v>0</v>
      </c>
      <c r="BX22" s="110">
        <f>SUMIF('20.01'!$AN:$AN,$B:$B,'20.01'!$D:$D)*1.2</f>
        <v>0</v>
      </c>
      <c r="BY22" s="110">
        <f t="shared" si="3"/>
        <v>74340.812216824197</v>
      </c>
      <c r="BZ22" s="17">
        <f t="shared" si="4"/>
        <v>52521.279958920306</v>
      </c>
      <c r="CA22" s="17">
        <f t="shared" si="5"/>
        <v>3751.1394380110537</v>
      </c>
      <c r="CB22" s="17">
        <f t="shared" si="6"/>
        <v>249.35653793598985</v>
      </c>
      <c r="CC22" s="17">
        <f>SUMIF('20.01'!$AO:$AO,$B:$B,'20.01'!$D:$D)*1.2</f>
        <v>0</v>
      </c>
      <c r="CD22" s="17">
        <f t="shared" si="7"/>
        <v>3914.6443863904465</v>
      </c>
      <c r="CE22" s="17">
        <f>SUMIF('20.01'!$AQ:$AQ,$B:$B,'20.01'!$D:$D)*1.2</f>
        <v>0</v>
      </c>
      <c r="CF22" s="17">
        <f t="shared" si="8"/>
        <v>356.17075659241715</v>
      </c>
      <c r="CG22" s="17">
        <f>SUMIF('20.01'!$AR:$AR,$B:$B,'20.01'!$D:$D)*1.2</f>
        <v>13130.807999999999</v>
      </c>
      <c r="CH22" s="17">
        <f t="shared" si="9"/>
        <v>209.7587314515209</v>
      </c>
      <c r="CI22" s="17">
        <f>SUMIF('20.01'!$AT:$AT,$B:$B,'20.01'!$D:$D)*1.2</f>
        <v>0</v>
      </c>
      <c r="CJ22" s="17">
        <f>SUMIF('20.01'!$AU:$AU,$B:$B,'20.01'!$D:$D)*1.2</f>
        <v>0</v>
      </c>
      <c r="CK22" s="17">
        <f>SUMIF('20.01'!$AV:$AV,$B:$B,'20.01'!$D:$D)*1.2</f>
        <v>0</v>
      </c>
      <c r="CL22" s="17">
        <f t="shared" si="10"/>
        <v>207.65440752244726</v>
      </c>
      <c r="CM22" s="17">
        <f>SUMIF('20.01'!$AW:$AW,$B:$B,'20.01'!$D:$D)*1.2</f>
        <v>0</v>
      </c>
      <c r="CN22" s="17">
        <f>SUMIF('20.01'!$AX:$AX,$B:$B,'20.01'!$D:$D)*1.2</f>
        <v>0</v>
      </c>
      <c r="CO22" s="110">
        <f t="shared" si="56"/>
        <v>69660.042585732954</v>
      </c>
      <c r="CP22" s="17">
        <f t="shared" si="57"/>
        <v>54950.7239649197</v>
      </c>
      <c r="CQ22" s="17">
        <f t="shared" si="11"/>
        <v>16953.054445405727</v>
      </c>
      <c r="CR22" s="17">
        <f t="shared" si="12"/>
        <v>37997.669519513969</v>
      </c>
      <c r="CS22" s="17">
        <f t="shared" si="58"/>
        <v>14709.318620813257</v>
      </c>
      <c r="CT22" s="17">
        <f t="shared" si="13"/>
        <v>535.87338075023513</v>
      </c>
      <c r="CU22" s="17">
        <f t="shared" si="14"/>
        <v>518.3146842771896</v>
      </c>
      <c r="CV22" s="17">
        <f t="shared" si="15"/>
        <v>535.68955451235195</v>
      </c>
      <c r="CW22" s="17">
        <f t="shared" si="16"/>
        <v>5.6172947972033782</v>
      </c>
      <c r="CX22" s="17">
        <f t="shared" si="17"/>
        <v>7909.7158180562201</v>
      </c>
      <c r="CY22" s="17">
        <f t="shared" si="18"/>
        <v>5204.107888420057</v>
      </c>
      <c r="CZ22" s="110">
        <f t="shared" si="59"/>
        <v>17291.446211284074</v>
      </c>
      <c r="DA22" s="17">
        <f t="shared" si="60"/>
        <v>653.17381362829997</v>
      </c>
      <c r="DB22" s="17">
        <f t="shared" si="19"/>
        <v>619.83798900931174</v>
      </c>
      <c r="DC22" s="17">
        <f t="shared" si="20"/>
        <v>33.335824618988191</v>
      </c>
      <c r="DD22" s="17">
        <f t="shared" si="21"/>
        <v>1150.9671841938832</v>
      </c>
      <c r="DE22" s="17">
        <f t="shared" si="22"/>
        <v>397.11400621845974</v>
      </c>
      <c r="DF22" s="17">
        <f t="shared" si="23"/>
        <v>481.95317057646412</v>
      </c>
      <c r="DG22" s="17">
        <f t="shared" si="61"/>
        <v>14608.238036666966</v>
      </c>
      <c r="DH22" s="110">
        <f t="shared" si="62"/>
        <v>10791.213195676461</v>
      </c>
      <c r="DI22" s="17">
        <f t="shared" si="24"/>
        <v>9680.1582187779732</v>
      </c>
      <c r="DJ22" s="17">
        <f t="shared" si="25"/>
        <v>1070.5686178987278</v>
      </c>
      <c r="DK22" s="17">
        <f t="shared" si="26"/>
        <v>40.486358999761151</v>
      </c>
      <c r="DL22" s="110">
        <f t="shared" si="63"/>
        <v>64154.156556143163</v>
      </c>
      <c r="DM22" s="17">
        <f t="shared" si="27"/>
        <v>34001.702974755877</v>
      </c>
      <c r="DN22" s="17">
        <f t="shared" si="28"/>
        <v>30152.45358138729</v>
      </c>
      <c r="DO22" s="17">
        <f t="shared" si="29"/>
        <v>0</v>
      </c>
      <c r="DP22" s="110">
        <f t="shared" si="64"/>
        <v>0</v>
      </c>
      <c r="DQ22" s="17">
        <f>SUMIF('20.01'!$BB:$BB,$B:$B,'20.01'!$D:$D)*1.2</f>
        <v>0</v>
      </c>
      <c r="DR22" s="17">
        <f t="shared" si="30"/>
        <v>0</v>
      </c>
      <c r="DS22" s="17">
        <f t="shared" si="31"/>
        <v>0</v>
      </c>
      <c r="DT22" s="110">
        <f t="shared" si="65"/>
        <v>1517.1959999999999</v>
      </c>
      <c r="DU22" s="17">
        <f>SUMIF('20.01'!$BD:$BD,$B:$B,'20.01'!$D:$D)*1.2</f>
        <v>1517.1959999999999</v>
      </c>
      <c r="DV22" s="17">
        <f t="shared" si="32"/>
        <v>0</v>
      </c>
      <c r="DW22" s="17">
        <f t="shared" si="33"/>
        <v>0</v>
      </c>
      <c r="DX22" s="110">
        <f t="shared" si="34"/>
        <v>284531.97170848574</v>
      </c>
      <c r="DY22" s="110"/>
      <c r="DZ22" s="110">
        <f t="shared" si="66"/>
        <v>284531.97170848574</v>
      </c>
      <c r="EA22" s="257"/>
      <c r="EB22" s="110">
        <f t="shared" si="35"/>
        <v>0</v>
      </c>
      <c r="EC22" s="110">
        <f>SUMIF(еирц!$B:$B,$B:$B,еирц!$K:$K)</f>
        <v>202450.74000000002</v>
      </c>
      <c r="ED22" s="110">
        <f>SUMIF(еирц!$B:$B,$B:$B,еирц!$P:$P)</f>
        <v>204574.36000000002</v>
      </c>
      <c r="EE22" s="110">
        <f>SUMIF(еирц!$B:$B,$B:$B,еирц!$S:$S)</f>
        <v>91061.790000000008</v>
      </c>
      <c r="EF22" s="177">
        <f t="shared" si="67"/>
        <v>-82081.23170848572</v>
      </c>
      <c r="EG22" s="181">
        <f t="shared" si="68"/>
        <v>0</v>
      </c>
      <c r="EH22" s="177">
        <f t="shared" si="69"/>
        <v>-82081.23170848572</v>
      </c>
    </row>
    <row r="23" spans="1:138" ht="12" customHeight="1" x14ac:dyDescent="0.25">
      <c r="A23" s="5">
        <f t="shared" si="70"/>
        <v>19</v>
      </c>
      <c r="B23" s="6" t="s">
        <v>93</v>
      </c>
      <c r="C23" s="7">
        <f t="shared" si="0"/>
        <v>1021.96</v>
      </c>
      <c r="D23" s="8">
        <v>1021.96</v>
      </c>
      <c r="E23" s="8">
        <v>0</v>
      </c>
      <c r="F23" s="8">
        <v>90.7</v>
      </c>
      <c r="G23" s="87">
        <f t="shared" si="1"/>
        <v>1021.96</v>
      </c>
      <c r="H23" s="87">
        <f t="shared" si="2"/>
        <v>1021.96</v>
      </c>
      <c r="I23" s="91">
        <v>0</v>
      </c>
      <c r="J23" s="112">
        <v>0</v>
      </c>
      <c r="K23" s="17">
        <v>0</v>
      </c>
      <c r="L23" s="112">
        <f t="shared" si="36"/>
        <v>0</v>
      </c>
      <c r="M23" s="116">
        <v>3.4064104221609726</v>
      </c>
      <c r="N23" s="120">
        <f t="shared" si="37"/>
        <v>1021.96</v>
      </c>
      <c r="O23" s="116">
        <v>3.0862230770756085</v>
      </c>
      <c r="P23" s="120">
        <f t="shared" si="38"/>
        <v>1021.96</v>
      </c>
      <c r="Q23" s="116">
        <v>0</v>
      </c>
      <c r="R23" s="120">
        <f t="shared" si="39"/>
        <v>0</v>
      </c>
      <c r="S23" s="5" t="s">
        <v>73</v>
      </c>
      <c r="T23" s="87">
        <v>28.44</v>
      </c>
      <c r="U23" s="88">
        <v>4.68</v>
      </c>
      <c r="V23" s="88">
        <v>6.05</v>
      </c>
      <c r="W23" s="88">
        <v>8.24</v>
      </c>
      <c r="X23" s="88">
        <v>6.34</v>
      </c>
      <c r="Y23" s="88">
        <v>2.89</v>
      </c>
      <c r="Z23" s="88">
        <v>0</v>
      </c>
      <c r="AA23" s="88">
        <v>0</v>
      </c>
      <c r="AB23" s="88">
        <v>0.24</v>
      </c>
      <c r="AC23" s="257"/>
      <c r="AD23" s="110">
        <f t="shared" si="40"/>
        <v>66672.96219472443</v>
      </c>
      <c r="AE23" s="110">
        <f t="shared" si="41"/>
        <v>66385.881306588301</v>
      </c>
      <c r="AF23" s="16">
        <f>SUMIF('20.01'!$I:$I,$B:$B,'20.01'!$D:$D)*1.2</f>
        <v>44991.551999999996</v>
      </c>
      <c r="AG23" s="17">
        <f t="shared" si="42"/>
        <v>6538.8202419629415</v>
      </c>
      <c r="AH23" s="17">
        <f t="shared" si="43"/>
        <v>780.36763075890747</v>
      </c>
      <c r="AI23" s="16">
        <f>SUMIF('20.01'!$J:$J,$B:$B,'20.01'!$D:$D)*1.2</f>
        <v>0</v>
      </c>
      <c r="AJ23" s="17">
        <f t="shared" si="44"/>
        <v>317.1238608209635</v>
      </c>
      <c r="AK23" s="17">
        <f t="shared" si="45"/>
        <v>771.49190281863139</v>
      </c>
      <c r="AL23" s="17">
        <f t="shared" si="46"/>
        <v>12986.525670226873</v>
      </c>
      <c r="AM23" s="110">
        <f t="shared" si="47"/>
        <v>0</v>
      </c>
      <c r="AN23" s="17">
        <f>SUMIF('20.01'!$K:$K,$B:$B,'20.01'!$D:$D)*1.2</f>
        <v>0</v>
      </c>
      <c r="AO23" s="17">
        <f>SUMIF('20.01'!$L:$L,$B:$B,'20.01'!$D:$D)*1.2</f>
        <v>0</v>
      </c>
      <c r="AP23" s="17">
        <f>SUMIF('20.01'!$M:$M,$B:$B,'20.01'!$D:$D)*1.2</f>
        <v>0</v>
      </c>
      <c r="AQ23" s="110">
        <f t="shared" si="48"/>
        <v>287.08088813612721</v>
      </c>
      <c r="AR23" s="17">
        <f t="shared" si="49"/>
        <v>287.08088813612721</v>
      </c>
      <c r="AS23" s="17">
        <f>(SUMIF('20.01'!$N:$N,$B:$B,'20.01'!$D:$D)+SUMIF('20.01'!$O:$O,$B:$B,'20.01'!$D:$D))*1.2</f>
        <v>0</v>
      </c>
      <c r="AT23" s="110">
        <f>SUMIF('20.01'!$P:$P,$B:$B,'20.01'!$D:$D)*1.2</f>
        <v>0</v>
      </c>
      <c r="AU23" s="110">
        <f t="shared" si="50"/>
        <v>0</v>
      </c>
      <c r="AV23" s="17">
        <f>SUMIF('20.01'!$Q:$Q,$B:$B,'20.01'!$D:$D)*1.2</f>
        <v>0</v>
      </c>
      <c r="AW23" s="17">
        <f>SUMIF('20.01'!$R:$R,$B:$B,'20.01'!$D:$D)*1.2</f>
        <v>0</v>
      </c>
      <c r="AX23" s="110">
        <f t="shared" si="51"/>
        <v>0</v>
      </c>
      <c r="AY23" s="17">
        <f>SUMIF('20.01'!$S:$S,$B:$B,'20.01'!$D:$D)*1.2</f>
        <v>0</v>
      </c>
      <c r="AZ23" s="17">
        <f>SUMIF('20.01'!$T:$T,$B:$B,'20.01'!$D:$D)*1.2</f>
        <v>0</v>
      </c>
      <c r="BA23" s="110">
        <f t="shared" si="52"/>
        <v>0</v>
      </c>
      <c r="BB23" s="17">
        <f>SUMIF('20.01'!$U:$U,$B:$B,'20.01'!$D:$D)*1.2</f>
        <v>0</v>
      </c>
      <c r="BC23" s="17">
        <f>SUMIF('20.01'!$V:$V,$B:$B,'20.01'!$D:$D)*1.2</f>
        <v>0</v>
      </c>
      <c r="BD23" s="17">
        <f>SUMIF('20.01'!$W:$W,$B:$B,'20.01'!$D:$D)*1.2</f>
        <v>0</v>
      </c>
      <c r="BE23" s="110">
        <f>SUMIF('20.01'!$X:$X,$B:$B,'20.01'!$D:$D)*1.2</f>
        <v>0</v>
      </c>
      <c r="BF23" s="110">
        <f t="shared" si="53"/>
        <v>0</v>
      </c>
      <c r="BG23" s="17">
        <f>SUMIF('20.01'!$Y:$Y,$B:$B,'20.01'!$D:$D)*1.2</f>
        <v>0</v>
      </c>
      <c r="BH23" s="17">
        <f>SUMIF('20.01'!$Z:$Z,$B:$B,'20.01'!$D:$D)*1.2</f>
        <v>0</v>
      </c>
      <c r="BI23" s="17">
        <f>SUMIF('20.01'!$AA:$AA,$B:$B,'20.01'!$D:$D)*1.2</f>
        <v>0</v>
      </c>
      <c r="BJ23" s="17">
        <f>SUMIF('20.01'!$AB:$AB,$B:$B,'20.01'!$D:$D)*1.2</f>
        <v>0</v>
      </c>
      <c r="BK23" s="17">
        <f>SUMIF('20.01'!$AC:$AC,$B:$B,'20.01'!$D:$D)*1.2</f>
        <v>0</v>
      </c>
      <c r="BL23" s="17">
        <f>SUMIF('20.01'!$AD:$AD,$B:$B,'20.01'!$D:$D)*1.2</f>
        <v>0</v>
      </c>
      <c r="BM23" s="110">
        <f t="shared" si="54"/>
        <v>0</v>
      </c>
      <c r="BN23" s="17">
        <f>SUMIF('20.01'!$AE:$AE,$B:$B,'20.01'!$D:$D)*1.2</f>
        <v>0</v>
      </c>
      <c r="BO23" s="17">
        <f>SUMIF('20.01'!$AF:$AF,$B:$B,'20.01'!$D:$D)*1.2</f>
        <v>0</v>
      </c>
      <c r="BP23" s="110">
        <f>SUMIF('20.01'!$AG:$AG,$B:$B,'20.01'!$D:$D)*1.2</f>
        <v>0</v>
      </c>
      <c r="BQ23" s="110">
        <f>SUMIF('20.01'!$AH:$AH,$B:$B,'20.01'!$D:$D)*1.2</f>
        <v>0</v>
      </c>
      <c r="BR23" s="110">
        <f>SUMIF('20.01'!$AI:$AI,$B:$B,'20.01'!$D:$D)*1.2</f>
        <v>0</v>
      </c>
      <c r="BS23" s="110">
        <f t="shared" si="55"/>
        <v>0</v>
      </c>
      <c r="BT23" s="17">
        <f>SUMIF('20.01'!$AJ:$AJ,$B:$B,'20.01'!$D:$D)*1.2</f>
        <v>0</v>
      </c>
      <c r="BU23" s="17">
        <f>SUMIF('20.01'!$AK:$AK,$B:$B,'20.01'!$D:$D)*1.2</f>
        <v>0</v>
      </c>
      <c r="BV23" s="110">
        <f>SUMIF('20.01'!$AL:$AL,$B:$B,'20.01'!$D:$D)*1.2</f>
        <v>0</v>
      </c>
      <c r="BW23" s="110">
        <f>SUMIF('20.01'!$AM:$AM,$B:$B,'20.01'!$D:$D)*1.2</f>
        <v>0</v>
      </c>
      <c r="BX23" s="110">
        <f>SUMIF('20.01'!$AN:$AN,$B:$B,'20.01'!$D:$D)*1.2</f>
        <v>0</v>
      </c>
      <c r="BY23" s="110">
        <f t="shared" si="3"/>
        <v>118204.52365976464</v>
      </c>
      <c r="BZ23" s="17">
        <f t="shared" si="4"/>
        <v>88747.763337993063</v>
      </c>
      <c r="CA23" s="17">
        <f t="shared" si="5"/>
        <v>6338.4829035545254</v>
      </c>
      <c r="CB23" s="17">
        <f t="shared" si="6"/>
        <v>421.34988014064851</v>
      </c>
      <c r="CC23" s="17">
        <f>SUMIF('20.01'!$AO:$AO,$B:$B,'20.01'!$D:$D)*1.2</f>
        <v>0</v>
      </c>
      <c r="CD23" s="17">
        <f t="shared" si="7"/>
        <v>6614.7651738022178</v>
      </c>
      <c r="CE23" s="17">
        <f>SUMIF('20.01'!$AQ:$AQ,$B:$B,'20.01'!$D:$D)*1.2</f>
        <v>0</v>
      </c>
      <c r="CF23" s="17">
        <f t="shared" si="8"/>
        <v>601.83906482669749</v>
      </c>
      <c r="CG23" s="17">
        <f>SUMIF('20.01'!$AR:$AR,$B:$B,'20.01'!$D:$D)*1.2</f>
        <v>14775</v>
      </c>
      <c r="CH23" s="17">
        <f t="shared" si="9"/>
        <v>354.439539011568</v>
      </c>
      <c r="CI23" s="17">
        <f>SUMIF('20.01'!$AT:$AT,$B:$B,'20.01'!$D:$D)*1.2</f>
        <v>0</v>
      </c>
      <c r="CJ23" s="17">
        <f>SUMIF('20.01'!$AU:$AU,$B:$B,'20.01'!$D:$D)*1.2</f>
        <v>0</v>
      </c>
      <c r="CK23" s="17">
        <f>SUMIF('20.01'!$AV:$AV,$B:$B,'20.01'!$D:$D)*1.2</f>
        <v>0</v>
      </c>
      <c r="CL23" s="17">
        <f t="shared" si="10"/>
        <v>350.88376043591308</v>
      </c>
      <c r="CM23" s="17">
        <f>SUMIF('20.01'!$AW:$AW,$B:$B,'20.01'!$D:$D)*1.2</f>
        <v>0</v>
      </c>
      <c r="CN23" s="17">
        <f>SUMIF('20.01'!$AX:$AX,$B:$B,'20.01'!$D:$D)*1.2</f>
        <v>0</v>
      </c>
      <c r="CO23" s="110">
        <f t="shared" si="56"/>
        <v>117707.96481632879</v>
      </c>
      <c r="CP23" s="17">
        <f t="shared" si="57"/>
        <v>92852.913133580252</v>
      </c>
      <c r="CQ23" s="17">
        <f t="shared" si="11"/>
        <v>28646.401324449136</v>
      </c>
      <c r="CR23" s="17">
        <f t="shared" si="12"/>
        <v>64206.511809131116</v>
      </c>
      <c r="CS23" s="17">
        <f t="shared" si="58"/>
        <v>24855.051682748541</v>
      </c>
      <c r="CT23" s="17">
        <f t="shared" si="13"/>
        <v>905.49133629548669</v>
      </c>
      <c r="CU23" s="17">
        <f t="shared" si="14"/>
        <v>875.82155215594707</v>
      </c>
      <c r="CV23" s="17">
        <f t="shared" si="15"/>
        <v>905.1807161531799</v>
      </c>
      <c r="CW23" s="17">
        <f t="shared" si="16"/>
        <v>9.4918164532902871</v>
      </c>
      <c r="CX23" s="17">
        <f t="shared" si="17"/>
        <v>13365.431840973439</v>
      </c>
      <c r="CY23" s="17">
        <f t="shared" si="18"/>
        <v>8793.6344207171987</v>
      </c>
      <c r="CZ23" s="110">
        <f t="shared" si="59"/>
        <v>29218.198363233914</v>
      </c>
      <c r="DA23" s="17">
        <f t="shared" si="60"/>
        <v>1103.699587591894</v>
      </c>
      <c r="DB23" s="17">
        <f t="shared" si="19"/>
        <v>1047.3704220369648</v>
      </c>
      <c r="DC23" s="17">
        <f t="shared" si="20"/>
        <v>56.329165554929197</v>
      </c>
      <c r="DD23" s="17">
        <f t="shared" si="21"/>
        <v>1944.845277048249</v>
      </c>
      <c r="DE23" s="17">
        <f t="shared" si="22"/>
        <v>671.02286672456535</v>
      </c>
      <c r="DF23" s="17">
        <f t="shared" si="23"/>
        <v>814.37973247738637</v>
      </c>
      <c r="DG23" s="17">
        <f t="shared" si="61"/>
        <v>24684.25089939182</v>
      </c>
      <c r="DH23" s="110">
        <f t="shared" si="62"/>
        <v>18234.438223302775</v>
      </c>
      <c r="DI23" s="17">
        <f t="shared" si="24"/>
        <v>16357.034545737995</v>
      </c>
      <c r="DJ23" s="17">
        <f t="shared" si="25"/>
        <v>1808.9919059983199</v>
      </c>
      <c r="DK23" s="17">
        <f t="shared" si="26"/>
        <v>68.411771566461496</v>
      </c>
      <c r="DL23" s="110">
        <f t="shared" si="63"/>
        <v>108404.40118074749</v>
      </c>
      <c r="DM23" s="17">
        <f t="shared" si="27"/>
        <v>57454.332625796167</v>
      </c>
      <c r="DN23" s="17">
        <f t="shared" si="28"/>
        <v>50950.068554951322</v>
      </c>
      <c r="DO23" s="17">
        <f t="shared" si="29"/>
        <v>0</v>
      </c>
      <c r="DP23" s="110">
        <f t="shared" si="64"/>
        <v>0</v>
      </c>
      <c r="DQ23" s="17">
        <f>SUMIF('20.01'!$BB:$BB,$B:$B,'20.01'!$D:$D)*1.2</f>
        <v>0</v>
      </c>
      <c r="DR23" s="17">
        <f t="shared" si="30"/>
        <v>0</v>
      </c>
      <c r="DS23" s="17">
        <f t="shared" si="31"/>
        <v>0</v>
      </c>
      <c r="DT23" s="110">
        <f t="shared" si="65"/>
        <v>1137.8999999999999</v>
      </c>
      <c r="DU23" s="17">
        <f>SUMIF('20.01'!$BD:$BD,$B:$B,'20.01'!$D:$D)*1.2</f>
        <v>1137.8999999999999</v>
      </c>
      <c r="DV23" s="17">
        <f t="shared" si="32"/>
        <v>0</v>
      </c>
      <c r="DW23" s="17">
        <f t="shared" si="33"/>
        <v>0</v>
      </c>
      <c r="DX23" s="110">
        <f t="shared" si="34"/>
        <v>459580.38843810209</v>
      </c>
      <c r="DY23" s="110"/>
      <c r="DZ23" s="110">
        <f t="shared" si="66"/>
        <v>459580.38843810209</v>
      </c>
      <c r="EA23" s="257"/>
      <c r="EB23" s="110">
        <f t="shared" si="35"/>
        <v>0</v>
      </c>
      <c r="EC23" s="110">
        <f>SUMIF(еирц!$B:$B,$B:$B,еирц!$K:$K)</f>
        <v>342091.07999999996</v>
      </c>
      <c r="ED23" s="110">
        <f>SUMIF(еирц!$B:$B,$B:$B,еирц!$P:$P)</f>
        <v>310464.08999999997</v>
      </c>
      <c r="EE23" s="110">
        <f>SUMIF(еирц!$B:$B,$B:$B,еирц!$S:$S)</f>
        <v>114913.58</v>
      </c>
      <c r="EF23" s="177">
        <f t="shared" si="67"/>
        <v>-117489.30843810213</v>
      </c>
      <c r="EG23" s="181">
        <f t="shared" si="68"/>
        <v>0</v>
      </c>
      <c r="EH23" s="177">
        <f t="shared" si="69"/>
        <v>-117489.30843810213</v>
      </c>
    </row>
    <row r="24" spans="1:138" ht="12" customHeight="1" x14ac:dyDescent="0.25">
      <c r="A24" s="5">
        <f t="shared" si="70"/>
        <v>20</v>
      </c>
      <c r="B24" s="6" t="s">
        <v>94</v>
      </c>
      <c r="C24" s="7">
        <f t="shared" si="0"/>
        <v>385.6</v>
      </c>
      <c r="D24" s="8">
        <v>385.6</v>
      </c>
      <c r="E24" s="8">
        <v>0</v>
      </c>
      <c r="F24" s="8">
        <v>54.9</v>
      </c>
      <c r="G24" s="87">
        <f t="shared" si="1"/>
        <v>385.6</v>
      </c>
      <c r="H24" s="87">
        <f t="shared" si="2"/>
        <v>385.6</v>
      </c>
      <c r="I24" s="91">
        <v>0</v>
      </c>
      <c r="J24" s="112">
        <v>0</v>
      </c>
      <c r="K24" s="17">
        <v>0</v>
      </c>
      <c r="L24" s="112">
        <f t="shared" si="36"/>
        <v>0</v>
      </c>
      <c r="M24" s="116">
        <v>0</v>
      </c>
      <c r="N24" s="120">
        <f t="shared" si="37"/>
        <v>0</v>
      </c>
      <c r="O24" s="116">
        <v>0</v>
      </c>
      <c r="P24" s="120">
        <f t="shared" si="38"/>
        <v>0</v>
      </c>
      <c r="Q24" s="116">
        <v>0</v>
      </c>
      <c r="R24" s="120">
        <f t="shared" si="39"/>
        <v>0</v>
      </c>
      <c r="S24" s="5" t="s">
        <v>95</v>
      </c>
      <c r="T24" s="87">
        <v>22.98</v>
      </c>
      <c r="U24" s="88">
        <v>3.58</v>
      </c>
      <c r="V24" s="88">
        <v>4.67</v>
      </c>
      <c r="W24" s="88">
        <v>7.75</v>
      </c>
      <c r="X24" s="88">
        <v>4.5199999999999996</v>
      </c>
      <c r="Y24" s="88">
        <v>2.2200000000000002</v>
      </c>
      <c r="Z24" s="88">
        <v>0</v>
      </c>
      <c r="AA24" s="88">
        <v>0</v>
      </c>
      <c r="AB24" s="88">
        <v>0.24</v>
      </c>
      <c r="AC24" s="257"/>
      <c r="AD24" s="110">
        <f t="shared" si="40"/>
        <v>14487.648292131265</v>
      </c>
      <c r="AE24" s="110">
        <f t="shared" si="41"/>
        <v>14379.328602059941</v>
      </c>
      <c r="AF24" s="16">
        <f>SUMIF('20.01'!$I:$I,$B:$B,'20.01'!$D:$D)*1.2</f>
        <v>6739.2359999999999</v>
      </c>
      <c r="AG24" s="17">
        <f>IF(S24=$S$251,$AG$251,0)/$G$251*G24</f>
        <v>2034.8983720318133</v>
      </c>
      <c r="AH24" s="17">
        <f t="shared" si="43"/>
        <v>294.44377316199723</v>
      </c>
      <c r="AI24" s="16">
        <f>SUMIF('20.01'!$J:$J,$B:$B,'20.01'!$D:$D)*1.2</f>
        <v>0</v>
      </c>
      <c r="AJ24" s="17">
        <f t="shared" si="44"/>
        <v>119.65532969251588</v>
      </c>
      <c r="AK24" s="17">
        <f t="shared" si="45"/>
        <v>291.09483514703538</v>
      </c>
      <c r="AL24" s="17">
        <f t="shared" si="46"/>
        <v>4900.0002920265788</v>
      </c>
      <c r="AM24" s="110">
        <f t="shared" si="47"/>
        <v>0</v>
      </c>
      <c r="AN24" s="17">
        <f>SUMIF('20.01'!$K:$K,$B:$B,'20.01'!$D:$D)*1.2</f>
        <v>0</v>
      </c>
      <c r="AO24" s="17">
        <f>SUMIF('20.01'!$L:$L,$B:$B,'20.01'!$D:$D)*1.2</f>
        <v>0</v>
      </c>
      <c r="AP24" s="17">
        <f>SUMIF('20.01'!$M:$M,$B:$B,'20.01'!$D:$D)*1.2</f>
        <v>0</v>
      </c>
      <c r="AQ24" s="110">
        <f t="shared" si="48"/>
        <v>108.31969007132437</v>
      </c>
      <c r="AR24" s="17">
        <f t="shared" si="49"/>
        <v>108.31969007132437</v>
      </c>
      <c r="AS24" s="17">
        <f>(SUMIF('20.01'!$N:$N,$B:$B,'20.01'!$D:$D)+SUMIF('20.01'!$O:$O,$B:$B,'20.01'!$D:$D))*1.2</f>
        <v>0</v>
      </c>
      <c r="AT24" s="110">
        <f>SUMIF('20.01'!$P:$P,$B:$B,'20.01'!$D:$D)*1.2</f>
        <v>0</v>
      </c>
      <c r="AU24" s="110">
        <f t="shared" si="50"/>
        <v>0</v>
      </c>
      <c r="AV24" s="17">
        <f>SUMIF('20.01'!$Q:$Q,$B:$B,'20.01'!$D:$D)*1.2</f>
        <v>0</v>
      </c>
      <c r="AW24" s="17">
        <f>SUMIF('20.01'!$R:$R,$B:$B,'20.01'!$D:$D)*1.2</f>
        <v>0</v>
      </c>
      <c r="AX24" s="110">
        <f t="shared" si="51"/>
        <v>0</v>
      </c>
      <c r="AY24" s="17">
        <f>SUMIF('20.01'!$S:$S,$B:$B,'20.01'!$D:$D)*1.2</f>
        <v>0</v>
      </c>
      <c r="AZ24" s="17">
        <f>SUMIF('20.01'!$T:$T,$B:$B,'20.01'!$D:$D)*1.2</f>
        <v>0</v>
      </c>
      <c r="BA24" s="110">
        <f t="shared" si="52"/>
        <v>0</v>
      </c>
      <c r="BB24" s="17">
        <f>SUMIF('20.01'!$U:$U,$B:$B,'20.01'!$D:$D)*1.2</f>
        <v>0</v>
      </c>
      <c r="BC24" s="17">
        <f>SUMIF('20.01'!$V:$V,$B:$B,'20.01'!$D:$D)*1.2</f>
        <v>0</v>
      </c>
      <c r="BD24" s="17">
        <f>SUMIF('20.01'!$W:$W,$B:$B,'20.01'!$D:$D)*1.2</f>
        <v>0</v>
      </c>
      <c r="BE24" s="110">
        <f>SUMIF('20.01'!$X:$X,$B:$B,'20.01'!$D:$D)*1.2</f>
        <v>0</v>
      </c>
      <c r="BF24" s="110">
        <f t="shared" si="53"/>
        <v>0</v>
      </c>
      <c r="BG24" s="17">
        <f>SUMIF('20.01'!$Y:$Y,$B:$B,'20.01'!$D:$D)*1.2</f>
        <v>0</v>
      </c>
      <c r="BH24" s="17">
        <f>SUMIF('20.01'!$Z:$Z,$B:$B,'20.01'!$D:$D)*1.2</f>
        <v>0</v>
      </c>
      <c r="BI24" s="17">
        <f>SUMIF('20.01'!$AA:$AA,$B:$B,'20.01'!$D:$D)*1.2</f>
        <v>0</v>
      </c>
      <c r="BJ24" s="17">
        <f>SUMIF('20.01'!$AB:$AB,$B:$B,'20.01'!$D:$D)*1.2</f>
        <v>0</v>
      </c>
      <c r="BK24" s="17">
        <f>SUMIF('20.01'!$AC:$AC,$B:$B,'20.01'!$D:$D)*1.2</f>
        <v>0</v>
      </c>
      <c r="BL24" s="17">
        <f>SUMIF('20.01'!$AD:$AD,$B:$B,'20.01'!$D:$D)*1.2</f>
        <v>0</v>
      </c>
      <c r="BM24" s="110">
        <f t="shared" si="54"/>
        <v>0</v>
      </c>
      <c r="BN24" s="17">
        <f>SUMIF('20.01'!$AE:$AE,$B:$B,'20.01'!$D:$D)*1.2</f>
        <v>0</v>
      </c>
      <c r="BO24" s="17">
        <f>SUMIF('20.01'!$AF:$AF,$B:$B,'20.01'!$D:$D)*1.2</f>
        <v>0</v>
      </c>
      <c r="BP24" s="110">
        <f>SUMIF('20.01'!$AG:$AG,$B:$B,'20.01'!$D:$D)*1.2</f>
        <v>0</v>
      </c>
      <c r="BQ24" s="110">
        <f>SUMIF('20.01'!$AH:$AH,$B:$B,'20.01'!$D:$D)*1.2</f>
        <v>0</v>
      </c>
      <c r="BR24" s="110">
        <f>SUMIF('20.01'!$AI:$AI,$B:$B,'20.01'!$D:$D)*1.2</f>
        <v>0</v>
      </c>
      <c r="BS24" s="110">
        <f t="shared" si="55"/>
        <v>0</v>
      </c>
      <c r="BT24" s="17">
        <f>SUMIF('20.01'!$AJ:$AJ,$B:$B,'20.01'!$D:$D)*1.2</f>
        <v>0</v>
      </c>
      <c r="BU24" s="17">
        <f>SUMIF('20.01'!$AK:$AK,$B:$B,'20.01'!$D:$D)*1.2</f>
        <v>0</v>
      </c>
      <c r="BV24" s="110">
        <f>SUMIF('20.01'!$AL:$AL,$B:$B,'20.01'!$D:$D)*1.2</f>
        <v>0</v>
      </c>
      <c r="BW24" s="110">
        <f>SUMIF('20.01'!$AM:$AM,$B:$B,'20.01'!$D:$D)*1.2</f>
        <v>0</v>
      </c>
      <c r="BX24" s="110">
        <f>SUMIF('20.01'!$AN:$AN,$B:$B,'20.01'!$D:$D)*1.2</f>
        <v>0</v>
      </c>
      <c r="BY24" s="110">
        <f t="shared" si="3"/>
        <v>152877.28296021349</v>
      </c>
      <c r="BZ24" s="17">
        <f>IF(S24=$S$251,$BZ$251,0)/$G$251*G24</f>
        <v>147337.6465947245</v>
      </c>
      <c r="CA24" s="17">
        <f t="shared" si="5"/>
        <v>2391.5994829647198</v>
      </c>
      <c r="CB24" s="17">
        <f t="shared" si="6"/>
        <v>158.98128476871312</v>
      </c>
      <c r="CC24" s="17">
        <f>SUMIF('20.01'!$AO:$AO,$B:$B,'20.01'!$D:$D)*1.2</f>
        <v>0</v>
      </c>
      <c r="CD24" s="17">
        <f t="shared" si="7"/>
        <v>2495.8447013759201</v>
      </c>
      <c r="CE24" s="17">
        <f>SUMIF('20.01'!$AQ:$AQ,$B:$B,'20.01'!$D:$D)*1.2</f>
        <v>0</v>
      </c>
      <c r="CF24" s="17">
        <f t="shared" si="8"/>
        <v>227.08241359463636</v>
      </c>
      <c r="CG24" s="17">
        <f>SUMIF('20.01'!$AR:$AR,$B:$B,'20.01'!$D:$D)*1.2</f>
        <v>0</v>
      </c>
      <c r="CH24" s="17">
        <f t="shared" si="9"/>
        <v>133.7350642323189</v>
      </c>
      <c r="CI24" s="17">
        <f>SUMIF('20.01'!$AT:$AT,$B:$B,'20.01'!$D:$D)*1.2</f>
        <v>0</v>
      </c>
      <c r="CJ24" s="17">
        <f>SUMIF('20.01'!$AU:$AU,$B:$B,'20.01'!$D:$D)*1.2</f>
        <v>0</v>
      </c>
      <c r="CK24" s="17">
        <f>SUMIF('20.01'!$AV:$AV,$B:$B,'20.01'!$D:$D)*1.2</f>
        <v>0</v>
      </c>
      <c r="CL24" s="17">
        <f t="shared" si="10"/>
        <v>132.39341855267142</v>
      </c>
      <c r="CM24" s="17">
        <f>SUMIF('20.01'!$AW:$AW,$B:$B,'20.01'!$D:$D)*1.2</f>
        <v>0</v>
      </c>
      <c r="CN24" s="17">
        <f>SUMIF('20.01'!$AX:$AX,$B:$B,'20.01'!$D:$D)*1.2</f>
        <v>0</v>
      </c>
      <c r="CO24" s="110">
        <f t="shared" si="56"/>
        <v>44412.884294078423</v>
      </c>
      <c r="CP24" s="17">
        <f t="shared" si="57"/>
        <v>35034.720834776846</v>
      </c>
      <c r="CQ24" s="17">
        <f t="shared" si="11"/>
        <v>10808.693442705769</v>
      </c>
      <c r="CR24" s="17">
        <f t="shared" si="12"/>
        <v>24226.027392071079</v>
      </c>
      <c r="CS24" s="17">
        <f t="shared" si="58"/>
        <v>9378.1634593015751</v>
      </c>
      <c r="CT24" s="17">
        <f t="shared" si="13"/>
        <v>341.65472158943567</v>
      </c>
      <c r="CU24" s="17">
        <f t="shared" si="14"/>
        <v>330.4598912984199</v>
      </c>
      <c r="CV24" s="17">
        <f t="shared" si="15"/>
        <v>341.53752020496512</v>
      </c>
      <c r="CW24" s="17">
        <f t="shared" si="16"/>
        <v>3.5813969474233187</v>
      </c>
      <c r="CX24" s="17">
        <f t="shared" si="17"/>
        <v>5042.9669633638869</v>
      </c>
      <c r="CY24" s="17">
        <f t="shared" si="18"/>
        <v>3317.9629658974441</v>
      </c>
      <c r="CZ24" s="110">
        <f t="shared" si="59"/>
        <v>11024.440573861011</v>
      </c>
      <c r="DA24" s="17">
        <f t="shared" si="60"/>
        <v>416.44150551433944</v>
      </c>
      <c r="DB24" s="17">
        <f t="shared" si="19"/>
        <v>395.18771256942898</v>
      </c>
      <c r="DC24" s="17">
        <f t="shared" si="20"/>
        <v>21.253792944910465</v>
      </c>
      <c r="DD24" s="17">
        <f t="shared" si="21"/>
        <v>733.81770209186743</v>
      </c>
      <c r="DE24" s="17">
        <f t="shared" si="22"/>
        <v>253.18644311811852</v>
      </c>
      <c r="DF24" s="17">
        <f t="shared" si="23"/>
        <v>307.27702145219013</v>
      </c>
      <c r="DG24" s="17">
        <f t="shared" si="61"/>
        <v>9313.7179016844948</v>
      </c>
      <c r="DH24" s="110">
        <f t="shared" si="62"/>
        <v>6880.1121168201798</v>
      </c>
      <c r="DI24" s="17">
        <f t="shared" si="24"/>
        <v>6171.7410865753754</v>
      </c>
      <c r="DJ24" s="17">
        <f t="shared" si="25"/>
        <v>682.55829871321009</v>
      </c>
      <c r="DK24" s="17">
        <f t="shared" si="26"/>
        <v>25.812731531593755</v>
      </c>
      <c r="DL24" s="110">
        <f t="shared" si="63"/>
        <v>0</v>
      </c>
      <c r="DM24" s="17">
        <f t="shared" si="27"/>
        <v>0</v>
      </c>
      <c r="DN24" s="17">
        <f t="shared" si="28"/>
        <v>0</v>
      </c>
      <c r="DO24" s="17">
        <f t="shared" si="29"/>
        <v>0</v>
      </c>
      <c r="DP24" s="110">
        <f t="shared" si="64"/>
        <v>0</v>
      </c>
      <c r="DQ24" s="17">
        <f>SUMIF('20.01'!$BB:$BB,$B:$B,'20.01'!$D:$D)*1.2</f>
        <v>0</v>
      </c>
      <c r="DR24" s="17">
        <f t="shared" si="30"/>
        <v>0</v>
      </c>
      <c r="DS24" s="17">
        <f t="shared" si="31"/>
        <v>0</v>
      </c>
      <c r="DT24" s="110">
        <f t="shared" si="65"/>
        <v>758.60399999999993</v>
      </c>
      <c r="DU24" s="17">
        <f>SUMIF('20.01'!$BD:$BD,$B:$B,'20.01'!$D:$D)*1.2</f>
        <v>758.60399999999993</v>
      </c>
      <c r="DV24" s="17">
        <f t="shared" si="32"/>
        <v>0</v>
      </c>
      <c r="DW24" s="17">
        <f t="shared" si="33"/>
        <v>0</v>
      </c>
      <c r="DX24" s="110">
        <f t="shared" si="34"/>
        <v>230440.97223710435</v>
      </c>
      <c r="DY24" s="110"/>
      <c r="DZ24" s="110">
        <f t="shared" si="66"/>
        <v>230440.97223710435</v>
      </c>
      <c r="EA24" s="257"/>
      <c r="EB24" s="110">
        <f t="shared" si="35"/>
        <v>0</v>
      </c>
      <c r="EC24" s="110">
        <f>SUMIF(еирц!$B:$B,$B:$B,еирц!$K:$K)</f>
        <v>0</v>
      </c>
      <c r="ED24" s="110">
        <f>SUMIF(еирц!$B:$B,$B:$B,еирц!$P:$P)</f>
        <v>0</v>
      </c>
      <c r="EE24" s="110">
        <f>SUMIF(еирц!$B:$B,$B:$B,еирц!$S:$S)</f>
        <v>0</v>
      </c>
      <c r="EF24" s="177">
        <f t="shared" si="67"/>
        <v>-230440.97223710435</v>
      </c>
      <c r="EG24" s="181">
        <f t="shared" si="68"/>
        <v>0</v>
      </c>
      <c r="EH24" s="177">
        <f t="shared" si="69"/>
        <v>-230440.97223710435</v>
      </c>
    </row>
    <row r="25" spans="1:138" ht="12" customHeight="1" x14ac:dyDescent="0.25">
      <c r="A25" s="5">
        <f t="shared" si="70"/>
        <v>21</v>
      </c>
      <c r="B25" s="6" t="s">
        <v>96</v>
      </c>
      <c r="C25" s="7">
        <f t="shared" si="0"/>
        <v>385.6</v>
      </c>
      <c r="D25" s="8">
        <v>385.6</v>
      </c>
      <c r="E25" s="8">
        <v>0</v>
      </c>
      <c r="F25" s="8">
        <v>54.9</v>
      </c>
      <c r="G25" s="87">
        <f t="shared" si="1"/>
        <v>385.6</v>
      </c>
      <c r="H25" s="87">
        <f t="shared" si="2"/>
        <v>385.6</v>
      </c>
      <c r="I25" s="91">
        <v>0</v>
      </c>
      <c r="J25" s="112">
        <v>0</v>
      </c>
      <c r="K25" s="17">
        <v>0</v>
      </c>
      <c r="L25" s="112">
        <f t="shared" si="36"/>
        <v>0</v>
      </c>
      <c r="M25" s="116">
        <v>0</v>
      </c>
      <c r="N25" s="120">
        <f t="shared" si="37"/>
        <v>0</v>
      </c>
      <c r="O25" s="116">
        <v>0</v>
      </c>
      <c r="P25" s="120">
        <f t="shared" si="38"/>
        <v>0</v>
      </c>
      <c r="Q25" s="116">
        <v>0</v>
      </c>
      <c r="R25" s="120">
        <f t="shared" si="39"/>
        <v>0</v>
      </c>
      <c r="S25" s="5" t="s">
        <v>95</v>
      </c>
      <c r="T25" s="87">
        <v>22.98</v>
      </c>
      <c r="U25" s="88">
        <v>3.58</v>
      </c>
      <c r="V25" s="88">
        <v>4.67</v>
      </c>
      <c r="W25" s="88">
        <v>7.75</v>
      </c>
      <c r="X25" s="88">
        <v>4.5199999999999996</v>
      </c>
      <c r="Y25" s="88">
        <v>2.2200000000000002</v>
      </c>
      <c r="Z25" s="88">
        <v>0</v>
      </c>
      <c r="AA25" s="88">
        <v>0</v>
      </c>
      <c r="AB25" s="88">
        <v>0.24</v>
      </c>
      <c r="AC25" s="257"/>
      <c r="AD25" s="110">
        <f t="shared" si="40"/>
        <v>16296.900292131266</v>
      </c>
      <c r="AE25" s="110">
        <f t="shared" si="41"/>
        <v>16188.580602059941</v>
      </c>
      <c r="AF25" s="16">
        <f>SUMIF('20.01'!$I:$I,$B:$B,'20.01'!$D:$D)*1.2</f>
        <v>8548.4879999999994</v>
      </c>
      <c r="AG25" s="17">
        <f>IF(S25=$S$251,$AG$251,0)/$G$251*G25</f>
        <v>2034.8983720318133</v>
      </c>
      <c r="AH25" s="17">
        <f t="shared" si="43"/>
        <v>294.44377316199723</v>
      </c>
      <c r="AI25" s="16">
        <f>SUMIF('20.01'!$J:$J,$B:$B,'20.01'!$D:$D)*1.2</f>
        <v>0</v>
      </c>
      <c r="AJ25" s="17">
        <f t="shared" si="44"/>
        <v>119.65532969251588</v>
      </c>
      <c r="AK25" s="17">
        <f t="shared" si="45"/>
        <v>291.09483514703538</v>
      </c>
      <c r="AL25" s="17">
        <f t="shared" si="46"/>
        <v>4900.0002920265788</v>
      </c>
      <c r="AM25" s="110">
        <f t="shared" si="47"/>
        <v>0</v>
      </c>
      <c r="AN25" s="17">
        <f>SUMIF('20.01'!$K:$K,$B:$B,'20.01'!$D:$D)*1.2</f>
        <v>0</v>
      </c>
      <c r="AO25" s="17">
        <f>SUMIF('20.01'!$L:$L,$B:$B,'20.01'!$D:$D)*1.2</f>
        <v>0</v>
      </c>
      <c r="AP25" s="17">
        <f>SUMIF('20.01'!$M:$M,$B:$B,'20.01'!$D:$D)*1.2</f>
        <v>0</v>
      </c>
      <c r="AQ25" s="110">
        <f t="shared" si="48"/>
        <v>108.31969007132437</v>
      </c>
      <c r="AR25" s="17">
        <f t="shared" si="49"/>
        <v>108.31969007132437</v>
      </c>
      <c r="AS25" s="17">
        <f>(SUMIF('20.01'!$N:$N,$B:$B,'20.01'!$D:$D)+SUMIF('20.01'!$O:$O,$B:$B,'20.01'!$D:$D))*1.2</f>
        <v>0</v>
      </c>
      <c r="AT25" s="110">
        <f>SUMIF('20.01'!$P:$P,$B:$B,'20.01'!$D:$D)*1.2</f>
        <v>0</v>
      </c>
      <c r="AU25" s="110">
        <f t="shared" si="50"/>
        <v>0</v>
      </c>
      <c r="AV25" s="17">
        <f>SUMIF('20.01'!$Q:$Q,$B:$B,'20.01'!$D:$D)*1.2</f>
        <v>0</v>
      </c>
      <c r="AW25" s="17">
        <f>SUMIF('20.01'!$R:$R,$B:$B,'20.01'!$D:$D)*1.2</f>
        <v>0</v>
      </c>
      <c r="AX25" s="110">
        <f t="shared" si="51"/>
        <v>0</v>
      </c>
      <c r="AY25" s="17">
        <f>SUMIF('20.01'!$S:$S,$B:$B,'20.01'!$D:$D)*1.2</f>
        <v>0</v>
      </c>
      <c r="AZ25" s="17">
        <f>SUMIF('20.01'!$T:$T,$B:$B,'20.01'!$D:$D)*1.2</f>
        <v>0</v>
      </c>
      <c r="BA25" s="110">
        <f t="shared" si="52"/>
        <v>0</v>
      </c>
      <c r="BB25" s="17">
        <f>SUMIF('20.01'!$U:$U,$B:$B,'20.01'!$D:$D)*1.2</f>
        <v>0</v>
      </c>
      <c r="BC25" s="17">
        <f>SUMIF('20.01'!$V:$V,$B:$B,'20.01'!$D:$D)*1.2</f>
        <v>0</v>
      </c>
      <c r="BD25" s="17">
        <f>SUMIF('20.01'!$W:$W,$B:$B,'20.01'!$D:$D)*1.2</f>
        <v>0</v>
      </c>
      <c r="BE25" s="110">
        <f>SUMIF('20.01'!$X:$X,$B:$B,'20.01'!$D:$D)*1.2</f>
        <v>0</v>
      </c>
      <c r="BF25" s="110">
        <f t="shared" si="53"/>
        <v>0</v>
      </c>
      <c r="BG25" s="17">
        <f>SUMIF('20.01'!$Y:$Y,$B:$B,'20.01'!$D:$D)*1.2</f>
        <v>0</v>
      </c>
      <c r="BH25" s="17">
        <f>SUMIF('20.01'!$Z:$Z,$B:$B,'20.01'!$D:$D)*1.2</f>
        <v>0</v>
      </c>
      <c r="BI25" s="17">
        <f>SUMIF('20.01'!$AA:$AA,$B:$B,'20.01'!$D:$D)*1.2</f>
        <v>0</v>
      </c>
      <c r="BJ25" s="17">
        <f>SUMIF('20.01'!$AB:$AB,$B:$B,'20.01'!$D:$D)*1.2</f>
        <v>0</v>
      </c>
      <c r="BK25" s="17">
        <f>SUMIF('20.01'!$AC:$AC,$B:$B,'20.01'!$D:$D)*1.2</f>
        <v>0</v>
      </c>
      <c r="BL25" s="17">
        <f>SUMIF('20.01'!$AD:$AD,$B:$B,'20.01'!$D:$D)*1.2</f>
        <v>0</v>
      </c>
      <c r="BM25" s="110">
        <f t="shared" si="54"/>
        <v>0</v>
      </c>
      <c r="BN25" s="17">
        <f>SUMIF('20.01'!$AE:$AE,$B:$B,'20.01'!$D:$D)*1.2</f>
        <v>0</v>
      </c>
      <c r="BO25" s="17">
        <f>SUMIF('20.01'!$AF:$AF,$B:$B,'20.01'!$D:$D)*1.2</f>
        <v>0</v>
      </c>
      <c r="BP25" s="110">
        <f>SUMIF('20.01'!$AG:$AG,$B:$B,'20.01'!$D:$D)*1.2</f>
        <v>0</v>
      </c>
      <c r="BQ25" s="110">
        <f>SUMIF('20.01'!$AH:$AH,$B:$B,'20.01'!$D:$D)*1.2</f>
        <v>0</v>
      </c>
      <c r="BR25" s="110">
        <f>SUMIF('20.01'!$AI:$AI,$B:$B,'20.01'!$D:$D)*1.2</f>
        <v>0</v>
      </c>
      <c r="BS25" s="110">
        <f t="shared" si="55"/>
        <v>0</v>
      </c>
      <c r="BT25" s="17">
        <f>SUMIF('20.01'!$AJ:$AJ,$B:$B,'20.01'!$D:$D)*1.2</f>
        <v>0</v>
      </c>
      <c r="BU25" s="17">
        <f>SUMIF('20.01'!$AK:$AK,$B:$B,'20.01'!$D:$D)*1.2</f>
        <v>0</v>
      </c>
      <c r="BV25" s="110">
        <f>SUMIF('20.01'!$AL:$AL,$B:$B,'20.01'!$D:$D)*1.2</f>
        <v>0</v>
      </c>
      <c r="BW25" s="110">
        <f>SUMIF('20.01'!$AM:$AM,$B:$B,'20.01'!$D:$D)*1.2</f>
        <v>0</v>
      </c>
      <c r="BX25" s="110">
        <f>SUMIF('20.01'!$AN:$AN,$B:$B,'20.01'!$D:$D)*1.2</f>
        <v>0</v>
      </c>
      <c r="BY25" s="110">
        <f t="shared" si="3"/>
        <v>152877.28296021349</v>
      </c>
      <c r="BZ25" s="17">
        <f>IF(S25=$S$251,$BZ$251,0)/$G$251*G25</f>
        <v>147337.6465947245</v>
      </c>
      <c r="CA25" s="17">
        <f t="shared" si="5"/>
        <v>2391.5994829647198</v>
      </c>
      <c r="CB25" s="17">
        <f t="shared" si="6"/>
        <v>158.98128476871312</v>
      </c>
      <c r="CC25" s="17">
        <f>SUMIF('20.01'!$AO:$AO,$B:$B,'20.01'!$D:$D)*1.2</f>
        <v>0</v>
      </c>
      <c r="CD25" s="17">
        <f t="shared" si="7"/>
        <v>2495.8447013759201</v>
      </c>
      <c r="CE25" s="17">
        <f>SUMIF('20.01'!$AQ:$AQ,$B:$B,'20.01'!$D:$D)*1.2</f>
        <v>0</v>
      </c>
      <c r="CF25" s="17">
        <f t="shared" si="8"/>
        <v>227.08241359463636</v>
      </c>
      <c r="CG25" s="17">
        <f>SUMIF('20.01'!$AR:$AR,$B:$B,'20.01'!$D:$D)*1.2</f>
        <v>0</v>
      </c>
      <c r="CH25" s="17">
        <f t="shared" si="9"/>
        <v>133.7350642323189</v>
      </c>
      <c r="CI25" s="17">
        <f>SUMIF('20.01'!$AT:$AT,$B:$B,'20.01'!$D:$D)*1.2</f>
        <v>0</v>
      </c>
      <c r="CJ25" s="17">
        <f>SUMIF('20.01'!$AU:$AU,$B:$B,'20.01'!$D:$D)*1.2</f>
        <v>0</v>
      </c>
      <c r="CK25" s="17">
        <f>SUMIF('20.01'!$AV:$AV,$B:$B,'20.01'!$D:$D)*1.2</f>
        <v>0</v>
      </c>
      <c r="CL25" s="17">
        <f t="shared" si="10"/>
        <v>132.39341855267142</v>
      </c>
      <c r="CM25" s="17">
        <f>SUMIF('20.01'!$AW:$AW,$B:$B,'20.01'!$D:$D)*1.2</f>
        <v>0</v>
      </c>
      <c r="CN25" s="17">
        <f>SUMIF('20.01'!$AX:$AX,$B:$B,'20.01'!$D:$D)*1.2</f>
        <v>0</v>
      </c>
      <c r="CO25" s="110">
        <f t="shared" si="56"/>
        <v>44412.884294078423</v>
      </c>
      <c r="CP25" s="17">
        <f t="shared" si="57"/>
        <v>35034.720834776846</v>
      </c>
      <c r="CQ25" s="17">
        <f t="shared" si="11"/>
        <v>10808.693442705769</v>
      </c>
      <c r="CR25" s="17">
        <f t="shared" si="12"/>
        <v>24226.027392071079</v>
      </c>
      <c r="CS25" s="17">
        <f t="shared" si="58"/>
        <v>9378.1634593015751</v>
      </c>
      <c r="CT25" s="17">
        <f t="shared" si="13"/>
        <v>341.65472158943567</v>
      </c>
      <c r="CU25" s="17">
        <f t="shared" si="14"/>
        <v>330.4598912984199</v>
      </c>
      <c r="CV25" s="17">
        <f t="shared" si="15"/>
        <v>341.53752020496512</v>
      </c>
      <c r="CW25" s="17">
        <f t="shared" si="16"/>
        <v>3.5813969474233187</v>
      </c>
      <c r="CX25" s="17">
        <f t="shared" si="17"/>
        <v>5042.9669633638869</v>
      </c>
      <c r="CY25" s="17">
        <f t="shared" si="18"/>
        <v>3317.9629658974441</v>
      </c>
      <c r="CZ25" s="110">
        <f t="shared" si="59"/>
        <v>11024.440573861011</v>
      </c>
      <c r="DA25" s="17">
        <f t="shared" si="60"/>
        <v>416.44150551433944</v>
      </c>
      <c r="DB25" s="17">
        <f t="shared" si="19"/>
        <v>395.18771256942898</v>
      </c>
      <c r="DC25" s="17">
        <f t="shared" si="20"/>
        <v>21.253792944910465</v>
      </c>
      <c r="DD25" s="17">
        <f t="shared" si="21"/>
        <v>733.81770209186743</v>
      </c>
      <c r="DE25" s="17">
        <f t="shared" si="22"/>
        <v>253.18644311811852</v>
      </c>
      <c r="DF25" s="17">
        <f t="shared" si="23"/>
        <v>307.27702145219013</v>
      </c>
      <c r="DG25" s="17">
        <f t="shared" si="61"/>
        <v>9313.7179016844948</v>
      </c>
      <c r="DH25" s="110">
        <f t="shared" si="62"/>
        <v>6880.1121168201798</v>
      </c>
      <c r="DI25" s="17">
        <f t="shared" si="24"/>
        <v>6171.7410865753754</v>
      </c>
      <c r="DJ25" s="17">
        <f t="shared" si="25"/>
        <v>682.55829871321009</v>
      </c>
      <c r="DK25" s="17">
        <f t="shared" si="26"/>
        <v>25.812731531593755</v>
      </c>
      <c r="DL25" s="110">
        <f t="shared" si="63"/>
        <v>0</v>
      </c>
      <c r="DM25" s="17">
        <f t="shared" si="27"/>
        <v>0</v>
      </c>
      <c r="DN25" s="17">
        <f t="shared" si="28"/>
        <v>0</v>
      </c>
      <c r="DO25" s="17">
        <f t="shared" si="29"/>
        <v>0</v>
      </c>
      <c r="DP25" s="110">
        <f t="shared" si="64"/>
        <v>0</v>
      </c>
      <c r="DQ25" s="17">
        <f>SUMIF('20.01'!$BB:$BB,$B:$B,'20.01'!$D:$D)*1.2</f>
        <v>0</v>
      </c>
      <c r="DR25" s="17">
        <f t="shared" si="30"/>
        <v>0</v>
      </c>
      <c r="DS25" s="17">
        <f t="shared" si="31"/>
        <v>0</v>
      </c>
      <c r="DT25" s="110">
        <f t="shared" si="65"/>
        <v>758.60399999999993</v>
      </c>
      <c r="DU25" s="17">
        <f>SUMIF('20.01'!$BD:$BD,$B:$B,'20.01'!$D:$D)*1.2</f>
        <v>758.60399999999993</v>
      </c>
      <c r="DV25" s="17">
        <f t="shared" si="32"/>
        <v>0</v>
      </c>
      <c r="DW25" s="17">
        <f t="shared" si="33"/>
        <v>0</v>
      </c>
      <c r="DX25" s="110">
        <f t="shared" si="34"/>
        <v>232250.22423710435</v>
      </c>
      <c r="DY25" s="110"/>
      <c r="DZ25" s="110">
        <f t="shared" si="66"/>
        <v>232250.22423710435</v>
      </c>
      <c r="EA25" s="257"/>
      <c r="EB25" s="110">
        <f t="shared" si="35"/>
        <v>0</v>
      </c>
      <c r="EC25" s="110">
        <f>SUMIF(еирц!$B:$B,$B:$B,еирц!$K:$K)</f>
        <v>0</v>
      </c>
      <c r="ED25" s="110">
        <f>SUMIF(еирц!$B:$B,$B:$B,еирц!$P:$P)</f>
        <v>0</v>
      </c>
      <c r="EE25" s="110">
        <f>SUMIF(еирц!$B:$B,$B:$B,еирц!$S:$S)</f>
        <v>0</v>
      </c>
      <c r="EF25" s="177">
        <f t="shared" si="67"/>
        <v>-232250.22423710435</v>
      </c>
      <c r="EG25" s="181">
        <f t="shared" si="68"/>
        <v>0</v>
      </c>
      <c r="EH25" s="177">
        <f t="shared" si="69"/>
        <v>-232250.22423710435</v>
      </c>
    </row>
    <row r="26" spans="1:138" ht="12" customHeight="1" x14ac:dyDescent="0.25">
      <c r="A26" s="5">
        <f t="shared" si="70"/>
        <v>22</v>
      </c>
      <c r="B26" s="6" t="s">
        <v>97</v>
      </c>
      <c r="C26" s="7">
        <f t="shared" si="0"/>
        <v>10450.300000000001</v>
      </c>
      <c r="D26" s="8">
        <v>9759.6</v>
      </c>
      <c r="E26" s="8">
        <v>690.7</v>
      </c>
      <c r="F26" s="8">
        <v>2001.5</v>
      </c>
      <c r="G26" s="87">
        <f t="shared" si="1"/>
        <v>10450.300000000001</v>
      </c>
      <c r="H26" s="87">
        <f t="shared" si="2"/>
        <v>10450.300000000001</v>
      </c>
      <c r="I26" s="91">
        <v>5</v>
      </c>
      <c r="J26" s="112">
        <v>1.6419020987440584E-2</v>
      </c>
      <c r="K26" s="17">
        <v>4</v>
      </c>
      <c r="L26" s="112">
        <f t="shared" si="36"/>
        <v>9.638554216867469E-3</v>
      </c>
      <c r="M26" s="116">
        <v>3.4064176681485732</v>
      </c>
      <c r="N26" s="120">
        <f t="shared" si="37"/>
        <v>10450.300000000001</v>
      </c>
      <c r="O26" s="116">
        <v>3.086232053157417</v>
      </c>
      <c r="P26" s="120">
        <f t="shared" si="38"/>
        <v>10450.300000000001</v>
      </c>
      <c r="Q26" s="116">
        <v>1.6009270271045464</v>
      </c>
      <c r="R26" s="120">
        <f t="shared" si="39"/>
        <v>10450.300000000001</v>
      </c>
      <c r="S26" s="5" t="s">
        <v>98</v>
      </c>
      <c r="T26" s="87">
        <v>41.34</v>
      </c>
      <c r="U26" s="88">
        <v>4.68</v>
      </c>
      <c r="V26" s="88">
        <v>7.92</v>
      </c>
      <c r="W26" s="88">
        <v>12.32</v>
      </c>
      <c r="X26" s="88">
        <v>6.34</v>
      </c>
      <c r="Y26" s="88">
        <v>2.89</v>
      </c>
      <c r="Z26" s="88">
        <v>1.66</v>
      </c>
      <c r="AA26" s="88">
        <v>5.29</v>
      </c>
      <c r="AB26" s="88">
        <v>0.24</v>
      </c>
      <c r="AC26" s="257"/>
      <c r="AD26" s="110">
        <f t="shared" si="40"/>
        <v>351590.48004148307</v>
      </c>
      <c r="AE26" s="110">
        <f t="shared" si="41"/>
        <v>229966.27274803811</v>
      </c>
      <c r="AF26" s="16">
        <f>SUMIF('20.01'!$I:$I,$B:$B,'20.01'!$D:$D)*1.2</f>
        <v>55855.799999999996</v>
      </c>
      <c r="AG26" s="17">
        <f>IF(S26=$S$248,$AG$248,0)/$G$248*G26</f>
        <v>22201.859516547072</v>
      </c>
      <c r="AH26" s="17">
        <f t="shared" si="43"/>
        <v>7979.8385961483918</v>
      </c>
      <c r="AI26" s="16">
        <f>SUMIF('20.01'!$J:$J,$B:$B,'20.01'!$D:$D)*1.2</f>
        <v>0</v>
      </c>
      <c r="AJ26" s="17">
        <f t="shared" si="44"/>
        <v>3242.8270017782643</v>
      </c>
      <c r="AK26" s="17">
        <f t="shared" si="45"/>
        <v>7889.0776860401038</v>
      </c>
      <c r="AL26" s="17">
        <f t="shared" si="46"/>
        <v>132796.86994752428</v>
      </c>
      <c r="AM26" s="110">
        <f t="shared" si="47"/>
        <v>118688.592</v>
      </c>
      <c r="AN26" s="17">
        <f>SUMIF('20.01'!$K:$K,$B:$B,'20.01'!$D:$D)*1.2</f>
        <v>118688.592</v>
      </c>
      <c r="AO26" s="17">
        <f>SUMIF('20.01'!$L:$L,$B:$B,'20.01'!$D:$D)*1.2</f>
        <v>0</v>
      </c>
      <c r="AP26" s="17">
        <f>SUMIF('20.01'!$M:$M,$B:$B,'20.01'!$D:$D)*1.2</f>
        <v>0</v>
      </c>
      <c r="AQ26" s="110">
        <f t="shared" si="48"/>
        <v>2935.6152934449201</v>
      </c>
      <c r="AR26" s="17">
        <f t="shared" si="49"/>
        <v>2935.6152934449201</v>
      </c>
      <c r="AS26" s="17">
        <f>(SUMIF('20.01'!$N:$N,$B:$B,'20.01'!$D:$D)+SUMIF('20.01'!$O:$O,$B:$B,'20.01'!$D:$D))*1.2</f>
        <v>0</v>
      </c>
      <c r="AT26" s="110">
        <f>SUMIF('20.01'!$P:$P,$B:$B,'20.01'!$D:$D)*1.2</f>
        <v>0</v>
      </c>
      <c r="AU26" s="110">
        <f t="shared" si="50"/>
        <v>0</v>
      </c>
      <c r="AV26" s="17">
        <f>SUMIF('20.01'!$Q:$Q,$B:$B,'20.01'!$D:$D)*1.2</f>
        <v>0</v>
      </c>
      <c r="AW26" s="17">
        <f>SUMIF('20.01'!$R:$R,$B:$B,'20.01'!$D:$D)*1.2</f>
        <v>0</v>
      </c>
      <c r="AX26" s="110">
        <f t="shared" si="51"/>
        <v>0</v>
      </c>
      <c r="AY26" s="17">
        <f>SUMIF('20.01'!$S:$S,$B:$B,'20.01'!$D:$D)*1.2</f>
        <v>0</v>
      </c>
      <c r="AZ26" s="17">
        <f>SUMIF('20.01'!$T:$T,$B:$B,'20.01'!$D:$D)*1.2</f>
        <v>0</v>
      </c>
      <c r="BA26" s="110">
        <f t="shared" si="52"/>
        <v>0</v>
      </c>
      <c r="BB26" s="17">
        <f>SUMIF('20.01'!$U:$U,$B:$B,'20.01'!$D:$D)*1.2</f>
        <v>0</v>
      </c>
      <c r="BC26" s="17">
        <f>SUMIF('20.01'!$V:$V,$B:$B,'20.01'!$D:$D)*1.2</f>
        <v>0</v>
      </c>
      <c r="BD26" s="17">
        <f>SUMIF('20.01'!$W:$W,$B:$B,'20.01'!$D:$D)*1.2</f>
        <v>0</v>
      </c>
      <c r="BE26" s="110">
        <f>SUMIF('20.01'!$X:$X,$B:$B,'20.01'!$D:$D)*1.2</f>
        <v>0</v>
      </c>
      <c r="BF26" s="110">
        <f t="shared" si="53"/>
        <v>0</v>
      </c>
      <c r="BG26" s="17">
        <f>SUMIF('20.01'!$Y:$Y,$B:$B,'20.01'!$D:$D)*1.2</f>
        <v>0</v>
      </c>
      <c r="BH26" s="17">
        <f>SUMIF('20.01'!$Z:$Z,$B:$B,'20.01'!$D:$D)*1.2</f>
        <v>0</v>
      </c>
      <c r="BI26" s="17">
        <f>SUMIF('20.01'!$AA:$AA,$B:$B,'20.01'!$D:$D)*1.2</f>
        <v>0</v>
      </c>
      <c r="BJ26" s="17">
        <f>SUMIF('20.01'!$AB:$AB,$B:$B,'20.01'!$D:$D)*1.2</f>
        <v>0</v>
      </c>
      <c r="BK26" s="17">
        <f>SUMIF('20.01'!$AC:$AC,$B:$B,'20.01'!$D:$D)*1.2</f>
        <v>0</v>
      </c>
      <c r="BL26" s="17">
        <f>SUMIF('20.01'!$AD:$AD,$B:$B,'20.01'!$D:$D)*1.2</f>
        <v>0</v>
      </c>
      <c r="BM26" s="110">
        <f t="shared" si="54"/>
        <v>0</v>
      </c>
      <c r="BN26" s="17">
        <f>SUMIF('20.01'!$AE:$AE,$B:$B,'20.01'!$D:$D)*1.2</f>
        <v>0</v>
      </c>
      <c r="BO26" s="17">
        <f>SUMIF('20.01'!$AF:$AF,$B:$B,'20.01'!$D:$D)*1.2</f>
        <v>0</v>
      </c>
      <c r="BP26" s="110">
        <f>SUMIF('20.01'!$AG:$AG,$B:$B,'20.01'!$D:$D)*1.2</f>
        <v>0</v>
      </c>
      <c r="BQ26" s="110">
        <f>SUMIF('20.01'!$AH:$AH,$B:$B,'20.01'!$D:$D)*1.2</f>
        <v>0</v>
      </c>
      <c r="BR26" s="110">
        <f>SUMIF('20.01'!$AI:$AI,$B:$B,'20.01'!$D:$D)*1.2</f>
        <v>0</v>
      </c>
      <c r="BS26" s="110">
        <f t="shared" si="55"/>
        <v>0</v>
      </c>
      <c r="BT26" s="17">
        <f>SUMIF('20.01'!$AJ:$AJ,$B:$B,'20.01'!$D:$D)*1.2</f>
        <v>0</v>
      </c>
      <c r="BU26" s="17">
        <f>SUMIF('20.01'!$AK:$AK,$B:$B,'20.01'!$D:$D)*1.2</f>
        <v>0</v>
      </c>
      <c r="BV26" s="110">
        <f>SUMIF('20.01'!$AL:$AL,$B:$B,'20.01'!$D:$D)*1.2</f>
        <v>0</v>
      </c>
      <c r="BW26" s="110">
        <f>SUMIF('20.01'!$AM:$AM,$B:$B,'20.01'!$D:$D)*1.2</f>
        <v>0</v>
      </c>
      <c r="BX26" s="110">
        <f>SUMIF('20.01'!$AN:$AN,$B:$B,'20.01'!$D:$D)*1.2</f>
        <v>0</v>
      </c>
      <c r="BY26" s="110">
        <f t="shared" si="3"/>
        <v>683380.32678235229</v>
      </c>
      <c r="BZ26" s="17">
        <f>IF(S26=$S$248,$BZ$248,0)/$G$248*G26</f>
        <v>530800.51948808506</v>
      </c>
      <c r="CA26" s="17">
        <f t="shared" si="5"/>
        <v>64815.695219984991</v>
      </c>
      <c r="CB26" s="17">
        <f t="shared" si="6"/>
        <v>4308.61545699814</v>
      </c>
      <c r="CC26" s="17">
        <f>SUMIF('20.01'!$AO:$AO,$B:$B,'20.01'!$D:$D)*1.2</f>
        <v>0</v>
      </c>
      <c r="CD26" s="17">
        <f t="shared" si="7"/>
        <v>67640.886625489569</v>
      </c>
      <c r="CE26" s="17">
        <f>SUMIF('20.01'!$AQ:$AQ,$B:$B,'20.01'!$D:$D)*1.2</f>
        <v>0</v>
      </c>
      <c r="CF26" s="17">
        <f t="shared" si="8"/>
        <v>6154.2514180187463</v>
      </c>
      <c r="CG26" s="17">
        <f>SUMIF('20.01'!$AR:$AR,$B:$B,'20.01'!$D:$D)*1.2</f>
        <v>2447.904</v>
      </c>
      <c r="CH26" s="17">
        <f t="shared" si="9"/>
        <v>3624.4075252774956</v>
      </c>
      <c r="CI26" s="17">
        <f>SUMIF('20.01'!$AT:$AT,$B:$B,'20.01'!$D:$D)*1.2</f>
        <v>0</v>
      </c>
      <c r="CJ26" s="17">
        <f>SUMIF('20.01'!$AU:$AU,$B:$B,'20.01'!$D:$D)*1.2</f>
        <v>0</v>
      </c>
      <c r="CK26" s="17">
        <f>SUMIF('20.01'!$AV:$AV,$B:$B,'20.01'!$D:$D)*1.2</f>
        <v>0</v>
      </c>
      <c r="CL26" s="17">
        <f t="shared" si="10"/>
        <v>3588.047048498398</v>
      </c>
      <c r="CM26" s="17">
        <f>SUMIF('20.01'!$AW:$AW,$B:$B,'20.01'!$D:$D)*1.2</f>
        <v>0</v>
      </c>
      <c r="CN26" s="17">
        <f>SUMIF('20.01'!$AX:$AX,$B:$B,'20.01'!$D:$D)*1.2</f>
        <v>0</v>
      </c>
      <c r="CO26" s="110">
        <f t="shared" si="56"/>
        <v>1203651.3608361196</v>
      </c>
      <c r="CP26" s="17">
        <f t="shared" si="57"/>
        <v>949489.99776884983</v>
      </c>
      <c r="CQ26" s="17">
        <f t="shared" si="11"/>
        <v>292930.72895308118</v>
      </c>
      <c r="CR26" s="17">
        <f t="shared" si="12"/>
        <v>656559.26881576865</v>
      </c>
      <c r="CS26" s="17">
        <f t="shared" si="58"/>
        <v>254161.36306726985</v>
      </c>
      <c r="CT26" s="17">
        <f t="shared" si="13"/>
        <v>9259.3214134493774</v>
      </c>
      <c r="CU26" s="17">
        <f t="shared" si="14"/>
        <v>8955.9258351552835</v>
      </c>
      <c r="CV26" s="17">
        <f t="shared" si="15"/>
        <v>9256.1450917996553</v>
      </c>
      <c r="CW26" s="17">
        <f t="shared" si="16"/>
        <v>97.06087271695516</v>
      </c>
      <c r="CX26" s="17">
        <f t="shared" si="17"/>
        <v>136671.46695342747</v>
      </c>
      <c r="CY26" s="17">
        <f t="shared" si="18"/>
        <v>89921.442900721115</v>
      </c>
      <c r="CZ26" s="110">
        <f t="shared" si="59"/>
        <v>298777.77834289346</v>
      </c>
      <c r="DA26" s="17">
        <f t="shared" si="60"/>
        <v>11286.147990343625</v>
      </c>
      <c r="DB26" s="17">
        <f t="shared" si="19"/>
        <v>10710.140437407426</v>
      </c>
      <c r="DC26" s="17">
        <f t="shared" si="20"/>
        <v>576.00755293619773</v>
      </c>
      <c r="DD26" s="17">
        <f t="shared" si="21"/>
        <v>19887.487375961209</v>
      </c>
      <c r="DE26" s="17">
        <f t="shared" si="22"/>
        <v>6861.7071745779931</v>
      </c>
      <c r="DF26" s="17">
        <f t="shared" si="23"/>
        <v>8327.6375966852247</v>
      </c>
      <c r="DG26" s="17">
        <f t="shared" si="61"/>
        <v>252414.79820532544</v>
      </c>
      <c r="DH26" s="110">
        <f t="shared" si="62"/>
        <v>186460.67337760871</v>
      </c>
      <c r="DI26" s="17">
        <f t="shared" si="24"/>
        <v>167262.82644460231</v>
      </c>
      <c r="DJ26" s="17">
        <f t="shared" si="25"/>
        <v>18498.285759965402</v>
      </c>
      <c r="DK26" s="17">
        <f t="shared" si="26"/>
        <v>699.56117304101201</v>
      </c>
      <c r="DL26" s="110">
        <f t="shared" si="63"/>
        <v>1410974.0374463005</v>
      </c>
      <c r="DM26" s="17">
        <f t="shared" si="27"/>
        <v>587513.22188672516</v>
      </c>
      <c r="DN26" s="17">
        <f t="shared" si="28"/>
        <v>521002.29110709595</v>
      </c>
      <c r="DO26" s="17">
        <f t="shared" si="29"/>
        <v>302458.52445247944</v>
      </c>
      <c r="DP26" s="110">
        <f t="shared" si="64"/>
        <v>466441.5366793088</v>
      </c>
      <c r="DQ26" s="17">
        <f>SUMIF('20.01'!$BB:$BB,$B:$B,'20.01'!$D:$D)*1.2</f>
        <v>12980.699999999999</v>
      </c>
      <c r="DR26" s="17">
        <f t="shared" si="30"/>
        <v>450124.0314223406</v>
      </c>
      <c r="DS26" s="17">
        <f t="shared" si="31"/>
        <v>3336.8052569681622</v>
      </c>
      <c r="DT26" s="110">
        <f t="shared" si="65"/>
        <v>17068.547999999999</v>
      </c>
      <c r="DU26" s="17">
        <f>SUMIF('20.01'!$BD:$BD,$B:$B,'20.01'!$D:$D)*1.2</f>
        <v>17068.547999999999</v>
      </c>
      <c r="DV26" s="17">
        <f t="shared" si="32"/>
        <v>0</v>
      </c>
      <c r="DW26" s="17">
        <f t="shared" si="33"/>
        <v>0</v>
      </c>
      <c r="DX26" s="110">
        <f t="shared" si="34"/>
        <v>4618344.7415060671</v>
      </c>
      <c r="DY26" s="110">
        <f>EC26*EG26</f>
        <v>380801.41600000003</v>
      </c>
      <c r="DZ26" s="110">
        <f t="shared" si="66"/>
        <v>4999146.1575060673</v>
      </c>
      <c r="EA26" s="257"/>
      <c r="EB26" s="110">
        <f t="shared" si="35"/>
        <v>3546.2168674698792</v>
      </c>
      <c r="EC26" s="110">
        <f>SUMIF(еирц!$B:$B,$B:$B,еирц!$K:$K)</f>
        <v>4760017.7</v>
      </c>
      <c r="ED26" s="110">
        <f>SUMIF(еирц!$B:$B,$B:$B,еирц!$P:$P)</f>
        <v>4749457.4800000004</v>
      </c>
      <c r="EE26" s="110">
        <f>SUMIF(еирц!$B:$B,$B:$B,еирц!$S:$S)</f>
        <v>566167.46</v>
      </c>
      <c r="EF26" s="177">
        <f t="shared" si="67"/>
        <v>145219.17536140326</v>
      </c>
      <c r="EG26" s="182">
        <v>0.08</v>
      </c>
      <c r="EH26" s="177">
        <f t="shared" si="69"/>
        <v>-235582.24063859694</v>
      </c>
    </row>
    <row r="27" spans="1:138" ht="12" customHeight="1" x14ac:dyDescent="0.25">
      <c r="A27" s="5">
        <f t="shared" si="70"/>
        <v>23</v>
      </c>
      <c r="B27" s="6" t="s">
        <v>99</v>
      </c>
      <c r="C27" s="7">
        <f t="shared" si="0"/>
        <v>3844.53</v>
      </c>
      <c r="D27" s="8">
        <v>3633.53</v>
      </c>
      <c r="E27" s="8">
        <v>211</v>
      </c>
      <c r="F27" s="8">
        <v>808.1</v>
      </c>
      <c r="G27" s="87">
        <f t="shared" si="1"/>
        <v>3844.53</v>
      </c>
      <c r="H27" s="87">
        <f t="shared" si="2"/>
        <v>3844.53</v>
      </c>
      <c r="I27" s="91">
        <v>2</v>
      </c>
      <c r="J27" s="112">
        <v>6.0401201754585994E-3</v>
      </c>
      <c r="K27" s="17">
        <v>2</v>
      </c>
      <c r="L27" s="112">
        <f t="shared" si="36"/>
        <v>4.8192771084337345E-3</v>
      </c>
      <c r="M27" s="116">
        <v>3.4064166486874288</v>
      </c>
      <c r="N27" s="120">
        <f t="shared" si="37"/>
        <v>3844.53</v>
      </c>
      <c r="O27" s="116">
        <v>3.0862344405944322</v>
      </c>
      <c r="P27" s="120">
        <f t="shared" si="38"/>
        <v>3844.53</v>
      </c>
      <c r="Q27" s="116">
        <v>1.6009252852200271</v>
      </c>
      <c r="R27" s="120">
        <f t="shared" si="39"/>
        <v>3844.53</v>
      </c>
      <c r="S27" s="5" t="s">
        <v>98</v>
      </c>
      <c r="T27" s="87">
        <v>41.34</v>
      </c>
      <c r="U27" s="88">
        <v>4.68</v>
      </c>
      <c r="V27" s="88">
        <v>7.92</v>
      </c>
      <c r="W27" s="88">
        <v>12.32</v>
      </c>
      <c r="X27" s="88">
        <v>6.34</v>
      </c>
      <c r="Y27" s="88">
        <v>2.89</v>
      </c>
      <c r="Z27" s="88">
        <v>1.66</v>
      </c>
      <c r="AA27" s="88">
        <v>5.29</v>
      </c>
      <c r="AB27" s="88">
        <v>0.24</v>
      </c>
      <c r="AC27" s="257"/>
      <c r="AD27" s="110">
        <f t="shared" si="40"/>
        <v>151090.37838941682</v>
      </c>
      <c r="AE27" s="110">
        <f t="shared" si="41"/>
        <v>119014.03155002391</v>
      </c>
      <c r="AF27" s="16">
        <f>SUMIF('20.01'!$I:$I,$B:$B,'20.01'!$D:$D)*1.2</f>
        <v>54961.044000000002</v>
      </c>
      <c r="AG27" s="17">
        <f t="shared" ref="AG27:AG28" si="71">IF(S27=$S$248,$AG$248,0)/$G$248*G27</f>
        <v>8167.7765200186313</v>
      </c>
      <c r="AH27" s="17">
        <f t="shared" si="43"/>
        <v>2935.6792511267977</v>
      </c>
      <c r="AI27" s="16">
        <f>SUMIF('20.01'!$J:$J,$B:$B,'20.01'!$D:$D)*1.2</f>
        <v>0</v>
      </c>
      <c r="AJ27" s="17">
        <f t="shared" si="44"/>
        <v>1192.9940473619504</v>
      </c>
      <c r="AK27" s="17">
        <f t="shared" si="45"/>
        <v>2902.289487987116</v>
      </c>
      <c r="AL27" s="17">
        <f t="shared" si="46"/>
        <v>48854.248243529415</v>
      </c>
      <c r="AM27" s="110">
        <f t="shared" si="47"/>
        <v>0</v>
      </c>
      <c r="AN27" s="17">
        <f>SUMIF('20.01'!$K:$K,$B:$B,'20.01'!$D:$D)*1.2</f>
        <v>0</v>
      </c>
      <c r="AO27" s="17">
        <f>SUMIF('20.01'!$L:$L,$B:$B,'20.01'!$D:$D)*1.2</f>
        <v>0</v>
      </c>
      <c r="AP27" s="17">
        <f>SUMIF('20.01'!$M:$M,$B:$B,'20.01'!$D:$D)*1.2</f>
        <v>0</v>
      </c>
      <c r="AQ27" s="110">
        <f t="shared" si="48"/>
        <v>1079.9748393929167</v>
      </c>
      <c r="AR27" s="17">
        <f t="shared" si="49"/>
        <v>1079.9748393929167</v>
      </c>
      <c r="AS27" s="17">
        <f>(SUMIF('20.01'!$N:$N,$B:$B,'20.01'!$D:$D)+SUMIF('20.01'!$O:$O,$B:$B,'20.01'!$D:$D))*1.2</f>
        <v>0</v>
      </c>
      <c r="AT27" s="110">
        <f>SUMIF('20.01'!$P:$P,$B:$B,'20.01'!$D:$D)*1.2</f>
        <v>0</v>
      </c>
      <c r="AU27" s="110">
        <f t="shared" si="50"/>
        <v>0</v>
      </c>
      <c r="AV27" s="17">
        <f>SUMIF('20.01'!$Q:$Q,$B:$B,'20.01'!$D:$D)*1.2</f>
        <v>0</v>
      </c>
      <c r="AW27" s="17">
        <f>SUMIF('20.01'!$R:$R,$B:$B,'20.01'!$D:$D)*1.2</f>
        <v>0</v>
      </c>
      <c r="AX27" s="110">
        <f t="shared" si="51"/>
        <v>30996.371999999999</v>
      </c>
      <c r="AY27" s="17">
        <f>SUMIF('20.01'!$S:$S,$B:$B,'20.01'!$D:$D)*1.2</f>
        <v>0</v>
      </c>
      <c r="AZ27" s="17">
        <f>SUMIF('20.01'!$T:$T,$B:$B,'20.01'!$D:$D)*1.2</f>
        <v>30996.371999999999</v>
      </c>
      <c r="BA27" s="110">
        <f t="shared" si="52"/>
        <v>0</v>
      </c>
      <c r="BB27" s="17">
        <f>SUMIF('20.01'!$U:$U,$B:$B,'20.01'!$D:$D)*1.2</f>
        <v>0</v>
      </c>
      <c r="BC27" s="17">
        <f>SUMIF('20.01'!$V:$V,$B:$B,'20.01'!$D:$D)*1.2</f>
        <v>0</v>
      </c>
      <c r="BD27" s="17">
        <f>SUMIF('20.01'!$W:$W,$B:$B,'20.01'!$D:$D)*1.2</f>
        <v>0</v>
      </c>
      <c r="BE27" s="110">
        <f>SUMIF('20.01'!$X:$X,$B:$B,'20.01'!$D:$D)*1.2</f>
        <v>0</v>
      </c>
      <c r="BF27" s="110">
        <f t="shared" si="53"/>
        <v>0</v>
      </c>
      <c r="BG27" s="17">
        <f>SUMIF('20.01'!$Y:$Y,$B:$B,'20.01'!$D:$D)*1.2</f>
        <v>0</v>
      </c>
      <c r="BH27" s="17">
        <f>SUMIF('20.01'!$Z:$Z,$B:$B,'20.01'!$D:$D)*1.2</f>
        <v>0</v>
      </c>
      <c r="BI27" s="17">
        <f>SUMIF('20.01'!$AA:$AA,$B:$B,'20.01'!$D:$D)*1.2</f>
        <v>0</v>
      </c>
      <c r="BJ27" s="17">
        <f>SUMIF('20.01'!$AB:$AB,$B:$B,'20.01'!$D:$D)*1.2</f>
        <v>0</v>
      </c>
      <c r="BK27" s="17">
        <f>SUMIF('20.01'!$AC:$AC,$B:$B,'20.01'!$D:$D)*1.2</f>
        <v>0</v>
      </c>
      <c r="BL27" s="17">
        <f>SUMIF('20.01'!$AD:$AD,$B:$B,'20.01'!$D:$D)*1.2</f>
        <v>0</v>
      </c>
      <c r="BM27" s="110">
        <f t="shared" si="54"/>
        <v>0</v>
      </c>
      <c r="BN27" s="17">
        <f>SUMIF('20.01'!$AE:$AE,$B:$B,'20.01'!$D:$D)*1.2</f>
        <v>0</v>
      </c>
      <c r="BO27" s="17">
        <f>SUMIF('20.01'!$AF:$AF,$B:$B,'20.01'!$D:$D)*1.2</f>
        <v>0</v>
      </c>
      <c r="BP27" s="110">
        <f>SUMIF('20.01'!$AG:$AG,$B:$B,'20.01'!$D:$D)*1.2</f>
        <v>0</v>
      </c>
      <c r="BQ27" s="110">
        <f>SUMIF('20.01'!$AH:$AH,$B:$B,'20.01'!$D:$D)*1.2</f>
        <v>0</v>
      </c>
      <c r="BR27" s="110">
        <f>SUMIF('20.01'!$AI:$AI,$B:$B,'20.01'!$D:$D)*1.2</f>
        <v>0</v>
      </c>
      <c r="BS27" s="110">
        <f t="shared" si="55"/>
        <v>0</v>
      </c>
      <c r="BT27" s="17">
        <f>SUMIF('20.01'!$AJ:$AJ,$B:$B,'20.01'!$D:$D)*1.2</f>
        <v>0</v>
      </c>
      <c r="BU27" s="17">
        <f>SUMIF('20.01'!$AK:$AK,$B:$B,'20.01'!$D:$D)*1.2</f>
        <v>0</v>
      </c>
      <c r="BV27" s="110">
        <f>SUMIF('20.01'!$AL:$AL,$B:$B,'20.01'!$D:$D)*1.2</f>
        <v>0</v>
      </c>
      <c r="BW27" s="110">
        <f>SUMIF('20.01'!$AM:$AM,$B:$B,'20.01'!$D:$D)*1.2</f>
        <v>0</v>
      </c>
      <c r="BX27" s="110">
        <f>SUMIF('20.01'!$AN:$AN,$B:$B,'20.01'!$D:$D)*1.2</f>
        <v>0</v>
      </c>
      <c r="BY27" s="110">
        <f t="shared" si="3"/>
        <v>250506.2177506327</v>
      </c>
      <c r="BZ27" s="17">
        <f>IF(S27=$S$248,$BZ$248,0)/$G$248*G27</f>
        <v>195274.63529157321</v>
      </c>
      <c r="CA27" s="17">
        <f t="shared" si="5"/>
        <v>23844.854668678305</v>
      </c>
      <c r="CB27" s="17">
        <f t="shared" si="6"/>
        <v>1585.0838141386428</v>
      </c>
      <c r="CC27" s="17">
        <f>SUMIF('20.01'!$AO:$AO,$B:$B,'20.01'!$D:$D)*1.2</f>
        <v>0</v>
      </c>
      <c r="CD27" s="17">
        <f t="shared" si="7"/>
        <v>24884.205990095346</v>
      </c>
      <c r="CE27" s="17">
        <f>SUMIF('20.01'!$AQ:$AQ,$B:$B,'20.01'!$D:$D)*1.2</f>
        <v>0</v>
      </c>
      <c r="CF27" s="17">
        <f t="shared" si="8"/>
        <v>2264.069376392602</v>
      </c>
      <c r="CG27" s="17">
        <f>SUMIF('20.01'!$AR:$AR,$B:$B,'20.01'!$D:$D)*1.2</f>
        <v>0</v>
      </c>
      <c r="CH27" s="17">
        <f t="shared" si="9"/>
        <v>1333.3725790795565</v>
      </c>
      <c r="CI27" s="17">
        <f>SUMIF('20.01'!$AT:$AT,$B:$B,'20.01'!$D:$D)*1.2</f>
        <v>0</v>
      </c>
      <c r="CJ27" s="17">
        <f>SUMIF('20.01'!$AU:$AU,$B:$B,'20.01'!$D:$D)*1.2</f>
        <v>0</v>
      </c>
      <c r="CK27" s="17">
        <f>SUMIF('20.01'!$AV:$AV,$B:$B,'20.01'!$D:$D)*1.2</f>
        <v>0</v>
      </c>
      <c r="CL27" s="17">
        <f t="shared" si="10"/>
        <v>1319.9960306750568</v>
      </c>
      <c r="CM27" s="17">
        <f>SUMIF('20.01'!$AW:$AW,$B:$B,'20.01'!$D:$D)*1.2</f>
        <v>0</v>
      </c>
      <c r="CN27" s="17">
        <f>SUMIF('20.01'!$AX:$AX,$B:$B,'20.01'!$D:$D)*1.2</f>
        <v>0</v>
      </c>
      <c r="CO27" s="110">
        <f t="shared" si="56"/>
        <v>442807.74391886231</v>
      </c>
      <c r="CP27" s="17">
        <f t="shared" si="57"/>
        <v>349305.07077521947</v>
      </c>
      <c r="CQ27" s="17">
        <f t="shared" si="11"/>
        <v>107765.42064648758</v>
      </c>
      <c r="CR27" s="17">
        <f t="shared" si="12"/>
        <v>241539.65012873191</v>
      </c>
      <c r="CS27" s="17">
        <f t="shared" si="58"/>
        <v>93502.673143642867</v>
      </c>
      <c r="CT27" s="17">
        <f t="shared" si="13"/>
        <v>3406.3844055815175</v>
      </c>
      <c r="CU27" s="17">
        <f t="shared" si="14"/>
        <v>3294.7691024209394</v>
      </c>
      <c r="CV27" s="17">
        <f t="shared" si="15"/>
        <v>3405.2158779916872</v>
      </c>
      <c r="CW27" s="17">
        <f t="shared" si="16"/>
        <v>35.707437775615588</v>
      </c>
      <c r="CX27" s="17">
        <f t="shared" si="17"/>
        <v>50279.662291652916</v>
      </c>
      <c r="CY27" s="17">
        <f t="shared" si="18"/>
        <v>33080.934028220181</v>
      </c>
      <c r="CZ27" s="110">
        <f t="shared" si="59"/>
        <v>109916.47437610444</v>
      </c>
      <c r="DA27" s="17">
        <f t="shared" si="60"/>
        <v>4152.0276483273947</v>
      </c>
      <c r="DB27" s="17">
        <f t="shared" si="19"/>
        <v>3940.1219310283886</v>
      </c>
      <c r="DC27" s="17">
        <f t="shared" si="20"/>
        <v>211.90571729900577</v>
      </c>
      <c r="DD27" s="17">
        <f t="shared" si="21"/>
        <v>7316.348989168172</v>
      </c>
      <c r="DE27" s="17">
        <f t="shared" si="22"/>
        <v>2524.3331850645754</v>
      </c>
      <c r="DF27" s="17">
        <f t="shared" si="23"/>
        <v>3063.6299981420862</v>
      </c>
      <c r="DG27" s="17">
        <f t="shared" si="61"/>
        <v>92860.134555402212</v>
      </c>
      <c r="DH27" s="110">
        <f t="shared" si="62"/>
        <v>68596.466380909464</v>
      </c>
      <c r="DI27" s="17">
        <f t="shared" si="24"/>
        <v>61533.82717731232</v>
      </c>
      <c r="DJ27" s="17">
        <f t="shared" si="25"/>
        <v>6805.2797099374939</v>
      </c>
      <c r="DK27" s="17">
        <f t="shared" si="26"/>
        <v>257.35949365964245</v>
      </c>
      <c r="DL27" s="110">
        <f t="shared" si="63"/>
        <v>519079.07104900584</v>
      </c>
      <c r="DM27" s="17">
        <f t="shared" si="27"/>
        <v>216138.50386497722</v>
      </c>
      <c r="DN27" s="17">
        <f t="shared" si="28"/>
        <v>191669.99399347039</v>
      </c>
      <c r="DO27" s="17">
        <f t="shared" si="29"/>
        <v>111270.57319055824</v>
      </c>
      <c r="DP27" s="110">
        <f t="shared" si="64"/>
        <v>172008.43490364152</v>
      </c>
      <c r="DQ27" s="17">
        <f>SUMIF('20.01'!$BB:$BB,$B:$B,'20.01'!$D:$D)*1.2</f>
        <v>5192.28</v>
      </c>
      <c r="DR27" s="17">
        <f t="shared" si="30"/>
        <v>165588.63319150006</v>
      </c>
      <c r="DS27" s="17">
        <f t="shared" si="31"/>
        <v>1227.5217121414651</v>
      </c>
      <c r="DT27" s="110">
        <f t="shared" si="65"/>
        <v>6448.116</v>
      </c>
      <c r="DU27" s="17">
        <f>SUMIF('20.01'!$BD:$BD,$B:$B,'20.01'!$D:$D)*1.2</f>
        <v>6448.116</v>
      </c>
      <c r="DV27" s="17">
        <f t="shared" si="32"/>
        <v>0</v>
      </c>
      <c r="DW27" s="17">
        <f t="shared" si="33"/>
        <v>0</v>
      </c>
      <c r="DX27" s="110">
        <f t="shared" si="34"/>
        <v>1720452.902768573</v>
      </c>
      <c r="DY27" s="110">
        <f>EC27*EG27</f>
        <v>141428.72640000001</v>
      </c>
      <c r="DZ27" s="110">
        <f t="shared" si="66"/>
        <v>1861881.6291685731</v>
      </c>
      <c r="EA27" s="257"/>
      <c r="EB27" s="110">
        <f t="shared" si="35"/>
        <v>1773.1084337349396</v>
      </c>
      <c r="EC27" s="110">
        <f>SUMIF(еирц!$B:$B,$B:$B,еирц!$K:$K)</f>
        <v>1767859.08</v>
      </c>
      <c r="ED27" s="110">
        <f>SUMIF(еирц!$B:$B,$B:$B,еирц!$P:$P)</f>
        <v>1749787.4700000002</v>
      </c>
      <c r="EE27" s="110">
        <f>SUMIF(еирц!$B:$B,$B:$B,еирц!$S:$S)</f>
        <v>399979.49</v>
      </c>
      <c r="EF27" s="177">
        <f t="shared" si="67"/>
        <v>49179.285665161908</v>
      </c>
      <c r="EG27" s="182">
        <v>0.08</v>
      </c>
      <c r="EH27" s="177">
        <f t="shared" si="69"/>
        <v>-92249.440734838136</v>
      </c>
    </row>
    <row r="28" spans="1:138" ht="12" customHeight="1" x14ac:dyDescent="0.25">
      <c r="A28" s="5">
        <f t="shared" si="70"/>
        <v>24</v>
      </c>
      <c r="B28" s="6" t="s">
        <v>100</v>
      </c>
      <c r="C28" s="7">
        <f t="shared" si="0"/>
        <v>8950.7999999999993</v>
      </c>
      <c r="D28" s="8">
        <v>8950.7999999999993</v>
      </c>
      <c r="E28" s="8">
        <v>0</v>
      </c>
      <c r="F28" s="8">
        <v>1174.4000000000001</v>
      </c>
      <c r="G28" s="91">
        <f t="shared" si="1"/>
        <v>8950.7999999999993</v>
      </c>
      <c r="H28" s="87">
        <f t="shared" si="2"/>
        <v>0</v>
      </c>
      <c r="I28" s="91">
        <v>4</v>
      </c>
      <c r="J28" s="112">
        <v>1.4055077207773747E-2</v>
      </c>
      <c r="K28" s="17">
        <v>4</v>
      </c>
      <c r="L28" s="112">
        <f t="shared" si="36"/>
        <v>9.638554216867469E-3</v>
      </c>
      <c r="M28" s="116">
        <v>3.4064182500670306</v>
      </c>
      <c r="N28" s="120">
        <f t="shared" si="37"/>
        <v>8950.7999999999993</v>
      </c>
      <c r="O28" s="116">
        <v>3.0862332469389577</v>
      </c>
      <c r="P28" s="120">
        <f t="shared" si="38"/>
        <v>8950.7999999999993</v>
      </c>
      <c r="Q28" s="116">
        <v>1.600927464474037</v>
      </c>
      <c r="R28" s="120">
        <f t="shared" si="39"/>
        <v>8950.7999999999993</v>
      </c>
      <c r="S28" s="5" t="s">
        <v>98</v>
      </c>
      <c r="T28" s="87">
        <v>41.1</v>
      </c>
      <c r="U28" s="88">
        <v>4.68</v>
      </c>
      <c r="V28" s="88">
        <v>7.92</v>
      </c>
      <c r="W28" s="88">
        <v>12.32</v>
      </c>
      <c r="X28" s="88">
        <v>6.34</v>
      </c>
      <c r="Y28" s="88">
        <v>2.89</v>
      </c>
      <c r="Z28" s="88">
        <v>1.66</v>
      </c>
      <c r="AA28" s="88">
        <v>5.29</v>
      </c>
      <c r="AB28" s="88">
        <v>0</v>
      </c>
      <c r="AC28" s="257"/>
      <c r="AD28" s="110">
        <f t="shared" si="40"/>
        <v>177460.9103779323</v>
      </c>
      <c r="AE28" s="110">
        <f t="shared" si="41"/>
        <v>174946.52271742813</v>
      </c>
      <c r="AF28" s="16">
        <f>SUMIF('20.01'!$I:$I,$B:$B,'20.01'!$D:$D)*1.2</f>
        <v>25818.935999999998</v>
      </c>
      <c r="AG28" s="17">
        <f t="shared" si="71"/>
        <v>19016.143475374822</v>
      </c>
      <c r="AH28" s="17">
        <f t="shared" si="43"/>
        <v>6834.8219004626671</v>
      </c>
      <c r="AI28" s="16">
        <f>SUMIF('20.01'!$J:$J,$B:$B,'20.01'!$D:$D)*1.2</f>
        <v>0</v>
      </c>
      <c r="AJ28" s="17">
        <f t="shared" si="44"/>
        <v>2777.5179590554226</v>
      </c>
      <c r="AK28" s="17">
        <f t="shared" si="45"/>
        <v>6757.0841556900514</v>
      </c>
      <c r="AL28" s="17">
        <f t="shared" si="46"/>
        <v>113742.01922684516</v>
      </c>
      <c r="AM28" s="110">
        <f t="shared" si="47"/>
        <v>0</v>
      </c>
      <c r="AN28" s="17">
        <f>SUMIF('20.01'!$K:$K,$B:$B,'20.01'!$D:$D)*1.2</f>
        <v>0</v>
      </c>
      <c r="AO28" s="17">
        <f>SUMIF('20.01'!$L:$L,$B:$B,'20.01'!$D:$D)*1.2</f>
        <v>0</v>
      </c>
      <c r="AP28" s="17">
        <f>SUMIF('20.01'!$M:$M,$B:$B,'20.01'!$D:$D)*1.2</f>
        <v>0</v>
      </c>
      <c r="AQ28" s="110">
        <f t="shared" si="48"/>
        <v>2514.3876605041755</v>
      </c>
      <c r="AR28" s="17">
        <f t="shared" si="49"/>
        <v>2514.3876605041755</v>
      </c>
      <c r="AS28" s="17">
        <f>(SUMIF('20.01'!$N:$N,$B:$B,'20.01'!$D:$D)+SUMIF('20.01'!$O:$O,$B:$B,'20.01'!$D:$D))*1.2</f>
        <v>0</v>
      </c>
      <c r="AT28" s="110">
        <f>SUMIF('20.01'!$P:$P,$B:$B,'20.01'!$D:$D)*1.2</f>
        <v>0</v>
      </c>
      <c r="AU28" s="110">
        <f t="shared" si="50"/>
        <v>0</v>
      </c>
      <c r="AV28" s="17">
        <f>SUMIF('20.01'!$Q:$Q,$B:$B,'20.01'!$D:$D)*1.2</f>
        <v>0</v>
      </c>
      <c r="AW28" s="17">
        <f>SUMIF('20.01'!$R:$R,$B:$B,'20.01'!$D:$D)*1.2</f>
        <v>0</v>
      </c>
      <c r="AX28" s="110">
        <f t="shared" si="51"/>
        <v>0</v>
      </c>
      <c r="AY28" s="17">
        <f>SUMIF('20.01'!$S:$S,$B:$B,'20.01'!$D:$D)*1.2</f>
        <v>0</v>
      </c>
      <c r="AZ28" s="17">
        <f>SUMIF('20.01'!$T:$T,$B:$B,'20.01'!$D:$D)*1.2</f>
        <v>0</v>
      </c>
      <c r="BA28" s="110">
        <f t="shared" si="52"/>
        <v>0</v>
      </c>
      <c r="BB28" s="17">
        <f>SUMIF('20.01'!$U:$U,$B:$B,'20.01'!$D:$D)*1.2</f>
        <v>0</v>
      </c>
      <c r="BC28" s="17">
        <f>SUMIF('20.01'!$V:$V,$B:$B,'20.01'!$D:$D)*1.2</f>
        <v>0</v>
      </c>
      <c r="BD28" s="17">
        <f>SUMIF('20.01'!$W:$W,$B:$B,'20.01'!$D:$D)*1.2</f>
        <v>0</v>
      </c>
      <c r="BE28" s="110">
        <f>SUMIF('20.01'!$X:$X,$B:$B,'20.01'!$D:$D)*1.2</f>
        <v>0</v>
      </c>
      <c r="BF28" s="110">
        <f t="shared" si="53"/>
        <v>0</v>
      </c>
      <c r="BG28" s="17">
        <f>SUMIF('20.01'!$Y:$Y,$B:$B,'20.01'!$D:$D)*1.2</f>
        <v>0</v>
      </c>
      <c r="BH28" s="17">
        <f>SUMIF('20.01'!$Z:$Z,$B:$B,'20.01'!$D:$D)*1.2</f>
        <v>0</v>
      </c>
      <c r="BI28" s="17">
        <f>SUMIF('20.01'!$AA:$AA,$B:$B,'20.01'!$D:$D)*1.2</f>
        <v>0</v>
      </c>
      <c r="BJ28" s="17">
        <f>SUMIF('20.01'!$AB:$AB,$B:$B,'20.01'!$D:$D)*1.2</f>
        <v>0</v>
      </c>
      <c r="BK28" s="17">
        <f>SUMIF('20.01'!$AC:$AC,$B:$B,'20.01'!$D:$D)*1.2</f>
        <v>0</v>
      </c>
      <c r="BL28" s="17">
        <f>SUMIF('20.01'!$AD:$AD,$B:$B,'20.01'!$D:$D)*1.2</f>
        <v>0</v>
      </c>
      <c r="BM28" s="110">
        <f t="shared" si="54"/>
        <v>0</v>
      </c>
      <c r="BN28" s="17">
        <f>SUMIF('20.01'!$AE:$AE,$B:$B,'20.01'!$D:$D)*1.2</f>
        <v>0</v>
      </c>
      <c r="BO28" s="17">
        <f>SUMIF('20.01'!$AF:$AF,$B:$B,'20.01'!$D:$D)*1.2</f>
        <v>0</v>
      </c>
      <c r="BP28" s="110">
        <f>SUMIF('20.01'!$AG:$AG,$B:$B,'20.01'!$D:$D)*1.2</f>
        <v>0</v>
      </c>
      <c r="BQ28" s="110">
        <f>SUMIF('20.01'!$AH:$AH,$B:$B,'20.01'!$D:$D)*1.2</f>
        <v>0</v>
      </c>
      <c r="BR28" s="110">
        <f>SUMIF('20.01'!$AI:$AI,$B:$B,'20.01'!$D:$D)*1.2</f>
        <v>0</v>
      </c>
      <c r="BS28" s="110">
        <f t="shared" si="55"/>
        <v>0</v>
      </c>
      <c r="BT28" s="17">
        <f>SUMIF('20.01'!$AJ:$AJ,$B:$B,'20.01'!$D:$D)*1.2</f>
        <v>0</v>
      </c>
      <c r="BU28" s="17">
        <f>SUMIF('20.01'!$AK:$AK,$B:$B,'20.01'!$D:$D)*1.2</f>
        <v>0</v>
      </c>
      <c r="BV28" s="110">
        <f>SUMIF('20.01'!$AL:$AL,$B:$B,'20.01'!$D:$D)*1.2</f>
        <v>0</v>
      </c>
      <c r="BW28" s="110">
        <f>SUMIF('20.01'!$AM:$AM,$B:$B,'20.01'!$D:$D)*1.2</f>
        <v>0</v>
      </c>
      <c r="BX28" s="110">
        <f>SUMIF('20.01'!$AN:$AN,$B:$B,'20.01'!$D:$D)*1.2</f>
        <v>0</v>
      </c>
      <c r="BY28" s="110">
        <f t="shared" si="3"/>
        <v>583226.31214800337</v>
      </c>
      <c r="BZ28" s="17">
        <f>IF(S28=$S$248,$BZ$248,0)/$G$248*G28</f>
        <v>454636.64103747747</v>
      </c>
      <c r="CA28" s="17">
        <f t="shared" si="5"/>
        <v>55515.37513516756</v>
      </c>
      <c r="CB28" s="17">
        <f t="shared" si="6"/>
        <v>3690.3778104455323</v>
      </c>
      <c r="CC28" s="17">
        <f>SUMIF('20.01'!$AO:$AO,$B:$B,'20.01'!$D:$D)*1.2</f>
        <v>0</v>
      </c>
      <c r="CD28" s="17">
        <f t="shared" si="7"/>
        <v>57935.18348826655</v>
      </c>
      <c r="CE28" s="17">
        <f>SUMIF('20.01'!$AQ:$AQ,$B:$B,'20.01'!$D:$D)*1.2</f>
        <v>0</v>
      </c>
      <c r="CF28" s="17">
        <f t="shared" si="8"/>
        <v>5271.1858599659517</v>
      </c>
      <c r="CG28" s="17">
        <f>SUMIF('20.01'!$AR:$AR,$B:$B,'20.01'!$D:$D)*1.2</f>
        <v>0</v>
      </c>
      <c r="CH28" s="17">
        <f t="shared" si="9"/>
        <v>3104.3459878906633</v>
      </c>
      <c r="CI28" s="17">
        <f>SUMIF('20.01'!$AT:$AT,$B:$B,'20.01'!$D:$D)*1.2</f>
        <v>0</v>
      </c>
      <c r="CJ28" s="17">
        <f>SUMIF('20.01'!$AU:$AU,$B:$B,'20.01'!$D:$D)*1.2</f>
        <v>0</v>
      </c>
      <c r="CK28" s="17">
        <f>SUMIF('20.01'!$AV:$AV,$B:$B,'20.01'!$D:$D)*1.2</f>
        <v>0</v>
      </c>
      <c r="CL28" s="17">
        <f t="shared" si="10"/>
        <v>3073.2028287895519</v>
      </c>
      <c r="CM28" s="17">
        <f>SUMIF('20.01'!$AW:$AW,$B:$B,'20.01'!$D:$D)*1.2</f>
        <v>0</v>
      </c>
      <c r="CN28" s="17">
        <f>SUMIF('20.01'!$AX:$AX,$B:$B,'20.01'!$D:$D)*1.2</f>
        <v>0</v>
      </c>
      <c r="CO28" s="110">
        <f t="shared" si="56"/>
        <v>1030940.9873948058</v>
      </c>
      <c r="CP28" s="17">
        <f t="shared" si="57"/>
        <v>813248.90883796837</v>
      </c>
      <c r="CQ28" s="17">
        <f t="shared" si="11"/>
        <v>250898.47838944706</v>
      </c>
      <c r="CR28" s="17">
        <f t="shared" si="12"/>
        <v>562350.43044852128</v>
      </c>
      <c r="CS28" s="17">
        <f t="shared" si="58"/>
        <v>217692.07855683746</v>
      </c>
      <c r="CT28" s="17">
        <f t="shared" si="13"/>
        <v>7930.7133869365161</v>
      </c>
      <c r="CU28" s="17">
        <f t="shared" si="14"/>
        <v>7670.8516468721373</v>
      </c>
      <c r="CV28" s="17">
        <f t="shared" si="15"/>
        <v>7927.9928315627631</v>
      </c>
      <c r="CW28" s="17">
        <f t="shared" si="16"/>
        <v>83.133733913373021</v>
      </c>
      <c r="CX28" s="17">
        <f t="shared" si="17"/>
        <v>117060.65533111378</v>
      </c>
      <c r="CY28" s="17">
        <f t="shared" si="18"/>
        <v>77018.731626438894</v>
      </c>
      <c r="CZ28" s="110">
        <f t="shared" si="59"/>
        <v>255906.54224199979</v>
      </c>
      <c r="DA28" s="17">
        <f t="shared" si="60"/>
        <v>9666.7132457410498</v>
      </c>
      <c r="DB28" s="17">
        <f t="shared" si="19"/>
        <v>9173.3562698818569</v>
      </c>
      <c r="DC28" s="17">
        <f t="shared" si="20"/>
        <v>493.35697585919229</v>
      </c>
      <c r="DD28" s="17">
        <f t="shared" si="21"/>
        <v>17033.857593059871</v>
      </c>
      <c r="DE28" s="17">
        <f t="shared" si="22"/>
        <v>5877.1297071101017</v>
      </c>
      <c r="DF28" s="17">
        <f t="shared" si="23"/>
        <v>7132.7156732735039</v>
      </c>
      <c r="DG28" s="17">
        <f t="shared" si="61"/>
        <v>216196.12602281527</v>
      </c>
      <c r="DH28" s="110">
        <f t="shared" si="62"/>
        <v>159705.67306855303</v>
      </c>
      <c r="DI28" s="17">
        <f t="shared" si="24"/>
        <v>143262.50030528751</v>
      </c>
      <c r="DJ28" s="17">
        <f t="shared" si="25"/>
        <v>15843.990716084543</v>
      </c>
      <c r="DK28" s="17">
        <f t="shared" si="26"/>
        <v>599.182047180989</v>
      </c>
      <c r="DL28" s="110">
        <f t="shared" si="63"/>
        <v>1208515.2018960551</v>
      </c>
      <c r="DM28" s="17">
        <f t="shared" si="27"/>
        <v>503211.71128711128</v>
      </c>
      <c r="DN28" s="17">
        <f t="shared" si="28"/>
        <v>446244.34774517419</v>
      </c>
      <c r="DO28" s="17">
        <f t="shared" si="29"/>
        <v>259059.14286376972</v>
      </c>
      <c r="DP28" s="110">
        <f t="shared" si="64"/>
        <v>399104.81601311686</v>
      </c>
      <c r="DQ28" s="17">
        <f>SUMIF('20.01'!$BB:$BB,$B:$B,'20.01'!$D:$D)*1.2</f>
        <v>10931.424000000001</v>
      </c>
      <c r="DR28" s="17">
        <f t="shared" si="30"/>
        <v>385317.00638879323</v>
      </c>
      <c r="DS28" s="17">
        <f t="shared" si="31"/>
        <v>2856.3856243236046</v>
      </c>
      <c r="DT28" s="110">
        <f t="shared" si="65"/>
        <v>0</v>
      </c>
      <c r="DU28" s="17">
        <f>SUMIF('20.01'!$BD:$BD,$B:$B,'20.01'!$D:$D)*1.2</f>
        <v>0</v>
      </c>
      <c r="DV28" s="17">
        <f t="shared" si="32"/>
        <v>0</v>
      </c>
      <c r="DW28" s="17">
        <f t="shared" si="33"/>
        <v>0</v>
      </c>
      <c r="DX28" s="110">
        <f t="shared" si="34"/>
        <v>3814860.4431404662</v>
      </c>
      <c r="DY28" s="110">
        <f>EC28*EG28</f>
        <v>553959.37740000011</v>
      </c>
      <c r="DZ28" s="110">
        <f t="shared" si="66"/>
        <v>4368819.8205404663</v>
      </c>
      <c r="EA28" s="257"/>
      <c r="EB28" s="110">
        <f t="shared" si="35"/>
        <v>3546.2168674698792</v>
      </c>
      <c r="EC28" s="110">
        <f>SUMIF(еирц!$B:$B,$B:$B,еирц!$K:$K)</f>
        <v>4261225.9800000004</v>
      </c>
      <c r="ED28" s="110">
        <f>SUMIF(еирц!$B:$B,$B:$B,еирц!$P:$P)</f>
        <v>4172924.5100000002</v>
      </c>
      <c r="EE28" s="110">
        <f>SUMIF(еирц!$B:$B,$B:$B,еирц!$S:$S)</f>
        <v>679527.27</v>
      </c>
      <c r="EF28" s="177">
        <f t="shared" si="67"/>
        <v>449911.7537270044</v>
      </c>
      <c r="EG28" s="183">
        <v>0.13</v>
      </c>
      <c r="EH28" s="177">
        <f t="shared" si="69"/>
        <v>-104047.62367299572</v>
      </c>
    </row>
    <row r="29" spans="1:138" ht="12" customHeight="1" x14ac:dyDescent="0.25">
      <c r="A29" s="5">
        <f t="shared" si="70"/>
        <v>25</v>
      </c>
      <c r="B29" s="6" t="s">
        <v>101</v>
      </c>
      <c r="C29" s="7">
        <f t="shared" si="0"/>
        <v>3811.9</v>
      </c>
      <c r="D29" s="8">
        <v>3811.9</v>
      </c>
      <c r="E29" s="8">
        <v>0</v>
      </c>
      <c r="F29" s="8">
        <v>523.44000000000005</v>
      </c>
      <c r="G29" s="87">
        <f t="shared" si="1"/>
        <v>3811.9</v>
      </c>
      <c r="H29" s="87">
        <f t="shared" si="2"/>
        <v>3811.9</v>
      </c>
      <c r="I29" s="91">
        <v>2</v>
      </c>
      <c r="J29" s="112">
        <v>1.027287767758891E-3</v>
      </c>
      <c r="K29" s="17">
        <v>0</v>
      </c>
      <c r="L29" s="112">
        <f t="shared" si="36"/>
        <v>0</v>
      </c>
      <c r="M29" s="117">
        <f>3.40641825006703/2</f>
        <v>1.7032091250335151</v>
      </c>
      <c r="N29" s="120">
        <f t="shared" si="37"/>
        <v>3811.9</v>
      </c>
      <c r="O29" s="117">
        <f>2.6059537537695/2</f>
        <v>1.3029768768847501</v>
      </c>
      <c r="P29" s="120">
        <f t="shared" si="38"/>
        <v>3811.9</v>
      </c>
      <c r="Q29" s="117">
        <f>1.60092735807001/2</f>
        <v>0.80046367903500504</v>
      </c>
      <c r="R29" s="120">
        <f t="shared" si="39"/>
        <v>3811.9</v>
      </c>
      <c r="S29" s="5" t="s">
        <v>102</v>
      </c>
      <c r="T29" s="87">
        <v>36.75</v>
      </c>
      <c r="U29" s="88">
        <v>4.0199999999999996</v>
      </c>
      <c r="V29" s="88">
        <v>7</v>
      </c>
      <c r="W29" s="88">
        <v>11</v>
      </c>
      <c r="X29" s="88">
        <v>5.4</v>
      </c>
      <c r="Y29" s="88">
        <v>2.67</v>
      </c>
      <c r="Z29" s="88">
        <v>1.54</v>
      </c>
      <c r="AA29" s="88">
        <v>4.9000000000000004</v>
      </c>
      <c r="AB29" s="88">
        <v>0.22</v>
      </c>
      <c r="AC29" s="257"/>
      <c r="AD29" s="110">
        <f t="shared" si="40"/>
        <v>1770578.7412153138</v>
      </c>
      <c r="AE29" s="110">
        <f t="shared" si="41"/>
        <v>394044.42453641619</v>
      </c>
      <c r="AF29" s="16">
        <f>SUMIF('20.01'!$I:$I,$B:$B,'20.01'!$D:$D)*1.2</f>
        <v>324456.57599999994</v>
      </c>
      <c r="AG29" s="17">
        <f>IF(S29=$S$250,$AG$250,0)/$G$250*G29</f>
        <v>14176.956717318155</v>
      </c>
      <c r="AH29" s="17">
        <f t="shared" si="43"/>
        <v>2910.7630158615593</v>
      </c>
      <c r="AI29" s="16">
        <f>SUMIF('20.01'!$J:$J,$B:$B,'20.01'!$D:$D)*1.2</f>
        <v>0</v>
      </c>
      <c r="AJ29" s="17">
        <f t="shared" si="44"/>
        <v>1182.868649519972</v>
      </c>
      <c r="AK29" s="17">
        <f t="shared" si="45"/>
        <v>2877.6566444423861</v>
      </c>
      <c r="AL29" s="17">
        <f t="shared" si="46"/>
        <v>48439.603509274159</v>
      </c>
      <c r="AM29" s="110">
        <f t="shared" si="47"/>
        <v>0</v>
      </c>
      <c r="AN29" s="17">
        <f>SUMIF('20.01'!$K:$K,$B:$B,'20.01'!$D:$D)*1.2</f>
        <v>0</v>
      </c>
      <c r="AO29" s="17">
        <f>SUMIF('20.01'!$L:$L,$B:$B,'20.01'!$D:$D)*1.2</f>
        <v>0</v>
      </c>
      <c r="AP29" s="17">
        <f>SUMIF('20.01'!$M:$M,$B:$B,'20.01'!$D:$D)*1.2</f>
        <v>0</v>
      </c>
      <c r="AQ29" s="110">
        <f t="shared" si="48"/>
        <v>1070.8086788975138</v>
      </c>
      <c r="AR29" s="17">
        <f t="shared" si="49"/>
        <v>1070.8086788975138</v>
      </c>
      <c r="AS29" s="17">
        <f>(SUMIF('20.01'!$N:$N,$B:$B,'20.01'!$D:$D)+SUMIF('20.01'!$O:$O,$B:$B,'20.01'!$D:$D))*1.2</f>
        <v>0</v>
      </c>
      <c r="AT29" s="110">
        <f>SUMIF('20.01'!$P:$P,$B:$B,'20.01'!$D:$D)*1.2</f>
        <v>0</v>
      </c>
      <c r="AU29" s="110">
        <f t="shared" si="50"/>
        <v>0</v>
      </c>
      <c r="AV29" s="17">
        <f>SUMIF('20.01'!$Q:$Q,$B:$B,'20.01'!$D:$D)*1.2</f>
        <v>0</v>
      </c>
      <c r="AW29" s="17">
        <f>SUMIF('20.01'!$R:$R,$B:$B,'20.01'!$D:$D)*1.2</f>
        <v>0</v>
      </c>
      <c r="AX29" s="110">
        <f t="shared" si="51"/>
        <v>35591.832000000002</v>
      </c>
      <c r="AY29" s="17">
        <f>SUMIF('20.01'!$S:$S,$B:$B,'20.01'!$D:$D)*1.2</f>
        <v>35591.832000000002</v>
      </c>
      <c r="AZ29" s="17">
        <f>SUMIF('20.01'!$T:$T,$B:$B,'20.01'!$D:$D)*1.2</f>
        <v>0</v>
      </c>
      <c r="BA29" s="110">
        <f t="shared" si="52"/>
        <v>0</v>
      </c>
      <c r="BB29" s="17">
        <f>SUMIF('20.01'!$U:$U,$B:$B,'20.01'!$D:$D)*1.2</f>
        <v>0</v>
      </c>
      <c r="BC29" s="17">
        <f>SUMIF('20.01'!$V:$V,$B:$B,'20.01'!$D:$D)*1.2</f>
        <v>0</v>
      </c>
      <c r="BD29" s="17">
        <f>SUMIF('20.01'!$W:$W,$B:$B,'20.01'!$D:$D)*1.2</f>
        <v>0</v>
      </c>
      <c r="BE29" s="110">
        <f>SUMIF('20.01'!$X:$X,$B:$B,'20.01'!$D:$D)*1.2</f>
        <v>0</v>
      </c>
      <c r="BF29" s="110">
        <f t="shared" si="53"/>
        <v>1339871.676</v>
      </c>
      <c r="BG29" s="17">
        <f>SUMIF('20.01'!$Y:$Y,$B:$B,'20.01'!$D:$D)*1.2</f>
        <v>0</v>
      </c>
      <c r="BH29" s="17">
        <f>SUMIF('20.01'!$Z:$Z,$B:$B,'20.01'!$D:$D)*1.2</f>
        <v>1329958.476</v>
      </c>
      <c r="BI29" s="17">
        <f>SUMIF('20.01'!$AA:$AA,$B:$B,'20.01'!$D:$D)*1.2</f>
        <v>0</v>
      </c>
      <c r="BJ29" s="17">
        <f>SUMIF('20.01'!$AB:$AB,$B:$B,'20.01'!$D:$D)*1.2</f>
        <v>0</v>
      </c>
      <c r="BK29" s="17">
        <f>SUMIF('20.01'!$AC:$AC,$B:$B,'20.01'!$D:$D)*1.2</f>
        <v>0</v>
      </c>
      <c r="BL29" s="17">
        <f>SUMIF('20.01'!$AD:$AD,$B:$B,'20.01'!$D:$D)*1.2</f>
        <v>9913.1999999999989</v>
      </c>
      <c r="BM29" s="110">
        <f t="shared" si="54"/>
        <v>0</v>
      </c>
      <c r="BN29" s="17">
        <f>SUMIF('20.01'!$AE:$AE,$B:$B,'20.01'!$D:$D)*1.2</f>
        <v>0</v>
      </c>
      <c r="BO29" s="17">
        <f>SUMIF('20.01'!$AF:$AF,$B:$B,'20.01'!$D:$D)*1.2</f>
        <v>0</v>
      </c>
      <c r="BP29" s="110">
        <f>SUMIF('20.01'!$AG:$AG,$B:$B,'20.01'!$D:$D)*1.2</f>
        <v>0</v>
      </c>
      <c r="BQ29" s="110">
        <f>SUMIF('20.01'!$AH:$AH,$B:$B,'20.01'!$D:$D)*1.2</f>
        <v>0</v>
      </c>
      <c r="BR29" s="110">
        <f>SUMIF('20.01'!$AI:$AI,$B:$B,'20.01'!$D:$D)*1.2</f>
        <v>0</v>
      </c>
      <c r="BS29" s="110">
        <f t="shared" si="55"/>
        <v>0</v>
      </c>
      <c r="BT29" s="17">
        <f>SUMIF('20.01'!$AJ:$AJ,$B:$B,'20.01'!$D:$D)*1.2</f>
        <v>0</v>
      </c>
      <c r="BU29" s="17">
        <f>SUMIF('20.01'!$AK:$AK,$B:$B,'20.01'!$D:$D)*1.2</f>
        <v>0</v>
      </c>
      <c r="BV29" s="110">
        <f>SUMIF('20.01'!$AL:$AL,$B:$B,'20.01'!$D:$D)*1.2</f>
        <v>0</v>
      </c>
      <c r="BW29" s="110">
        <f>SUMIF('20.01'!$AM:$AM,$B:$B,'20.01'!$D:$D)*1.2</f>
        <v>0</v>
      </c>
      <c r="BX29" s="110">
        <f>SUMIF('20.01'!$AN:$AN,$B:$B,'20.01'!$D:$D)*1.2</f>
        <v>0</v>
      </c>
      <c r="BY29" s="110">
        <f t="shared" si="3"/>
        <v>586094.29624742735</v>
      </c>
      <c r="BZ29" s="17">
        <f t="shared" ref="BZ29:BZ38" si="72">IF(S29=$S$250,$BZ$250,0)/$G$250*G29</f>
        <v>531331.48540300981</v>
      </c>
      <c r="CA29" s="17">
        <f t="shared" si="5"/>
        <v>23642.474245625559</v>
      </c>
      <c r="CB29" s="17">
        <f t="shared" si="6"/>
        <v>1571.6306001292987</v>
      </c>
      <c r="CC29" s="17">
        <f>SUMIF('20.01'!$AO:$AO,$B:$B,'20.01'!$D:$D)*1.2</f>
        <v>0</v>
      </c>
      <c r="CD29" s="17">
        <f t="shared" si="7"/>
        <v>24673.00419391823</v>
      </c>
      <c r="CE29" s="17">
        <f>SUMIF('20.01'!$AQ:$AQ,$B:$B,'20.01'!$D:$D)*1.2</f>
        <v>0</v>
      </c>
      <c r="CF29" s="17">
        <f t="shared" si="8"/>
        <v>2244.8533516114999</v>
      </c>
      <c r="CG29" s="17">
        <f>SUMIF('20.01'!$AR:$AR,$B:$B,'20.01'!$D:$D)*1.2</f>
        <v>0</v>
      </c>
      <c r="CH29" s="17">
        <f t="shared" si="9"/>
        <v>1322.0557348215154</v>
      </c>
      <c r="CI29" s="17">
        <f>SUMIF('20.01'!$AT:$AT,$B:$B,'20.01'!$D:$D)*1.2</f>
        <v>0</v>
      </c>
      <c r="CJ29" s="17">
        <f>SUMIF('20.01'!$AU:$AU,$B:$B,'20.01'!$D:$D)*1.2</f>
        <v>0</v>
      </c>
      <c r="CK29" s="17">
        <f>SUMIF('20.01'!$AV:$AV,$B:$B,'20.01'!$D:$D)*1.2</f>
        <v>0</v>
      </c>
      <c r="CL29" s="17">
        <f t="shared" si="10"/>
        <v>1308.7927183115357</v>
      </c>
      <c r="CM29" s="17">
        <f>SUMIF('20.01'!$AW:$AW,$B:$B,'20.01'!$D:$D)*1.2</f>
        <v>0</v>
      </c>
      <c r="CN29" s="17">
        <f>SUMIF('20.01'!$AX:$AX,$B:$B,'20.01'!$D:$D)*1.2</f>
        <v>0</v>
      </c>
      <c r="CO29" s="110">
        <f t="shared" si="56"/>
        <v>439049.4648355745</v>
      </c>
      <c r="CP29" s="17">
        <f t="shared" si="57"/>
        <v>346340.38472532638</v>
      </c>
      <c r="CQ29" s="17">
        <f t="shared" si="11"/>
        <v>106850.77420708018</v>
      </c>
      <c r="CR29" s="17">
        <f t="shared" si="12"/>
        <v>239489.61051824622</v>
      </c>
      <c r="CS29" s="17">
        <f t="shared" si="58"/>
        <v>92709.08011024812</v>
      </c>
      <c r="CT29" s="17">
        <f t="shared" si="13"/>
        <v>3377.4731152146519</v>
      </c>
      <c r="CU29" s="17">
        <f t="shared" si="14"/>
        <v>3266.8051339223202</v>
      </c>
      <c r="CV29" s="17">
        <f t="shared" si="15"/>
        <v>3376.3145053664589</v>
      </c>
      <c r="CW29" s="17">
        <f t="shared" si="16"/>
        <v>35.404375061937102</v>
      </c>
      <c r="CX29" s="17">
        <f t="shared" si="17"/>
        <v>49852.919521905606</v>
      </c>
      <c r="CY29" s="17">
        <f t="shared" si="18"/>
        <v>32800.16345877714</v>
      </c>
      <c r="CZ29" s="110">
        <f t="shared" si="59"/>
        <v>108983.57111903731</v>
      </c>
      <c r="DA29" s="17">
        <f t="shared" si="60"/>
        <v>4116.7877978996639</v>
      </c>
      <c r="DB29" s="17">
        <f t="shared" si="19"/>
        <v>3906.6806056623604</v>
      </c>
      <c r="DC29" s="17">
        <f t="shared" si="20"/>
        <v>210.10719223730342</v>
      </c>
      <c r="DD29" s="17">
        <f t="shared" si="21"/>
        <v>7254.2523304045371</v>
      </c>
      <c r="DE29" s="17">
        <f t="shared" si="22"/>
        <v>2502.9082015610893</v>
      </c>
      <c r="DF29" s="17">
        <f t="shared" si="23"/>
        <v>3037.6277958340338</v>
      </c>
      <c r="DG29" s="17">
        <f t="shared" si="61"/>
        <v>92071.994993337983</v>
      </c>
      <c r="DH29" s="110">
        <f t="shared" si="62"/>
        <v>68014.26187268371</v>
      </c>
      <c r="DI29" s="17">
        <f t="shared" si="24"/>
        <v>61011.565995634526</v>
      </c>
      <c r="DJ29" s="17">
        <f t="shared" si="25"/>
        <v>6747.5206920769851</v>
      </c>
      <c r="DK29" s="17">
        <f t="shared" si="26"/>
        <v>255.17518497220496</v>
      </c>
      <c r="DL29" s="110">
        <f t="shared" si="63"/>
        <v>514673.44797197718</v>
      </c>
      <c r="DM29" s="17">
        <f t="shared" si="27"/>
        <v>214304.05352095229</v>
      </c>
      <c r="DN29" s="17">
        <f t="shared" si="28"/>
        <v>190043.21727329731</v>
      </c>
      <c r="DO29" s="17">
        <f t="shared" si="29"/>
        <v>110326.17717772756</v>
      </c>
      <c r="DP29" s="110">
        <f t="shared" si="64"/>
        <v>84784.253281562735</v>
      </c>
      <c r="DQ29" s="17">
        <f>SUMIF('20.01'!$BB:$BB,$B:$B,'20.01'!$D:$D)*1.2</f>
        <v>56412.6</v>
      </c>
      <c r="DR29" s="17">
        <f t="shared" si="30"/>
        <v>28162.879614332578</v>
      </c>
      <c r="DS29" s="17">
        <f t="shared" si="31"/>
        <v>208.77366723016138</v>
      </c>
      <c r="DT29" s="110">
        <f t="shared" si="65"/>
        <v>7965.3240000000005</v>
      </c>
      <c r="DU29" s="17">
        <f>SUMIF('20.01'!$BD:$BD,$B:$B,'20.01'!$D:$D)*1.2</f>
        <v>7965.3240000000005</v>
      </c>
      <c r="DV29" s="17">
        <f t="shared" si="32"/>
        <v>0</v>
      </c>
      <c r="DW29" s="17">
        <f t="shared" si="33"/>
        <v>0</v>
      </c>
      <c r="DX29" s="110">
        <f t="shared" si="34"/>
        <v>3580143.3605435765</v>
      </c>
      <c r="DY29" s="110"/>
      <c r="DZ29" s="110">
        <f t="shared" si="66"/>
        <v>3580143.3605435765</v>
      </c>
      <c r="EA29" s="257"/>
      <c r="EB29" s="110">
        <f t="shared" si="35"/>
        <v>0</v>
      </c>
      <c r="EC29" s="110">
        <f>SUMIF(еирц!$B:$B,$B:$B,еирц!$K:$K)</f>
        <v>1680226.0073559994</v>
      </c>
      <c r="ED29" s="110">
        <f>SUMIF(еирц!$B:$B,$B:$B,еирц!$P:$P)</f>
        <v>1641769.0231040381</v>
      </c>
      <c r="EE29" s="110">
        <f>SUMIF(еирц!$B:$B,$B:$B,еирц!$S:$S)</f>
        <v>193830.23798373085</v>
      </c>
      <c r="EF29" s="177">
        <f t="shared" si="67"/>
        <v>-1899917.3531875771</v>
      </c>
      <c r="EG29" s="181">
        <f t="shared" si="68"/>
        <v>0</v>
      </c>
      <c r="EH29" s="177">
        <f t="shared" si="69"/>
        <v>-1899917.3531875771</v>
      </c>
    </row>
    <row r="30" spans="1:138" ht="12" customHeight="1" x14ac:dyDescent="0.25">
      <c r="A30" s="5">
        <f t="shared" si="70"/>
        <v>26</v>
      </c>
      <c r="B30" s="6" t="s">
        <v>103</v>
      </c>
      <c r="C30" s="7">
        <f t="shared" si="0"/>
        <v>3817.2000000000003</v>
      </c>
      <c r="D30" s="8">
        <v>3785.3</v>
      </c>
      <c r="E30" s="8">
        <v>31.9</v>
      </c>
      <c r="F30" s="8">
        <v>524.16</v>
      </c>
      <c r="G30" s="87">
        <f t="shared" si="1"/>
        <v>3817.2000000000003</v>
      </c>
      <c r="H30" s="87">
        <f t="shared" si="2"/>
        <v>3817.2000000000003</v>
      </c>
      <c r="I30" s="91">
        <v>2</v>
      </c>
      <c r="J30" s="112">
        <v>1.0273366914713589E-3</v>
      </c>
      <c r="K30" s="17">
        <v>0</v>
      </c>
      <c r="L30" s="112">
        <f t="shared" si="36"/>
        <v>0</v>
      </c>
      <c r="M30" s="117">
        <f>M29</f>
        <v>1.7032091250335151</v>
      </c>
      <c r="N30" s="120">
        <f t="shared" si="37"/>
        <v>3817.2000000000003</v>
      </c>
      <c r="O30" s="117">
        <f>O29</f>
        <v>1.3029768768847501</v>
      </c>
      <c r="P30" s="120">
        <f t="shared" si="38"/>
        <v>3817.2000000000003</v>
      </c>
      <c r="Q30" s="117">
        <f>Q29</f>
        <v>0.80046367903500504</v>
      </c>
      <c r="R30" s="120">
        <f t="shared" si="39"/>
        <v>3817.2000000000003</v>
      </c>
      <c r="S30" s="5" t="s">
        <v>102</v>
      </c>
      <c r="T30" s="87">
        <v>36.75</v>
      </c>
      <c r="U30" s="88">
        <v>4.0199999999999996</v>
      </c>
      <c r="V30" s="88">
        <v>7</v>
      </c>
      <c r="W30" s="88">
        <v>11</v>
      </c>
      <c r="X30" s="88">
        <v>5.4</v>
      </c>
      <c r="Y30" s="88">
        <v>2.67</v>
      </c>
      <c r="Z30" s="88">
        <v>1.54</v>
      </c>
      <c r="AA30" s="88">
        <v>4.9000000000000004</v>
      </c>
      <c r="AB30" s="88">
        <v>0.22</v>
      </c>
      <c r="AC30" s="257"/>
      <c r="AD30" s="110">
        <f t="shared" si="40"/>
        <v>1396887.6757933565</v>
      </c>
      <c r="AE30" s="110">
        <f t="shared" si="41"/>
        <v>187532.49828054465</v>
      </c>
      <c r="AF30" s="16">
        <f>SUMIF('20.01'!$I:$I,$B:$B,'20.01'!$D:$D)*1.2</f>
        <v>117847.89599999999</v>
      </c>
      <c r="AG30" s="17">
        <f t="shared" ref="AG30:AG38" si="73">IF(S30=$S$250,$AG$250,0)/$G$250*G30</f>
        <v>14196.668113367839</v>
      </c>
      <c r="AH30" s="17">
        <f t="shared" si="43"/>
        <v>2914.8100905445435</v>
      </c>
      <c r="AI30" s="16">
        <f>SUMIF('20.01'!$J:$J,$B:$B,'20.01'!$D:$D)*1.2</f>
        <v>0</v>
      </c>
      <c r="AJ30" s="17">
        <f t="shared" si="44"/>
        <v>1184.5132896843143</v>
      </c>
      <c r="AK30" s="17">
        <f t="shared" si="45"/>
        <v>2881.6576885976751</v>
      </c>
      <c r="AL30" s="17">
        <f t="shared" si="46"/>
        <v>48506.953098350248</v>
      </c>
      <c r="AM30" s="110">
        <f t="shared" si="47"/>
        <v>0</v>
      </c>
      <c r="AN30" s="17">
        <f>SUMIF('20.01'!$K:$K,$B:$B,'20.01'!$D:$D)*1.2</f>
        <v>0</v>
      </c>
      <c r="AO30" s="17">
        <f>SUMIF('20.01'!$L:$L,$B:$B,'20.01'!$D:$D)*1.2</f>
        <v>0</v>
      </c>
      <c r="AP30" s="17">
        <f>SUMIF('20.01'!$M:$M,$B:$B,'20.01'!$D:$D)*1.2</f>
        <v>0</v>
      </c>
      <c r="AQ30" s="110">
        <f t="shared" si="48"/>
        <v>1072.297512811876</v>
      </c>
      <c r="AR30" s="17">
        <f t="shared" si="49"/>
        <v>1072.297512811876</v>
      </c>
      <c r="AS30" s="17">
        <f>(SUMIF('20.01'!$N:$N,$B:$B,'20.01'!$D:$D)+SUMIF('20.01'!$O:$O,$B:$B,'20.01'!$D:$D))*1.2</f>
        <v>0</v>
      </c>
      <c r="AT30" s="110">
        <f>SUMIF('20.01'!$P:$P,$B:$B,'20.01'!$D:$D)*1.2</f>
        <v>0</v>
      </c>
      <c r="AU30" s="110">
        <f t="shared" si="50"/>
        <v>0</v>
      </c>
      <c r="AV30" s="17">
        <f>SUMIF('20.01'!$Q:$Q,$B:$B,'20.01'!$D:$D)*1.2</f>
        <v>0</v>
      </c>
      <c r="AW30" s="17">
        <f>SUMIF('20.01'!$R:$R,$B:$B,'20.01'!$D:$D)*1.2</f>
        <v>0</v>
      </c>
      <c r="AX30" s="110">
        <f t="shared" si="51"/>
        <v>0</v>
      </c>
      <c r="AY30" s="17">
        <f>SUMIF('20.01'!$S:$S,$B:$B,'20.01'!$D:$D)*1.2</f>
        <v>0</v>
      </c>
      <c r="AZ30" s="17">
        <f>SUMIF('20.01'!$T:$T,$B:$B,'20.01'!$D:$D)*1.2</f>
        <v>0</v>
      </c>
      <c r="BA30" s="110">
        <f t="shared" si="52"/>
        <v>0</v>
      </c>
      <c r="BB30" s="17">
        <f>SUMIF('20.01'!$U:$U,$B:$B,'20.01'!$D:$D)*1.2</f>
        <v>0</v>
      </c>
      <c r="BC30" s="17">
        <f>SUMIF('20.01'!$V:$V,$B:$B,'20.01'!$D:$D)*1.2</f>
        <v>0</v>
      </c>
      <c r="BD30" s="17">
        <f>SUMIF('20.01'!$W:$W,$B:$B,'20.01'!$D:$D)*1.2</f>
        <v>0</v>
      </c>
      <c r="BE30" s="110">
        <f>SUMIF('20.01'!$X:$X,$B:$B,'20.01'!$D:$D)*1.2</f>
        <v>0</v>
      </c>
      <c r="BF30" s="110">
        <f t="shared" si="53"/>
        <v>1204915.68</v>
      </c>
      <c r="BG30" s="17">
        <f>SUMIF('20.01'!$Y:$Y,$B:$B,'20.01'!$D:$D)*1.2</f>
        <v>0</v>
      </c>
      <c r="BH30" s="17">
        <f>SUMIF('20.01'!$Z:$Z,$B:$B,'20.01'!$D:$D)*1.2</f>
        <v>1204915.68</v>
      </c>
      <c r="BI30" s="17">
        <f>SUMIF('20.01'!$AA:$AA,$B:$B,'20.01'!$D:$D)*1.2</f>
        <v>0</v>
      </c>
      <c r="BJ30" s="17">
        <f>SUMIF('20.01'!$AB:$AB,$B:$B,'20.01'!$D:$D)*1.2</f>
        <v>0</v>
      </c>
      <c r="BK30" s="17">
        <f>SUMIF('20.01'!$AC:$AC,$B:$B,'20.01'!$D:$D)*1.2</f>
        <v>0</v>
      </c>
      <c r="BL30" s="17">
        <f>SUMIF('20.01'!$AD:$AD,$B:$B,'20.01'!$D:$D)*1.2</f>
        <v>0</v>
      </c>
      <c r="BM30" s="110">
        <f t="shared" si="54"/>
        <v>0</v>
      </c>
      <c r="BN30" s="17">
        <f>SUMIF('20.01'!$AE:$AE,$B:$B,'20.01'!$D:$D)*1.2</f>
        <v>0</v>
      </c>
      <c r="BO30" s="17">
        <f>SUMIF('20.01'!$AF:$AF,$B:$B,'20.01'!$D:$D)*1.2</f>
        <v>0</v>
      </c>
      <c r="BP30" s="110">
        <f>SUMIF('20.01'!$AG:$AG,$B:$B,'20.01'!$D:$D)*1.2</f>
        <v>0</v>
      </c>
      <c r="BQ30" s="110">
        <f>SUMIF('20.01'!$AH:$AH,$B:$B,'20.01'!$D:$D)*1.2</f>
        <v>0</v>
      </c>
      <c r="BR30" s="110">
        <f>SUMIF('20.01'!$AI:$AI,$B:$B,'20.01'!$D:$D)*1.2</f>
        <v>0</v>
      </c>
      <c r="BS30" s="110">
        <f t="shared" si="55"/>
        <v>3367.2</v>
      </c>
      <c r="BT30" s="17">
        <f>SUMIF('20.01'!$AJ:$AJ,$B:$B,'20.01'!$D:$D)*1.2</f>
        <v>3367.2</v>
      </c>
      <c r="BU30" s="17">
        <f>SUMIF('20.01'!$AK:$AK,$B:$B,'20.01'!$D:$D)*1.2</f>
        <v>0</v>
      </c>
      <c r="BV30" s="110">
        <f>SUMIF('20.01'!$AL:$AL,$B:$B,'20.01'!$D:$D)*1.2</f>
        <v>0</v>
      </c>
      <c r="BW30" s="110">
        <f>SUMIF('20.01'!$AM:$AM,$B:$B,'20.01'!$D:$D)*1.2</f>
        <v>0</v>
      </c>
      <c r="BX30" s="110">
        <f>SUMIF('20.01'!$AN:$AN,$B:$B,'20.01'!$D:$D)*1.2</f>
        <v>0</v>
      </c>
      <c r="BY30" s="110">
        <f t="shared" si="3"/>
        <v>586909.19164607697</v>
      </c>
      <c r="BZ30" s="17">
        <f t="shared" si="72"/>
        <v>532070.23953418748</v>
      </c>
      <c r="CA30" s="17">
        <f t="shared" si="5"/>
        <v>23675.346333954691</v>
      </c>
      <c r="CB30" s="17">
        <f t="shared" si="6"/>
        <v>1573.8157682031426</v>
      </c>
      <c r="CC30" s="17">
        <f>SUMIF('20.01'!$AO:$AO,$B:$B,'20.01'!$D:$D)*1.2</f>
        <v>0</v>
      </c>
      <c r="CD30" s="17">
        <f t="shared" si="7"/>
        <v>24707.309113309548</v>
      </c>
      <c r="CE30" s="17">
        <f>SUMIF('20.01'!$AQ:$AQ,$B:$B,'20.01'!$D:$D)*1.2</f>
        <v>0</v>
      </c>
      <c r="CF30" s="17">
        <f t="shared" si="8"/>
        <v>2247.9745569850775</v>
      </c>
      <c r="CG30" s="17">
        <f>SUMIF('20.01'!$AR:$AR,$B:$B,'20.01'!$D:$D)*1.2</f>
        <v>0</v>
      </c>
      <c r="CH30" s="17">
        <f t="shared" si="9"/>
        <v>1323.8938983081114</v>
      </c>
      <c r="CI30" s="17">
        <f>SUMIF('20.01'!$AT:$AT,$B:$B,'20.01'!$D:$D)*1.2</f>
        <v>0</v>
      </c>
      <c r="CJ30" s="17">
        <f>SUMIF('20.01'!$AU:$AU,$B:$B,'20.01'!$D:$D)*1.2</f>
        <v>0</v>
      </c>
      <c r="CK30" s="17">
        <f>SUMIF('20.01'!$AV:$AV,$B:$B,'20.01'!$D:$D)*1.2</f>
        <v>0</v>
      </c>
      <c r="CL30" s="17">
        <f t="shared" si="10"/>
        <v>1310.6124411287794</v>
      </c>
      <c r="CM30" s="17">
        <f>SUMIF('20.01'!$AW:$AW,$B:$B,'20.01'!$D:$D)*1.2</f>
        <v>0</v>
      </c>
      <c r="CN30" s="17">
        <f>SUMIF('20.01'!$AX:$AX,$B:$B,'20.01'!$D:$D)*1.2</f>
        <v>0</v>
      </c>
      <c r="CO30" s="110">
        <f t="shared" si="56"/>
        <v>439659.91163733439</v>
      </c>
      <c r="CP30" s="17">
        <f t="shared" si="57"/>
        <v>346821.93042144756</v>
      </c>
      <c r="CQ30" s="17">
        <f t="shared" si="11"/>
        <v>106999.33768022941</v>
      </c>
      <c r="CR30" s="17">
        <f t="shared" si="12"/>
        <v>239822.59274121816</v>
      </c>
      <c r="CS30" s="17">
        <f t="shared" si="58"/>
        <v>92837.981215886859</v>
      </c>
      <c r="CT30" s="17">
        <f t="shared" si="13"/>
        <v>3382.1690955684489</v>
      </c>
      <c r="CU30" s="17">
        <f t="shared" si="14"/>
        <v>3271.347243424088</v>
      </c>
      <c r="CV30" s="17">
        <f t="shared" si="15"/>
        <v>3381.0088748091102</v>
      </c>
      <c r="CW30" s="17">
        <f t="shared" si="16"/>
        <v>35.453600694253872</v>
      </c>
      <c r="CX30" s="17">
        <f t="shared" si="17"/>
        <v>49922.234161184206</v>
      </c>
      <c r="CY30" s="17">
        <f t="shared" si="18"/>
        <v>32845.768240206751</v>
      </c>
      <c r="CZ30" s="110">
        <f t="shared" si="59"/>
        <v>109135.09999621953</v>
      </c>
      <c r="DA30" s="17">
        <f t="shared" si="60"/>
        <v>4122.5117086341716</v>
      </c>
      <c r="DB30" s="17">
        <f t="shared" si="19"/>
        <v>3912.1123869813905</v>
      </c>
      <c r="DC30" s="17">
        <f t="shared" si="20"/>
        <v>210.39932165278066</v>
      </c>
      <c r="DD30" s="17">
        <f t="shared" si="21"/>
        <v>7264.3385176998872</v>
      </c>
      <c r="DE30" s="17">
        <f t="shared" si="22"/>
        <v>2506.3882019462708</v>
      </c>
      <c r="DF30" s="17">
        <f t="shared" si="23"/>
        <v>3041.851261118517</v>
      </c>
      <c r="DG30" s="17">
        <f t="shared" si="61"/>
        <v>92200.010306820681</v>
      </c>
      <c r="DH30" s="110">
        <f t="shared" si="62"/>
        <v>68108.827729061173</v>
      </c>
      <c r="DI30" s="17">
        <f t="shared" si="24"/>
        <v>61096.395424469723</v>
      </c>
      <c r="DJ30" s="17">
        <f t="shared" si="25"/>
        <v>6756.9023284441528</v>
      </c>
      <c r="DK30" s="17">
        <f t="shared" si="26"/>
        <v>255.52997614730208</v>
      </c>
      <c r="DL30" s="110">
        <f t="shared" si="63"/>
        <v>515389.04105528252</v>
      </c>
      <c r="DM30" s="17">
        <f t="shared" si="27"/>
        <v>214602.01817995726</v>
      </c>
      <c r="DN30" s="17">
        <f t="shared" si="28"/>
        <v>190307.45008411305</v>
      </c>
      <c r="DO30" s="17">
        <f t="shared" si="29"/>
        <v>110479.57279121217</v>
      </c>
      <c r="DP30" s="110">
        <f t="shared" si="64"/>
        <v>84785.604457592417</v>
      </c>
      <c r="DQ30" s="17">
        <f>SUMIF('20.01'!$BB:$BB,$B:$B,'20.01'!$D:$D)*1.2</f>
        <v>56412.6</v>
      </c>
      <c r="DR30" s="17">
        <f t="shared" si="30"/>
        <v>28164.220847692657</v>
      </c>
      <c r="DS30" s="17">
        <f t="shared" si="31"/>
        <v>208.78360989976869</v>
      </c>
      <c r="DT30" s="110">
        <f t="shared" si="65"/>
        <v>7965.3240000000005</v>
      </c>
      <c r="DU30" s="17">
        <f>SUMIF('20.01'!$BD:$BD,$B:$B,'20.01'!$D:$D)*1.2</f>
        <v>7965.3240000000005</v>
      </c>
      <c r="DV30" s="17">
        <f t="shared" si="32"/>
        <v>0</v>
      </c>
      <c r="DW30" s="17">
        <f t="shared" si="33"/>
        <v>0</v>
      </c>
      <c r="DX30" s="110">
        <f t="shared" si="34"/>
        <v>3208840.6763149239</v>
      </c>
      <c r="DY30" s="110"/>
      <c r="DZ30" s="110">
        <f t="shared" si="66"/>
        <v>3208840.6763149239</v>
      </c>
      <c r="EA30" s="257"/>
      <c r="EB30" s="110">
        <f t="shared" si="35"/>
        <v>0</v>
      </c>
      <c r="EC30" s="110">
        <f>SUMIF(еирц!$B:$B,$B:$B,еирц!$K:$K)</f>
        <v>1668501.1426440002</v>
      </c>
      <c r="ED30" s="110">
        <f>SUMIF(еирц!$B:$B,$B:$B,еирц!$P:$P)</f>
        <v>1630312.5168959615</v>
      </c>
      <c r="EE30" s="110">
        <f>SUMIF(еирц!$B:$B,$B:$B,еирц!$S:$S)</f>
        <v>192477.66201626917</v>
      </c>
      <c r="EF30" s="177">
        <f t="shared" si="67"/>
        <v>-1540339.5336709237</v>
      </c>
      <c r="EG30" s="181">
        <f t="shared" si="68"/>
        <v>0</v>
      </c>
      <c r="EH30" s="177">
        <f t="shared" si="69"/>
        <v>-1540339.5336709237</v>
      </c>
    </row>
    <row r="31" spans="1:138" ht="12" customHeight="1" x14ac:dyDescent="0.25">
      <c r="A31" s="5">
        <f t="shared" si="70"/>
        <v>27</v>
      </c>
      <c r="B31" s="6" t="s">
        <v>104</v>
      </c>
      <c r="C31" s="7">
        <f t="shared" si="0"/>
        <v>8096.3</v>
      </c>
      <c r="D31" s="8">
        <v>7660</v>
      </c>
      <c r="E31" s="8">
        <v>436.3</v>
      </c>
      <c r="F31" s="8">
        <v>1661.3</v>
      </c>
      <c r="G31" s="91">
        <f t="shared" si="1"/>
        <v>8096.3</v>
      </c>
      <c r="H31" s="87">
        <f t="shared" si="2"/>
        <v>0</v>
      </c>
      <c r="I31" s="91">
        <v>4</v>
      </c>
      <c r="J31" s="112">
        <v>2.1774959161338513E-3</v>
      </c>
      <c r="K31" s="17">
        <v>2</v>
      </c>
      <c r="L31" s="112">
        <f t="shared" si="36"/>
        <v>4.8192771084337345E-3</v>
      </c>
      <c r="M31" s="116">
        <v>3.4064164893353794</v>
      </c>
      <c r="N31" s="120">
        <f t="shared" si="37"/>
        <v>8096.3</v>
      </c>
      <c r="O31" s="116">
        <v>2.6059532934131737</v>
      </c>
      <c r="P31" s="120">
        <f t="shared" si="38"/>
        <v>8096.3</v>
      </c>
      <c r="Q31" s="116">
        <v>1.6009277478101649</v>
      </c>
      <c r="R31" s="120">
        <f t="shared" si="39"/>
        <v>8096.3</v>
      </c>
      <c r="S31" s="5" t="s">
        <v>102</v>
      </c>
      <c r="T31" s="87">
        <v>36.54</v>
      </c>
      <c r="U31" s="88">
        <v>4.03</v>
      </c>
      <c r="V31" s="88">
        <v>7</v>
      </c>
      <c r="W31" s="88">
        <v>11</v>
      </c>
      <c r="X31" s="88">
        <v>5.4</v>
      </c>
      <c r="Y31" s="88">
        <v>2.67</v>
      </c>
      <c r="Z31" s="88">
        <v>1.54</v>
      </c>
      <c r="AA31" s="88">
        <v>4.9000000000000004</v>
      </c>
      <c r="AB31" s="88">
        <v>0</v>
      </c>
      <c r="AC31" s="257"/>
      <c r="AD31" s="110">
        <f t="shared" si="40"/>
        <v>2159193.3849448161</v>
      </c>
      <c r="AE31" s="110">
        <f t="shared" si="41"/>
        <v>687011.40063899546</v>
      </c>
      <c r="AF31" s="16">
        <f>SUMIF('20.01'!$I:$I,$B:$B,'20.01'!$D:$D)*1.2</f>
        <v>539210.01600000006</v>
      </c>
      <c r="AG31" s="17">
        <f t="shared" si="73"/>
        <v>30111.20298812219</v>
      </c>
      <c r="AH31" s="17">
        <f t="shared" si="43"/>
        <v>6182.3265577061156</v>
      </c>
      <c r="AI31" s="16">
        <f>SUMIF('20.01'!$J:$J,$B:$B,'20.01'!$D:$D)*1.2</f>
        <v>0</v>
      </c>
      <c r="AJ31" s="17">
        <f t="shared" si="44"/>
        <v>2512.3585212383718</v>
      </c>
      <c r="AK31" s="17">
        <f t="shared" si="45"/>
        <v>6112.0101498987096</v>
      </c>
      <c r="AL31" s="17">
        <f t="shared" si="46"/>
        <v>102883.48642203005</v>
      </c>
      <c r="AM31" s="110">
        <f t="shared" si="47"/>
        <v>0</v>
      </c>
      <c r="AN31" s="17">
        <f>SUMIF('20.01'!$K:$K,$B:$B,'20.01'!$D:$D)*1.2</f>
        <v>0</v>
      </c>
      <c r="AO31" s="17">
        <f>SUMIF('20.01'!$L:$L,$B:$B,'20.01'!$D:$D)*1.2</f>
        <v>0</v>
      </c>
      <c r="AP31" s="17">
        <f>SUMIF('20.01'!$M:$M,$B:$B,'20.01'!$D:$D)*1.2</f>
        <v>0</v>
      </c>
      <c r="AQ31" s="110">
        <f t="shared" si="48"/>
        <v>2274.3483058207039</v>
      </c>
      <c r="AR31" s="17">
        <f t="shared" si="49"/>
        <v>2274.3483058207039</v>
      </c>
      <c r="AS31" s="17">
        <f>(SUMIF('20.01'!$N:$N,$B:$B,'20.01'!$D:$D)+SUMIF('20.01'!$O:$O,$B:$B,'20.01'!$D:$D))*1.2</f>
        <v>0</v>
      </c>
      <c r="AT31" s="110">
        <f>SUMIF('20.01'!$P:$P,$B:$B,'20.01'!$D:$D)*1.2</f>
        <v>0</v>
      </c>
      <c r="AU31" s="110">
        <f t="shared" si="50"/>
        <v>0</v>
      </c>
      <c r="AV31" s="17">
        <f>SUMIF('20.01'!$Q:$Q,$B:$B,'20.01'!$D:$D)*1.2</f>
        <v>0</v>
      </c>
      <c r="AW31" s="17">
        <f>SUMIF('20.01'!$R:$R,$B:$B,'20.01'!$D:$D)*1.2</f>
        <v>0</v>
      </c>
      <c r="AX31" s="110">
        <f t="shared" si="51"/>
        <v>0</v>
      </c>
      <c r="AY31" s="17">
        <f>SUMIF('20.01'!$S:$S,$B:$B,'20.01'!$D:$D)*1.2</f>
        <v>0</v>
      </c>
      <c r="AZ31" s="17">
        <f>SUMIF('20.01'!$T:$T,$B:$B,'20.01'!$D:$D)*1.2</f>
        <v>0</v>
      </c>
      <c r="BA31" s="110">
        <f t="shared" si="52"/>
        <v>0</v>
      </c>
      <c r="BB31" s="17">
        <f>SUMIF('20.01'!$U:$U,$B:$B,'20.01'!$D:$D)*1.2</f>
        <v>0</v>
      </c>
      <c r="BC31" s="17">
        <f>SUMIF('20.01'!$V:$V,$B:$B,'20.01'!$D:$D)*1.2</f>
        <v>0</v>
      </c>
      <c r="BD31" s="17">
        <f>SUMIF('20.01'!$W:$W,$B:$B,'20.01'!$D:$D)*1.2</f>
        <v>0</v>
      </c>
      <c r="BE31" s="110">
        <f>SUMIF('20.01'!$X:$X,$B:$B,'20.01'!$D:$D)*1.2</f>
        <v>0</v>
      </c>
      <c r="BF31" s="110">
        <f t="shared" si="53"/>
        <v>1390707.6359999999</v>
      </c>
      <c r="BG31" s="17">
        <f>SUMIF('20.01'!$Y:$Y,$B:$B,'20.01'!$D:$D)*1.2</f>
        <v>0</v>
      </c>
      <c r="BH31" s="17">
        <f>SUMIF('20.01'!$Z:$Z,$B:$B,'20.01'!$D:$D)*1.2</f>
        <v>1389507.6359999999</v>
      </c>
      <c r="BI31" s="17">
        <f>SUMIF('20.01'!$AA:$AA,$B:$B,'20.01'!$D:$D)*1.2</f>
        <v>0</v>
      </c>
      <c r="BJ31" s="17">
        <f>SUMIF('20.01'!$AB:$AB,$B:$B,'20.01'!$D:$D)*1.2</f>
        <v>0</v>
      </c>
      <c r="BK31" s="17">
        <f>SUMIF('20.01'!$AC:$AC,$B:$B,'20.01'!$D:$D)*1.2</f>
        <v>0</v>
      </c>
      <c r="BL31" s="17">
        <f>SUMIF('20.01'!$AD:$AD,$B:$B,'20.01'!$D:$D)*1.2</f>
        <v>1200</v>
      </c>
      <c r="BM31" s="110">
        <f t="shared" si="54"/>
        <v>0</v>
      </c>
      <c r="BN31" s="17">
        <f>SUMIF('20.01'!$AE:$AE,$B:$B,'20.01'!$D:$D)*1.2</f>
        <v>0</v>
      </c>
      <c r="BO31" s="17">
        <f>SUMIF('20.01'!$AF:$AF,$B:$B,'20.01'!$D:$D)*1.2</f>
        <v>0</v>
      </c>
      <c r="BP31" s="110">
        <f>SUMIF('20.01'!$AG:$AG,$B:$B,'20.01'!$D:$D)*1.2</f>
        <v>0</v>
      </c>
      <c r="BQ31" s="110">
        <f>SUMIF('20.01'!$AH:$AH,$B:$B,'20.01'!$D:$D)*1.2</f>
        <v>0</v>
      </c>
      <c r="BR31" s="110">
        <f>SUMIF('20.01'!$AI:$AI,$B:$B,'20.01'!$D:$D)*1.2</f>
        <v>79200</v>
      </c>
      <c r="BS31" s="110">
        <f t="shared" si="55"/>
        <v>0</v>
      </c>
      <c r="BT31" s="17">
        <f>SUMIF('20.01'!$AJ:$AJ,$B:$B,'20.01'!$D:$D)*1.2</f>
        <v>0</v>
      </c>
      <c r="BU31" s="17">
        <f>SUMIF('20.01'!$AK:$AK,$B:$B,'20.01'!$D:$D)*1.2</f>
        <v>0</v>
      </c>
      <c r="BV31" s="110">
        <f>SUMIF('20.01'!$AL:$AL,$B:$B,'20.01'!$D:$D)*1.2</f>
        <v>0</v>
      </c>
      <c r="BW31" s="110">
        <f>SUMIF('20.01'!$AM:$AM,$B:$B,'20.01'!$D:$D)*1.2</f>
        <v>0</v>
      </c>
      <c r="BX31" s="110">
        <f>SUMIF('20.01'!$AN:$AN,$B:$B,'20.01'!$D:$D)*1.2</f>
        <v>0</v>
      </c>
      <c r="BY31" s="110">
        <f t="shared" si="3"/>
        <v>1244837.2860536864</v>
      </c>
      <c r="BZ31" s="17">
        <f t="shared" si="72"/>
        <v>1128523.5985383638</v>
      </c>
      <c r="CA31" s="17">
        <f t="shared" si="5"/>
        <v>50215.526177197251</v>
      </c>
      <c r="CB31" s="17">
        <f t="shared" si="6"/>
        <v>3338.0709955210891</v>
      </c>
      <c r="CC31" s="17">
        <f>SUMIF('20.01'!$AO:$AO,$B:$B,'20.01'!$D:$D)*1.2</f>
        <v>0</v>
      </c>
      <c r="CD31" s="17">
        <f t="shared" si="7"/>
        <v>52404.324314703998</v>
      </c>
      <c r="CE31" s="17">
        <f>SUMIF('20.01'!$AQ:$AQ,$B:$B,'20.01'!$D:$D)*1.2</f>
        <v>0</v>
      </c>
      <c r="CF31" s="17">
        <f t="shared" si="8"/>
        <v>4767.9651068108251</v>
      </c>
      <c r="CG31" s="17">
        <f>SUMIF('20.01'!$AR:$AR,$B:$B,'20.01'!$D:$D)*1.2</f>
        <v>0</v>
      </c>
      <c r="CH31" s="17">
        <f t="shared" si="9"/>
        <v>2807.9854785895318</v>
      </c>
      <c r="CI31" s="17">
        <f>SUMIF('20.01'!$AT:$AT,$B:$B,'20.01'!$D:$D)*1.2</f>
        <v>0</v>
      </c>
      <c r="CJ31" s="17">
        <f>SUMIF('20.01'!$AU:$AU,$B:$B,'20.01'!$D:$D)*1.2</f>
        <v>0</v>
      </c>
      <c r="CK31" s="17">
        <f>SUMIF('20.01'!$AV:$AV,$B:$B,'20.01'!$D:$D)*1.2</f>
        <v>0</v>
      </c>
      <c r="CL31" s="17">
        <f t="shared" si="10"/>
        <v>2779.8154424999834</v>
      </c>
      <c r="CM31" s="17">
        <f>SUMIF('20.01'!$AW:$AW,$B:$B,'20.01'!$D:$D)*1.2</f>
        <v>0</v>
      </c>
      <c r="CN31" s="17">
        <f>SUMIF('20.01'!$AX:$AX,$B:$B,'20.01'!$D:$D)*1.2</f>
        <v>0</v>
      </c>
      <c r="CO31" s="110">
        <f t="shared" si="56"/>
        <v>932520.83794125286</v>
      </c>
      <c r="CP31" s="17">
        <f t="shared" si="57"/>
        <v>735611.02254824631</v>
      </c>
      <c r="CQ31" s="17">
        <f t="shared" si="11"/>
        <v>226946.1221996336</v>
      </c>
      <c r="CR31" s="17">
        <f t="shared" si="12"/>
        <v>508664.90034861275</v>
      </c>
      <c r="CS31" s="17">
        <f t="shared" si="58"/>
        <v>196909.8153930066</v>
      </c>
      <c r="CT31" s="17">
        <f t="shared" si="13"/>
        <v>7173.5973091404258</v>
      </c>
      <c r="CU31" s="17">
        <f t="shared" si="14"/>
        <v>6938.5436149361949</v>
      </c>
      <c r="CV31" s="17">
        <f t="shared" si="15"/>
        <v>7171.1364751956926</v>
      </c>
      <c r="CW31" s="17">
        <f t="shared" si="16"/>
        <v>75.197261684189343</v>
      </c>
      <c r="CX31" s="17">
        <f t="shared" si="17"/>
        <v>105885.30452666763</v>
      </c>
      <c r="CY31" s="17">
        <f t="shared" si="18"/>
        <v>69666.03620538245</v>
      </c>
      <c r="CZ31" s="110">
        <f t="shared" si="59"/>
        <v>231476.0845906403</v>
      </c>
      <c r="DA31" s="17">
        <f t="shared" si="60"/>
        <v>8743.8676376964377</v>
      </c>
      <c r="DB31" s="17">
        <f t="shared" si="19"/>
        <v>8297.6096402382464</v>
      </c>
      <c r="DC31" s="17">
        <f t="shared" si="20"/>
        <v>446.25799745819137</v>
      </c>
      <c r="DD31" s="17">
        <f t="shared" si="21"/>
        <v>15407.697773460546</v>
      </c>
      <c r="DE31" s="17">
        <f t="shared" si="22"/>
        <v>5316.0617204803502</v>
      </c>
      <c r="DF31" s="17">
        <f t="shared" si="23"/>
        <v>6451.7815061809306</v>
      </c>
      <c r="DG31" s="17">
        <f t="shared" si="61"/>
        <v>195556.67595282203</v>
      </c>
      <c r="DH31" s="110">
        <f t="shared" si="62"/>
        <v>144459.15905448966</v>
      </c>
      <c r="DI31" s="17">
        <f t="shared" si="24"/>
        <v>129585.75559968935</v>
      </c>
      <c r="DJ31" s="17">
        <f t="shared" si="25"/>
        <v>14331.42311688735</v>
      </c>
      <c r="DK31" s="17">
        <f t="shared" si="26"/>
        <v>541.98033791297337</v>
      </c>
      <c r="DL31" s="110">
        <f t="shared" si="63"/>
        <v>1093142.6944084363</v>
      </c>
      <c r="DM31" s="17">
        <f t="shared" si="27"/>
        <v>455171.93749093259</v>
      </c>
      <c r="DN31" s="17">
        <f t="shared" si="28"/>
        <v>403643.03890705347</v>
      </c>
      <c r="DO31" s="17">
        <f t="shared" si="29"/>
        <v>234327.71801045033</v>
      </c>
      <c r="DP31" s="110">
        <f t="shared" si="64"/>
        <v>172963.32399357637</v>
      </c>
      <c r="DQ31" s="17">
        <f>SUMIF('20.01'!$BB:$BB,$B:$B,'20.01'!$D:$D)*1.2</f>
        <v>112825.2</v>
      </c>
      <c r="DR31" s="17">
        <f t="shared" si="30"/>
        <v>59695.59579256241</v>
      </c>
      <c r="DS31" s="17">
        <f t="shared" si="31"/>
        <v>442.52820101393598</v>
      </c>
      <c r="DT31" s="110">
        <f t="shared" si="65"/>
        <v>0</v>
      </c>
      <c r="DU31" s="17">
        <f>SUMIF('20.01'!$BD:$BD,$B:$B,'20.01'!$D:$D)*1.2</f>
        <v>0</v>
      </c>
      <c r="DV31" s="17">
        <f t="shared" si="32"/>
        <v>0</v>
      </c>
      <c r="DW31" s="17">
        <f t="shared" si="33"/>
        <v>0</v>
      </c>
      <c r="DX31" s="110">
        <f t="shared" si="34"/>
        <v>5978592.7709868979</v>
      </c>
      <c r="DY31" s="110"/>
      <c r="DZ31" s="110">
        <f t="shared" si="66"/>
        <v>5978592.7709868979</v>
      </c>
      <c r="EA31" s="257"/>
      <c r="EB31" s="110">
        <f t="shared" si="35"/>
        <v>1773.1084337349396</v>
      </c>
      <c r="EC31" s="110">
        <f>SUMIF(еирц!$B:$B,$B:$B,еирц!$K:$K)</f>
        <v>3358072.4699999997</v>
      </c>
      <c r="ED31" s="110">
        <f>SUMIF(еирц!$B:$B,$B:$B,еирц!$P:$P)</f>
        <v>3318096.96</v>
      </c>
      <c r="EE31" s="110">
        <f>SUMIF(еирц!$B:$B,$B:$B,еирц!$S:$S)</f>
        <v>402019.7</v>
      </c>
      <c r="EF31" s="177">
        <f t="shared" si="67"/>
        <v>-2618747.192553163</v>
      </c>
      <c r="EG31" s="181">
        <f t="shared" si="68"/>
        <v>0</v>
      </c>
      <c r="EH31" s="177">
        <f t="shared" si="69"/>
        <v>-2618747.192553163</v>
      </c>
    </row>
    <row r="32" spans="1:138" ht="12" customHeight="1" x14ac:dyDescent="0.25">
      <c r="A32" s="5">
        <f t="shared" si="70"/>
        <v>28</v>
      </c>
      <c r="B32" s="6" t="s">
        <v>105</v>
      </c>
      <c r="C32" s="7">
        <f t="shared" si="0"/>
        <v>1596.9</v>
      </c>
      <c r="D32" s="8">
        <v>1545.9</v>
      </c>
      <c r="E32" s="8">
        <v>51</v>
      </c>
      <c r="F32" s="8">
        <v>87.4</v>
      </c>
      <c r="G32" s="87">
        <f t="shared" si="1"/>
        <v>1596.9</v>
      </c>
      <c r="H32" s="87">
        <f t="shared" si="2"/>
        <v>1596.9</v>
      </c>
      <c r="I32" s="91">
        <v>0</v>
      </c>
      <c r="J32" s="112">
        <v>0</v>
      </c>
      <c r="K32" s="17">
        <v>2</v>
      </c>
      <c r="L32" s="112">
        <f t="shared" si="36"/>
        <v>4.8192771084337345E-3</v>
      </c>
      <c r="M32" s="116">
        <v>3.4064176809416482</v>
      </c>
      <c r="N32" s="120">
        <f t="shared" si="37"/>
        <v>1596.9</v>
      </c>
      <c r="O32" s="116">
        <v>3.0862363636363637</v>
      </c>
      <c r="P32" s="120">
        <f t="shared" si="38"/>
        <v>1596.9</v>
      </c>
      <c r="Q32" s="116">
        <v>0</v>
      </c>
      <c r="R32" s="120">
        <f t="shared" si="39"/>
        <v>0</v>
      </c>
      <c r="S32" s="5" t="s">
        <v>102</v>
      </c>
      <c r="T32" s="87">
        <v>20.440000000000001</v>
      </c>
      <c r="U32" s="88">
        <v>3.11</v>
      </c>
      <c r="V32" s="88">
        <v>4.0599999999999996</v>
      </c>
      <c r="W32" s="88">
        <v>7</v>
      </c>
      <c r="X32" s="88">
        <v>4</v>
      </c>
      <c r="Y32" s="88">
        <v>2.0499999999999998</v>
      </c>
      <c r="Z32" s="88">
        <v>0</v>
      </c>
      <c r="AA32" s="88">
        <v>0</v>
      </c>
      <c r="AB32" s="88">
        <v>0.22</v>
      </c>
      <c r="AC32" s="257"/>
      <c r="AD32" s="110">
        <f t="shared" si="40"/>
        <v>208629.13012763567</v>
      </c>
      <c r="AE32" s="110">
        <f t="shared" si="41"/>
        <v>171652.86566011779</v>
      </c>
      <c r="AF32" s="16">
        <f>SUMIF('20.01'!$I:$I,$B:$B,'20.01'!$D:$D)*1.2</f>
        <v>142500.78</v>
      </c>
      <c r="AG32" s="17">
        <f t="shared" si="73"/>
        <v>5939.0808210827572</v>
      </c>
      <c r="AH32" s="17">
        <f t="shared" si="43"/>
        <v>1219.391237973012</v>
      </c>
      <c r="AI32" s="16">
        <f>SUMIF('20.01'!$J:$J,$B:$B,'20.01'!$D:$D)*1.2</f>
        <v>0</v>
      </c>
      <c r="AJ32" s="17">
        <f t="shared" si="44"/>
        <v>495.53318461094034</v>
      </c>
      <c r="AK32" s="17">
        <f t="shared" si="45"/>
        <v>1205.5221531283735</v>
      </c>
      <c r="AL32" s="17">
        <f t="shared" si="46"/>
        <v>20292.558263322728</v>
      </c>
      <c r="AM32" s="110">
        <f t="shared" si="47"/>
        <v>0</v>
      </c>
      <c r="AN32" s="17">
        <f>SUMIF('20.01'!$K:$K,$B:$B,'20.01'!$D:$D)*1.2</f>
        <v>0</v>
      </c>
      <c r="AO32" s="17">
        <f>SUMIF('20.01'!$L:$L,$B:$B,'20.01'!$D:$D)*1.2</f>
        <v>0</v>
      </c>
      <c r="AP32" s="17">
        <f>SUMIF('20.01'!$M:$M,$B:$B,'20.01'!$D:$D)*1.2</f>
        <v>0</v>
      </c>
      <c r="AQ32" s="110">
        <f t="shared" si="48"/>
        <v>448.58846751788872</v>
      </c>
      <c r="AR32" s="17">
        <f t="shared" si="49"/>
        <v>448.58846751788872</v>
      </c>
      <c r="AS32" s="17">
        <f>(SUMIF('20.01'!$N:$N,$B:$B,'20.01'!$D:$D)+SUMIF('20.01'!$O:$O,$B:$B,'20.01'!$D:$D))*1.2</f>
        <v>0</v>
      </c>
      <c r="AT32" s="110">
        <f>SUMIF('20.01'!$P:$P,$B:$B,'20.01'!$D:$D)*1.2</f>
        <v>0</v>
      </c>
      <c r="AU32" s="110">
        <f t="shared" si="50"/>
        <v>0</v>
      </c>
      <c r="AV32" s="17">
        <f>SUMIF('20.01'!$Q:$Q,$B:$B,'20.01'!$D:$D)*1.2</f>
        <v>0</v>
      </c>
      <c r="AW32" s="17">
        <f>SUMIF('20.01'!$R:$R,$B:$B,'20.01'!$D:$D)*1.2</f>
        <v>0</v>
      </c>
      <c r="AX32" s="110">
        <f t="shared" si="51"/>
        <v>34359.527999999998</v>
      </c>
      <c r="AY32" s="17">
        <f>SUMIF('20.01'!$S:$S,$B:$B,'20.01'!$D:$D)*1.2</f>
        <v>34359.527999999998</v>
      </c>
      <c r="AZ32" s="17">
        <f>SUMIF('20.01'!$T:$T,$B:$B,'20.01'!$D:$D)*1.2</f>
        <v>0</v>
      </c>
      <c r="BA32" s="110">
        <f t="shared" si="52"/>
        <v>0</v>
      </c>
      <c r="BB32" s="17">
        <f>SUMIF('20.01'!$U:$U,$B:$B,'20.01'!$D:$D)*1.2</f>
        <v>0</v>
      </c>
      <c r="BC32" s="17">
        <f>SUMIF('20.01'!$V:$V,$B:$B,'20.01'!$D:$D)*1.2</f>
        <v>0</v>
      </c>
      <c r="BD32" s="17">
        <f>SUMIF('20.01'!$W:$W,$B:$B,'20.01'!$D:$D)*1.2</f>
        <v>0</v>
      </c>
      <c r="BE32" s="110">
        <f>SUMIF('20.01'!$X:$X,$B:$B,'20.01'!$D:$D)*1.2</f>
        <v>0</v>
      </c>
      <c r="BF32" s="110">
        <f t="shared" si="53"/>
        <v>0</v>
      </c>
      <c r="BG32" s="17">
        <f>SUMIF('20.01'!$Y:$Y,$B:$B,'20.01'!$D:$D)*1.2</f>
        <v>0</v>
      </c>
      <c r="BH32" s="17">
        <f>SUMIF('20.01'!$Z:$Z,$B:$B,'20.01'!$D:$D)*1.2</f>
        <v>0</v>
      </c>
      <c r="BI32" s="17">
        <f>SUMIF('20.01'!$AA:$AA,$B:$B,'20.01'!$D:$D)*1.2</f>
        <v>0</v>
      </c>
      <c r="BJ32" s="17">
        <f>SUMIF('20.01'!$AB:$AB,$B:$B,'20.01'!$D:$D)*1.2</f>
        <v>0</v>
      </c>
      <c r="BK32" s="17">
        <f>SUMIF('20.01'!$AC:$AC,$B:$B,'20.01'!$D:$D)*1.2</f>
        <v>0</v>
      </c>
      <c r="BL32" s="17">
        <f>SUMIF('20.01'!$AD:$AD,$B:$B,'20.01'!$D:$D)*1.2</f>
        <v>0</v>
      </c>
      <c r="BM32" s="110">
        <f t="shared" si="54"/>
        <v>0</v>
      </c>
      <c r="BN32" s="17">
        <f>SUMIF('20.01'!$AE:$AE,$B:$B,'20.01'!$D:$D)*1.2</f>
        <v>0</v>
      </c>
      <c r="BO32" s="17">
        <f>SUMIF('20.01'!$AF:$AF,$B:$B,'20.01'!$D:$D)*1.2</f>
        <v>0</v>
      </c>
      <c r="BP32" s="110">
        <f>SUMIF('20.01'!$AG:$AG,$B:$B,'20.01'!$D:$D)*1.2</f>
        <v>0</v>
      </c>
      <c r="BQ32" s="110">
        <f>SUMIF('20.01'!$AH:$AH,$B:$B,'20.01'!$D:$D)*1.2</f>
        <v>0</v>
      </c>
      <c r="BR32" s="110">
        <f>SUMIF('20.01'!$AI:$AI,$B:$B,'20.01'!$D:$D)*1.2</f>
        <v>0</v>
      </c>
      <c r="BS32" s="110">
        <f t="shared" si="55"/>
        <v>0</v>
      </c>
      <c r="BT32" s="17">
        <f>SUMIF('20.01'!$AJ:$AJ,$B:$B,'20.01'!$D:$D)*1.2</f>
        <v>0</v>
      </c>
      <c r="BU32" s="17">
        <f>SUMIF('20.01'!$AK:$AK,$B:$B,'20.01'!$D:$D)*1.2</f>
        <v>0</v>
      </c>
      <c r="BV32" s="110">
        <f>SUMIF('20.01'!$AL:$AL,$B:$B,'20.01'!$D:$D)*1.2</f>
        <v>2168.1479999999997</v>
      </c>
      <c r="BW32" s="110">
        <f>SUMIF('20.01'!$AM:$AM,$B:$B,'20.01'!$D:$D)*1.2</f>
        <v>0</v>
      </c>
      <c r="BX32" s="110">
        <f>SUMIF('20.01'!$AN:$AN,$B:$B,'20.01'!$D:$D)*1.2</f>
        <v>0</v>
      </c>
      <c r="BY32" s="110">
        <f t="shared" si="3"/>
        <v>280732.63715152995</v>
      </c>
      <c r="BZ32" s="17">
        <f t="shared" si="72"/>
        <v>222588.01359953475</v>
      </c>
      <c r="CA32" s="17">
        <f t="shared" si="5"/>
        <v>9904.4222363754179</v>
      </c>
      <c r="CB32" s="17">
        <f t="shared" si="6"/>
        <v>658.39526360777484</v>
      </c>
      <c r="CC32" s="17">
        <f>SUMIF('20.01'!$AO:$AO,$B:$B,'20.01'!$D:$D)*1.2</f>
        <v>0</v>
      </c>
      <c r="CD32" s="17">
        <f t="shared" si="7"/>
        <v>10336.136938867237</v>
      </c>
      <c r="CE32" s="17">
        <f>SUMIF('20.01'!$AQ:$AQ,$B:$B,'20.01'!$D:$D)*1.2</f>
        <v>0</v>
      </c>
      <c r="CF32" s="17">
        <f t="shared" si="8"/>
        <v>940.42506812571264</v>
      </c>
      <c r="CG32" s="17">
        <f>SUMIF('20.01'!$AR:$AR,$B:$B,'20.01'!$D:$D)*1.2</f>
        <v>35203.116000000002</v>
      </c>
      <c r="CH32" s="17">
        <f t="shared" si="9"/>
        <v>553.84212674426885</v>
      </c>
      <c r="CI32" s="17">
        <f>SUMIF('20.01'!$AT:$AT,$B:$B,'20.01'!$D:$D)*1.2</f>
        <v>0</v>
      </c>
      <c r="CJ32" s="17">
        <f>SUMIF('20.01'!$AU:$AU,$B:$B,'20.01'!$D:$D)*1.2</f>
        <v>0</v>
      </c>
      <c r="CK32" s="17">
        <f>SUMIF('20.01'!$AV:$AV,$B:$B,'20.01'!$D:$D)*1.2</f>
        <v>0</v>
      </c>
      <c r="CL32" s="17">
        <f t="shared" si="10"/>
        <v>548.28591827479511</v>
      </c>
      <c r="CM32" s="17">
        <f>SUMIF('20.01'!$AW:$AW,$B:$B,'20.01'!$D:$D)*1.2</f>
        <v>0</v>
      </c>
      <c r="CN32" s="17">
        <f>SUMIF('20.01'!$AX:$AX,$B:$B,'20.01'!$D:$D)*1.2</f>
        <v>0</v>
      </c>
      <c r="CO32" s="110">
        <f t="shared" si="56"/>
        <v>183928.77315667487</v>
      </c>
      <c r="CP32" s="17">
        <f t="shared" si="57"/>
        <v>145090.62681808908</v>
      </c>
      <c r="CQ32" s="17">
        <f t="shared" si="11"/>
        <v>44762.454768300937</v>
      </c>
      <c r="CR32" s="17">
        <f t="shared" si="12"/>
        <v>100328.17204978813</v>
      </c>
      <c r="CS32" s="17">
        <f t="shared" si="58"/>
        <v>38838.146338585801</v>
      </c>
      <c r="CT32" s="17">
        <f t="shared" si="13"/>
        <v>1414.9077409392371</v>
      </c>
      <c r="CU32" s="17">
        <f t="shared" si="14"/>
        <v>1368.546162900536</v>
      </c>
      <c r="CV32" s="17">
        <f t="shared" si="15"/>
        <v>1414.4223703716516</v>
      </c>
      <c r="CW32" s="17">
        <f t="shared" si="16"/>
        <v>14.831775895592058</v>
      </c>
      <c r="CX32" s="17">
        <f t="shared" si="17"/>
        <v>20884.631596980787</v>
      </c>
      <c r="CY32" s="17">
        <f t="shared" si="18"/>
        <v>13740.806691497999</v>
      </c>
      <c r="CZ32" s="110">
        <f t="shared" si="59"/>
        <v>45655.936598544213</v>
      </c>
      <c r="DA32" s="17">
        <f t="shared" si="60"/>
        <v>1724.6251041386117</v>
      </c>
      <c r="DB32" s="17">
        <f t="shared" si="19"/>
        <v>1636.6059600677415</v>
      </c>
      <c r="DC32" s="17">
        <f t="shared" si="20"/>
        <v>88.019144070870126</v>
      </c>
      <c r="DD32" s="17">
        <f t="shared" si="21"/>
        <v>3038.987262630973</v>
      </c>
      <c r="DE32" s="17">
        <f t="shared" si="22"/>
        <v>1048.5306820936812</v>
      </c>
      <c r="DF32" s="17">
        <f t="shared" si="23"/>
        <v>1272.5380590171224</v>
      </c>
      <c r="DG32" s="17">
        <f t="shared" si="61"/>
        <v>38571.255490663825</v>
      </c>
      <c r="DH32" s="110">
        <f t="shared" si="62"/>
        <v>28492.870952671536</v>
      </c>
      <c r="DI32" s="17">
        <f t="shared" si="24"/>
        <v>25559.266963569029</v>
      </c>
      <c r="DJ32" s="17">
        <f t="shared" si="25"/>
        <v>2826.7047386284366</v>
      </c>
      <c r="DK32" s="17">
        <f t="shared" si="26"/>
        <v>106.89925047407175</v>
      </c>
      <c r="DL32" s="110">
        <f t="shared" si="63"/>
        <v>169391.15840691971</v>
      </c>
      <c r="DM32" s="17">
        <f t="shared" si="27"/>
        <v>89777.313955667443</v>
      </c>
      <c r="DN32" s="17">
        <f t="shared" si="28"/>
        <v>79613.844451252269</v>
      </c>
      <c r="DO32" s="17">
        <f t="shared" si="29"/>
        <v>0</v>
      </c>
      <c r="DP32" s="110">
        <f t="shared" si="64"/>
        <v>0</v>
      </c>
      <c r="DQ32" s="17">
        <f>SUMIF('20.01'!$BB:$BB,$B:$B,'20.01'!$D:$D)*1.2</f>
        <v>0</v>
      </c>
      <c r="DR32" s="17">
        <f t="shared" si="30"/>
        <v>0</v>
      </c>
      <c r="DS32" s="17">
        <f t="shared" si="31"/>
        <v>0</v>
      </c>
      <c r="DT32" s="110">
        <f t="shared" si="65"/>
        <v>3793.0079999999998</v>
      </c>
      <c r="DU32" s="17">
        <f>SUMIF('20.01'!$BD:$BD,$B:$B,'20.01'!$D:$D)*1.2</f>
        <v>3793.0079999999998</v>
      </c>
      <c r="DV32" s="17">
        <f t="shared" si="32"/>
        <v>0</v>
      </c>
      <c r="DW32" s="17">
        <f t="shared" si="33"/>
        <v>0</v>
      </c>
      <c r="DX32" s="110">
        <f t="shared" si="34"/>
        <v>920623.51439397596</v>
      </c>
      <c r="DY32" s="110"/>
      <c r="DZ32" s="110">
        <f t="shared" si="66"/>
        <v>920623.51439397596</v>
      </c>
      <c r="EA32" s="257"/>
      <c r="EB32" s="110">
        <f t="shared" si="35"/>
        <v>1773.1084337349396</v>
      </c>
      <c r="EC32" s="110">
        <f>SUMIF(еирц!$B:$B,$B:$B,еирц!$K:$K)</f>
        <v>379178.27999999997</v>
      </c>
      <c r="ED32" s="110">
        <f>SUMIF(еирц!$B:$B,$B:$B,еирц!$P:$P)</f>
        <v>376652.10000000003</v>
      </c>
      <c r="EE32" s="110">
        <f>SUMIF(еирц!$B:$B,$B:$B,еирц!$S:$S)</f>
        <v>62133.59</v>
      </c>
      <c r="EF32" s="177">
        <f t="shared" si="67"/>
        <v>-539672.12596024107</v>
      </c>
      <c r="EG32" s="181">
        <f t="shared" si="68"/>
        <v>0</v>
      </c>
      <c r="EH32" s="177">
        <f t="shared" si="69"/>
        <v>-539672.12596024107</v>
      </c>
    </row>
    <row r="33" spans="1:138" ht="12" customHeight="1" x14ac:dyDescent="0.25">
      <c r="A33" s="5">
        <f t="shared" si="70"/>
        <v>29</v>
      </c>
      <c r="B33" s="6" t="s">
        <v>107</v>
      </c>
      <c r="C33" s="7">
        <f t="shared" si="0"/>
        <v>2617.3000000000002</v>
      </c>
      <c r="D33" s="8">
        <v>2539.3000000000002</v>
      </c>
      <c r="E33" s="8">
        <v>78</v>
      </c>
      <c r="F33" s="8">
        <v>193.2</v>
      </c>
      <c r="G33" s="87">
        <f t="shared" si="1"/>
        <v>2617.3000000000002</v>
      </c>
      <c r="H33" s="87">
        <f t="shared" si="2"/>
        <v>2617.3000000000002</v>
      </c>
      <c r="I33" s="91">
        <v>0</v>
      </c>
      <c r="J33" s="112">
        <v>0</v>
      </c>
      <c r="K33" s="17">
        <v>4</v>
      </c>
      <c r="L33" s="112">
        <f t="shared" si="36"/>
        <v>9.638554216867469E-3</v>
      </c>
      <c r="M33" s="116">
        <v>3.4064192572214589</v>
      </c>
      <c r="N33" s="120">
        <f t="shared" si="37"/>
        <v>2617.3000000000002</v>
      </c>
      <c r="O33" s="116">
        <v>3.0862333180498247</v>
      </c>
      <c r="P33" s="120">
        <f t="shared" si="38"/>
        <v>2617.3000000000002</v>
      </c>
      <c r="Q33" s="116">
        <v>0</v>
      </c>
      <c r="R33" s="120">
        <f t="shared" si="39"/>
        <v>0</v>
      </c>
      <c r="S33" s="5" t="s">
        <v>102</v>
      </c>
      <c r="T33" s="87">
        <v>20.440000000000001</v>
      </c>
      <c r="U33" s="88">
        <v>3.11</v>
      </c>
      <c r="V33" s="88">
        <v>4.0599999999999996</v>
      </c>
      <c r="W33" s="88">
        <v>7</v>
      </c>
      <c r="X33" s="88">
        <v>4</v>
      </c>
      <c r="Y33" s="88">
        <v>2.0499999999999998</v>
      </c>
      <c r="Z33" s="88">
        <v>0</v>
      </c>
      <c r="AA33" s="88">
        <v>0</v>
      </c>
      <c r="AB33" s="88">
        <v>0.22</v>
      </c>
      <c r="AC33" s="257"/>
      <c r="AD33" s="110">
        <f t="shared" si="40"/>
        <v>191266.61085118723</v>
      </c>
      <c r="AE33" s="110">
        <f t="shared" si="41"/>
        <v>123140.66371834576</v>
      </c>
      <c r="AF33" s="16">
        <f>SUMIF('20.01'!$I:$I,$B:$B,'20.01'!$D:$D)*1.2</f>
        <v>75360.744000000006</v>
      </c>
      <c r="AG33" s="17">
        <f t="shared" si="73"/>
        <v>9734.0824303462341</v>
      </c>
      <c r="AH33" s="17">
        <f t="shared" si="43"/>
        <v>1998.5676542969279</v>
      </c>
      <c r="AI33" s="16">
        <f>SUMIF('20.01'!$J:$J,$B:$B,'20.01'!$D:$D)*1.2</f>
        <v>0</v>
      </c>
      <c r="AJ33" s="17">
        <f t="shared" si="44"/>
        <v>812.17296266655035</v>
      </c>
      <c r="AK33" s="17">
        <f t="shared" si="45"/>
        <v>1975.8363901201651</v>
      </c>
      <c r="AL33" s="17">
        <f t="shared" si="46"/>
        <v>33259.260280915885</v>
      </c>
      <c r="AM33" s="110">
        <f t="shared" si="47"/>
        <v>0</v>
      </c>
      <c r="AN33" s="17">
        <f>SUMIF('20.01'!$K:$K,$B:$B,'20.01'!$D:$D)*1.2</f>
        <v>0</v>
      </c>
      <c r="AO33" s="17">
        <f>SUMIF('20.01'!$L:$L,$B:$B,'20.01'!$D:$D)*1.2</f>
        <v>0</v>
      </c>
      <c r="AP33" s="17">
        <f>SUMIF('20.01'!$M:$M,$B:$B,'20.01'!$D:$D)*1.2</f>
        <v>0</v>
      </c>
      <c r="AQ33" s="110">
        <f t="shared" si="48"/>
        <v>735.23113284148667</v>
      </c>
      <c r="AR33" s="17">
        <f t="shared" si="49"/>
        <v>735.23113284148667</v>
      </c>
      <c r="AS33" s="17">
        <f>(SUMIF('20.01'!$N:$N,$B:$B,'20.01'!$D:$D)+SUMIF('20.01'!$O:$O,$B:$B,'20.01'!$D:$D))*1.2</f>
        <v>0</v>
      </c>
      <c r="AT33" s="110">
        <f>SUMIF('20.01'!$P:$P,$B:$B,'20.01'!$D:$D)*1.2</f>
        <v>0</v>
      </c>
      <c r="AU33" s="110">
        <f t="shared" si="50"/>
        <v>0</v>
      </c>
      <c r="AV33" s="17">
        <f>SUMIF('20.01'!$Q:$Q,$B:$B,'20.01'!$D:$D)*1.2</f>
        <v>0</v>
      </c>
      <c r="AW33" s="17">
        <f>SUMIF('20.01'!$R:$R,$B:$B,'20.01'!$D:$D)*1.2</f>
        <v>0</v>
      </c>
      <c r="AX33" s="110">
        <f t="shared" si="51"/>
        <v>6854.927999999999</v>
      </c>
      <c r="AY33" s="17">
        <f>SUMIF('20.01'!$S:$S,$B:$B,'20.01'!$D:$D)*1.2</f>
        <v>6854.927999999999</v>
      </c>
      <c r="AZ33" s="17">
        <f>SUMIF('20.01'!$T:$T,$B:$B,'20.01'!$D:$D)*1.2</f>
        <v>0</v>
      </c>
      <c r="BA33" s="110">
        <f t="shared" si="52"/>
        <v>46641.599999999999</v>
      </c>
      <c r="BB33" s="17">
        <f>SUMIF('20.01'!$U:$U,$B:$B,'20.01'!$D:$D)*1.2</f>
        <v>0</v>
      </c>
      <c r="BC33" s="17">
        <f>SUMIF('20.01'!$V:$V,$B:$B,'20.01'!$D:$D)*1.2</f>
        <v>0</v>
      </c>
      <c r="BD33" s="17">
        <f>SUMIF('20.01'!$W:$W,$B:$B,'20.01'!$D:$D)*1.2</f>
        <v>46641.599999999999</v>
      </c>
      <c r="BE33" s="110">
        <f>SUMIF('20.01'!$X:$X,$B:$B,'20.01'!$D:$D)*1.2</f>
        <v>0</v>
      </c>
      <c r="BF33" s="110">
        <f t="shared" si="53"/>
        <v>0</v>
      </c>
      <c r="BG33" s="17">
        <f>SUMIF('20.01'!$Y:$Y,$B:$B,'20.01'!$D:$D)*1.2</f>
        <v>0</v>
      </c>
      <c r="BH33" s="17">
        <f>SUMIF('20.01'!$Z:$Z,$B:$B,'20.01'!$D:$D)*1.2</f>
        <v>0</v>
      </c>
      <c r="BI33" s="17">
        <f>SUMIF('20.01'!$AA:$AA,$B:$B,'20.01'!$D:$D)*1.2</f>
        <v>0</v>
      </c>
      <c r="BJ33" s="17">
        <f>SUMIF('20.01'!$AB:$AB,$B:$B,'20.01'!$D:$D)*1.2</f>
        <v>0</v>
      </c>
      <c r="BK33" s="17">
        <f>SUMIF('20.01'!$AC:$AC,$B:$B,'20.01'!$D:$D)*1.2</f>
        <v>0</v>
      </c>
      <c r="BL33" s="17">
        <f>SUMIF('20.01'!$AD:$AD,$B:$B,'20.01'!$D:$D)*1.2</f>
        <v>0</v>
      </c>
      <c r="BM33" s="110">
        <f t="shared" si="54"/>
        <v>0</v>
      </c>
      <c r="BN33" s="17">
        <f>SUMIF('20.01'!$AE:$AE,$B:$B,'20.01'!$D:$D)*1.2</f>
        <v>0</v>
      </c>
      <c r="BO33" s="17">
        <f>SUMIF('20.01'!$AF:$AF,$B:$B,'20.01'!$D:$D)*1.2</f>
        <v>0</v>
      </c>
      <c r="BP33" s="110">
        <f>SUMIF('20.01'!$AG:$AG,$B:$B,'20.01'!$D:$D)*1.2</f>
        <v>0</v>
      </c>
      <c r="BQ33" s="110">
        <f>SUMIF('20.01'!$AH:$AH,$B:$B,'20.01'!$D:$D)*1.2</f>
        <v>0</v>
      </c>
      <c r="BR33" s="110">
        <f>SUMIF('20.01'!$AI:$AI,$B:$B,'20.01'!$D:$D)*1.2</f>
        <v>0</v>
      </c>
      <c r="BS33" s="110">
        <f t="shared" si="55"/>
        <v>13894.188</v>
      </c>
      <c r="BT33" s="17">
        <f>SUMIF('20.01'!$AJ:$AJ,$B:$B,'20.01'!$D:$D)*1.2</f>
        <v>13894.188</v>
      </c>
      <c r="BU33" s="17">
        <f>SUMIF('20.01'!$AK:$AK,$B:$B,'20.01'!$D:$D)*1.2</f>
        <v>0</v>
      </c>
      <c r="BV33" s="110">
        <f>SUMIF('20.01'!$AL:$AL,$B:$B,'20.01'!$D:$D)*1.2</f>
        <v>0</v>
      </c>
      <c r="BW33" s="110">
        <f>SUMIF('20.01'!$AM:$AM,$B:$B,'20.01'!$D:$D)*1.2</f>
        <v>0</v>
      </c>
      <c r="BX33" s="110">
        <f>SUMIF('20.01'!$AN:$AN,$B:$B,'20.01'!$D:$D)*1.2</f>
        <v>0</v>
      </c>
      <c r="BY33" s="110">
        <f t="shared" si="3"/>
        <v>453824.28846884554</v>
      </c>
      <c r="BZ33" s="17">
        <f t="shared" si="72"/>
        <v>364819.09198701376</v>
      </c>
      <c r="CA33" s="17">
        <f t="shared" si="5"/>
        <v>16233.229581855709</v>
      </c>
      <c r="CB33" s="17">
        <f t="shared" si="6"/>
        <v>1079.1019622021599</v>
      </c>
      <c r="CC33" s="17">
        <f>SUMIF('20.01'!$AO:$AO,$B:$B,'20.01'!$D:$D)*1.2</f>
        <v>0</v>
      </c>
      <c r="CD33" s="17">
        <f t="shared" si="7"/>
        <v>16940.804815641066</v>
      </c>
      <c r="CE33" s="17">
        <f>SUMIF('20.01'!$AQ:$AQ,$B:$B,'20.01'!$D:$D)*1.2</f>
        <v>0</v>
      </c>
      <c r="CF33" s="17">
        <f t="shared" si="8"/>
        <v>1541.3454385405646</v>
      </c>
      <c r="CG33" s="17">
        <f>SUMIF('20.01'!$AR:$AR,$B:$B,'20.01'!$D:$D)*1.2</f>
        <v>51404.34</v>
      </c>
      <c r="CH33" s="17">
        <f t="shared" si="9"/>
        <v>907.74062140883882</v>
      </c>
      <c r="CI33" s="17">
        <f>SUMIF('20.01'!$AT:$AT,$B:$B,'20.01'!$D:$D)*1.2</f>
        <v>0</v>
      </c>
      <c r="CJ33" s="17">
        <f>SUMIF('20.01'!$AU:$AU,$B:$B,'20.01'!$D:$D)*1.2</f>
        <v>0</v>
      </c>
      <c r="CK33" s="17">
        <f>SUMIF('20.01'!$AV:$AV,$B:$B,'20.01'!$D:$D)*1.2</f>
        <v>0</v>
      </c>
      <c r="CL33" s="17">
        <f t="shared" si="10"/>
        <v>898.63406218336854</v>
      </c>
      <c r="CM33" s="17">
        <f>SUMIF('20.01'!$AW:$AW,$B:$B,'20.01'!$D:$D)*1.2</f>
        <v>0</v>
      </c>
      <c r="CN33" s="17">
        <f>SUMIF('20.01'!$AX:$AX,$B:$B,'20.01'!$D:$D)*1.2</f>
        <v>0</v>
      </c>
      <c r="CO33" s="110">
        <f t="shared" si="56"/>
        <v>301457.05929173098</v>
      </c>
      <c r="CP33" s="17">
        <f t="shared" si="57"/>
        <v>237801.80197318838</v>
      </c>
      <c r="CQ33" s="17">
        <f t="shared" si="11"/>
        <v>73365.127976125019</v>
      </c>
      <c r="CR33" s="17">
        <f t="shared" si="12"/>
        <v>164436.67399706336</v>
      </c>
      <c r="CS33" s="17">
        <f t="shared" si="58"/>
        <v>63655.257318542572</v>
      </c>
      <c r="CT33" s="17">
        <f t="shared" si="13"/>
        <v>2319.0168641494556</v>
      </c>
      <c r="CU33" s="17">
        <f t="shared" si="14"/>
        <v>2243.0307922597362</v>
      </c>
      <c r="CV33" s="17">
        <f t="shared" si="15"/>
        <v>2318.2213475945418</v>
      </c>
      <c r="CW33" s="17">
        <f t="shared" si="16"/>
        <v>24.30910329484194</v>
      </c>
      <c r="CX33" s="17">
        <f t="shared" si="17"/>
        <v>34229.66139318543</v>
      </c>
      <c r="CY33" s="17">
        <f t="shared" si="18"/>
        <v>22521.017818058561</v>
      </c>
      <c r="CZ33" s="110">
        <f t="shared" si="59"/>
        <v>74829.534009249022</v>
      </c>
      <c r="DA33" s="17">
        <f t="shared" si="60"/>
        <v>2826.639918004877</v>
      </c>
      <c r="DB33" s="17">
        <f t="shared" si="19"/>
        <v>2682.3775936409916</v>
      </c>
      <c r="DC33" s="17">
        <f t="shared" si="20"/>
        <v>144.26232436388526</v>
      </c>
      <c r="DD33" s="17">
        <f t="shared" si="21"/>
        <v>4980.8637751168171</v>
      </c>
      <c r="DE33" s="17">
        <f t="shared" si="22"/>
        <v>1718.5292468180801</v>
      </c>
      <c r="DF33" s="17">
        <f t="shared" si="23"/>
        <v>2085.6746583164345</v>
      </c>
      <c r="DG33" s="17">
        <f t="shared" si="61"/>
        <v>63217.826410992813</v>
      </c>
      <c r="DH33" s="110">
        <f t="shared" si="62"/>
        <v>46699.474697493402</v>
      </c>
      <c r="DI33" s="17">
        <f t="shared" si="24"/>
        <v>41891.332847234778</v>
      </c>
      <c r="DJ33" s="17">
        <f t="shared" si="25"/>
        <v>4632.9352573186843</v>
      </c>
      <c r="DK33" s="17">
        <f t="shared" si="26"/>
        <v>175.20659293993864</v>
      </c>
      <c r="DL33" s="110">
        <f t="shared" si="63"/>
        <v>277630.08259655011</v>
      </c>
      <c r="DM33" s="17">
        <f t="shared" si="27"/>
        <v>147143.94377617157</v>
      </c>
      <c r="DN33" s="17">
        <f t="shared" si="28"/>
        <v>130486.13882037858</v>
      </c>
      <c r="DO33" s="17">
        <f t="shared" si="29"/>
        <v>0</v>
      </c>
      <c r="DP33" s="110">
        <f t="shared" si="64"/>
        <v>0</v>
      </c>
      <c r="DQ33" s="17">
        <f>SUMIF('20.01'!$BB:$BB,$B:$B,'20.01'!$D:$D)*1.2</f>
        <v>0</v>
      </c>
      <c r="DR33" s="17">
        <f t="shared" si="30"/>
        <v>0</v>
      </c>
      <c r="DS33" s="17">
        <f t="shared" si="31"/>
        <v>0</v>
      </c>
      <c r="DT33" s="110">
        <f t="shared" si="65"/>
        <v>6068.8200000000006</v>
      </c>
      <c r="DU33" s="17">
        <f>SUMIF('20.01'!$BD:$BD,$B:$B,'20.01'!$D:$D)*1.2</f>
        <v>6068.8200000000006</v>
      </c>
      <c r="DV33" s="17">
        <f t="shared" si="32"/>
        <v>0</v>
      </c>
      <c r="DW33" s="17">
        <f t="shared" si="33"/>
        <v>0</v>
      </c>
      <c r="DX33" s="110">
        <f t="shared" si="34"/>
        <v>1351775.8699150563</v>
      </c>
      <c r="DY33" s="110"/>
      <c r="DZ33" s="110">
        <f t="shared" si="66"/>
        <v>1351775.8699150563</v>
      </c>
      <c r="EA33" s="257"/>
      <c r="EB33" s="110">
        <f t="shared" si="35"/>
        <v>3546.2168674698792</v>
      </c>
      <c r="EC33" s="110">
        <f>SUMIF(еирц!$B:$B,$B:$B,еирц!$K:$K)</f>
        <v>622839.24</v>
      </c>
      <c r="ED33" s="110">
        <f>SUMIF(еирц!$B:$B,$B:$B,еирц!$P:$P)</f>
        <v>604336.13</v>
      </c>
      <c r="EE33" s="110">
        <f>SUMIF(еирц!$B:$B,$B:$B,еирц!$S:$S)</f>
        <v>125405.4</v>
      </c>
      <c r="EF33" s="177">
        <f t="shared" si="67"/>
        <v>-725390.41304758645</v>
      </c>
      <c r="EG33" s="181">
        <f t="shared" si="68"/>
        <v>0</v>
      </c>
      <c r="EH33" s="177">
        <f t="shared" si="69"/>
        <v>-725390.41304758645</v>
      </c>
    </row>
    <row r="34" spans="1:138" ht="12" customHeight="1" x14ac:dyDescent="0.25">
      <c r="A34" s="5">
        <f t="shared" si="70"/>
        <v>30</v>
      </c>
      <c r="B34" s="6" t="s">
        <v>108</v>
      </c>
      <c r="C34" s="7">
        <f t="shared" si="0"/>
        <v>794.16</v>
      </c>
      <c r="D34" s="8">
        <v>794.16</v>
      </c>
      <c r="E34" s="8">
        <v>0</v>
      </c>
      <c r="F34" s="8">
        <v>96</v>
      </c>
      <c r="G34" s="87">
        <f t="shared" si="1"/>
        <v>794.16</v>
      </c>
      <c r="H34" s="87">
        <f t="shared" si="2"/>
        <v>794.16</v>
      </c>
      <c r="I34" s="91">
        <v>0</v>
      </c>
      <c r="J34" s="112">
        <v>0</v>
      </c>
      <c r="K34" s="17">
        <v>0</v>
      </c>
      <c r="L34" s="112">
        <f t="shared" si="36"/>
        <v>0</v>
      </c>
      <c r="M34" s="116">
        <v>3.4064198852350476</v>
      </c>
      <c r="N34" s="120">
        <f t="shared" si="37"/>
        <v>794.16</v>
      </c>
      <c r="O34" s="116">
        <v>2.6059480247186051</v>
      </c>
      <c r="P34" s="120">
        <f t="shared" si="38"/>
        <v>794.16</v>
      </c>
      <c r="Q34" s="116">
        <v>0</v>
      </c>
      <c r="R34" s="120">
        <f t="shared" si="39"/>
        <v>0</v>
      </c>
      <c r="S34" s="5" t="s">
        <v>102</v>
      </c>
      <c r="T34" s="87">
        <v>16.23</v>
      </c>
      <c r="U34" s="88">
        <v>0</v>
      </c>
      <c r="V34" s="88">
        <v>3.25</v>
      </c>
      <c r="W34" s="88">
        <v>6.71</v>
      </c>
      <c r="X34" s="88">
        <v>4</v>
      </c>
      <c r="Y34" s="88">
        <v>2.0499999999999998</v>
      </c>
      <c r="Z34" s="88">
        <v>0</v>
      </c>
      <c r="AA34" s="88">
        <v>0</v>
      </c>
      <c r="AB34" s="88">
        <v>0.22</v>
      </c>
      <c r="AC34" s="257"/>
      <c r="AD34" s="110">
        <f t="shared" si="40"/>
        <v>55404.020184609646</v>
      </c>
      <c r="AE34" s="110">
        <f t="shared" si="41"/>
        <v>55180.931063585158</v>
      </c>
      <c r="AF34" s="16">
        <f>SUMIF('20.01'!$I:$I,$B:$B,'20.01'!$D:$D)*1.2</f>
        <v>40683.203999999998</v>
      </c>
      <c r="AG34" s="17">
        <f t="shared" si="73"/>
        <v>2953.5853371351254</v>
      </c>
      <c r="AH34" s="17">
        <f t="shared" si="43"/>
        <v>606.41977929027928</v>
      </c>
      <c r="AI34" s="16">
        <f>SUMIF('20.01'!$J:$J,$B:$B,'20.01'!$D:$D)*1.2</f>
        <v>0</v>
      </c>
      <c r="AJ34" s="17">
        <f t="shared" si="44"/>
        <v>246.43536470074793</v>
      </c>
      <c r="AK34" s="17">
        <f t="shared" si="45"/>
        <v>599.52249554037758</v>
      </c>
      <c r="AL34" s="17">
        <f t="shared" si="46"/>
        <v>10091.76408691864</v>
      </c>
      <c r="AM34" s="110">
        <f t="shared" si="47"/>
        <v>0</v>
      </c>
      <c r="AN34" s="17">
        <f>SUMIF('20.01'!$K:$K,$B:$B,'20.01'!$D:$D)*1.2</f>
        <v>0</v>
      </c>
      <c r="AO34" s="17">
        <f>SUMIF('20.01'!$L:$L,$B:$B,'20.01'!$D:$D)*1.2</f>
        <v>0</v>
      </c>
      <c r="AP34" s="17">
        <f>SUMIF('20.01'!$M:$M,$B:$B,'20.01'!$D:$D)*1.2</f>
        <v>0</v>
      </c>
      <c r="AQ34" s="110">
        <f t="shared" si="48"/>
        <v>223.08912102448897</v>
      </c>
      <c r="AR34" s="17">
        <f t="shared" si="49"/>
        <v>223.08912102448897</v>
      </c>
      <c r="AS34" s="17">
        <f>(SUMIF('20.01'!$N:$N,$B:$B,'20.01'!$D:$D)+SUMIF('20.01'!$O:$O,$B:$B,'20.01'!$D:$D))*1.2</f>
        <v>0</v>
      </c>
      <c r="AT34" s="110">
        <f>SUMIF('20.01'!$P:$P,$B:$B,'20.01'!$D:$D)*1.2</f>
        <v>0</v>
      </c>
      <c r="AU34" s="110">
        <f t="shared" si="50"/>
        <v>0</v>
      </c>
      <c r="AV34" s="17">
        <f>SUMIF('20.01'!$Q:$Q,$B:$B,'20.01'!$D:$D)*1.2</f>
        <v>0</v>
      </c>
      <c r="AW34" s="17">
        <f>SUMIF('20.01'!$R:$R,$B:$B,'20.01'!$D:$D)*1.2</f>
        <v>0</v>
      </c>
      <c r="AX34" s="110">
        <f t="shared" si="51"/>
        <v>0</v>
      </c>
      <c r="AY34" s="17">
        <f>SUMIF('20.01'!$S:$S,$B:$B,'20.01'!$D:$D)*1.2</f>
        <v>0</v>
      </c>
      <c r="AZ34" s="17">
        <f>SUMIF('20.01'!$T:$T,$B:$B,'20.01'!$D:$D)*1.2</f>
        <v>0</v>
      </c>
      <c r="BA34" s="110">
        <f t="shared" si="52"/>
        <v>0</v>
      </c>
      <c r="BB34" s="17">
        <f>SUMIF('20.01'!$U:$U,$B:$B,'20.01'!$D:$D)*1.2</f>
        <v>0</v>
      </c>
      <c r="BC34" s="17">
        <f>SUMIF('20.01'!$V:$V,$B:$B,'20.01'!$D:$D)*1.2</f>
        <v>0</v>
      </c>
      <c r="BD34" s="17">
        <f>SUMIF('20.01'!$W:$W,$B:$B,'20.01'!$D:$D)*1.2</f>
        <v>0</v>
      </c>
      <c r="BE34" s="110">
        <f>SUMIF('20.01'!$X:$X,$B:$B,'20.01'!$D:$D)*1.2</f>
        <v>0</v>
      </c>
      <c r="BF34" s="110">
        <f t="shared" si="53"/>
        <v>0</v>
      </c>
      <c r="BG34" s="17">
        <f>SUMIF('20.01'!$Y:$Y,$B:$B,'20.01'!$D:$D)*1.2</f>
        <v>0</v>
      </c>
      <c r="BH34" s="17">
        <f>SUMIF('20.01'!$Z:$Z,$B:$B,'20.01'!$D:$D)*1.2</f>
        <v>0</v>
      </c>
      <c r="BI34" s="17">
        <f>SUMIF('20.01'!$AA:$AA,$B:$B,'20.01'!$D:$D)*1.2</f>
        <v>0</v>
      </c>
      <c r="BJ34" s="17">
        <f>SUMIF('20.01'!$AB:$AB,$B:$B,'20.01'!$D:$D)*1.2</f>
        <v>0</v>
      </c>
      <c r="BK34" s="17">
        <f>SUMIF('20.01'!$AC:$AC,$B:$B,'20.01'!$D:$D)*1.2</f>
        <v>0</v>
      </c>
      <c r="BL34" s="17">
        <f>SUMIF('20.01'!$AD:$AD,$B:$B,'20.01'!$D:$D)*1.2</f>
        <v>0</v>
      </c>
      <c r="BM34" s="110">
        <f t="shared" si="54"/>
        <v>0</v>
      </c>
      <c r="BN34" s="17">
        <f>SUMIF('20.01'!$AE:$AE,$B:$B,'20.01'!$D:$D)*1.2</f>
        <v>0</v>
      </c>
      <c r="BO34" s="17">
        <f>SUMIF('20.01'!$AF:$AF,$B:$B,'20.01'!$D:$D)*1.2</f>
        <v>0</v>
      </c>
      <c r="BP34" s="110">
        <f>SUMIF('20.01'!$AG:$AG,$B:$B,'20.01'!$D:$D)*1.2</f>
        <v>0</v>
      </c>
      <c r="BQ34" s="110">
        <f>SUMIF('20.01'!$AH:$AH,$B:$B,'20.01'!$D:$D)*1.2</f>
        <v>0</v>
      </c>
      <c r="BR34" s="110">
        <f>SUMIF('20.01'!$AI:$AI,$B:$B,'20.01'!$D:$D)*1.2</f>
        <v>0</v>
      </c>
      <c r="BS34" s="110">
        <f t="shared" si="55"/>
        <v>0</v>
      </c>
      <c r="BT34" s="17">
        <f>SUMIF('20.01'!$AJ:$AJ,$B:$B,'20.01'!$D:$D)*1.2</f>
        <v>0</v>
      </c>
      <c r="BU34" s="17">
        <f>SUMIF('20.01'!$AK:$AK,$B:$B,'20.01'!$D:$D)*1.2</f>
        <v>0</v>
      </c>
      <c r="BV34" s="110">
        <f>SUMIF('20.01'!$AL:$AL,$B:$B,'20.01'!$D:$D)*1.2</f>
        <v>0</v>
      </c>
      <c r="BW34" s="110">
        <f>SUMIF('20.01'!$AM:$AM,$B:$B,'20.01'!$D:$D)*1.2</f>
        <v>0</v>
      </c>
      <c r="BX34" s="110">
        <f>SUMIF('20.01'!$AN:$AN,$B:$B,'20.01'!$D:$D)*1.2</f>
        <v>0</v>
      </c>
      <c r="BY34" s="110">
        <f t="shared" si="3"/>
        <v>163235.93656440542</v>
      </c>
      <c r="BZ34" s="17">
        <f t="shared" si="72"/>
        <v>110696.03411622925</v>
      </c>
      <c r="CA34" s="17">
        <f t="shared" si="5"/>
        <v>4925.6033334835629</v>
      </c>
      <c r="CB34" s="17">
        <f t="shared" si="6"/>
        <v>327.42888255166287</v>
      </c>
      <c r="CC34" s="17">
        <f>SUMIF('20.01'!$AO:$AO,$B:$B,'20.01'!$D:$D)*1.2</f>
        <v>0</v>
      </c>
      <c r="CD34" s="17">
        <f t="shared" si="7"/>
        <v>5140.3009026055506</v>
      </c>
      <c r="CE34" s="17">
        <f>SUMIF('20.01'!$AQ:$AQ,$B:$B,'20.01'!$D:$D)*1.2</f>
        <v>0</v>
      </c>
      <c r="CF34" s="17">
        <f t="shared" si="8"/>
        <v>467.6861244302811</v>
      </c>
      <c r="CG34" s="17">
        <f>SUMIF('20.01'!$AR:$AR,$B:$B,'20.01'!$D:$D)*1.2</f>
        <v>41130.78</v>
      </c>
      <c r="CH34" s="17">
        <f t="shared" si="9"/>
        <v>275.43319141788993</v>
      </c>
      <c r="CI34" s="17">
        <f>SUMIF('20.01'!$AT:$AT,$B:$B,'20.01'!$D:$D)*1.2</f>
        <v>0</v>
      </c>
      <c r="CJ34" s="17">
        <f>SUMIF('20.01'!$AU:$AU,$B:$B,'20.01'!$D:$D)*1.2</f>
        <v>0</v>
      </c>
      <c r="CK34" s="17">
        <f>SUMIF('20.01'!$AV:$AV,$B:$B,'20.01'!$D:$D)*1.2</f>
        <v>0</v>
      </c>
      <c r="CL34" s="17">
        <f t="shared" si="10"/>
        <v>272.6700136872135</v>
      </c>
      <c r="CM34" s="17">
        <f>SUMIF('20.01'!$AW:$AW,$B:$B,'20.01'!$D:$D)*1.2</f>
        <v>0</v>
      </c>
      <c r="CN34" s="17">
        <f>SUMIF('20.01'!$AX:$AX,$B:$B,'20.01'!$D:$D)*1.2</f>
        <v>0</v>
      </c>
      <c r="CO34" s="110">
        <f t="shared" si="56"/>
        <v>91470.270204837434</v>
      </c>
      <c r="CP34" s="17">
        <f t="shared" si="57"/>
        <v>72155.533968221935</v>
      </c>
      <c r="CQ34" s="17">
        <f t="shared" si="11"/>
        <v>22260.975063431568</v>
      </c>
      <c r="CR34" s="17">
        <f t="shared" si="12"/>
        <v>49894.55890479037</v>
      </c>
      <c r="CS34" s="17">
        <f t="shared" si="58"/>
        <v>19314.736236615503</v>
      </c>
      <c r="CT34" s="17">
        <f t="shared" si="13"/>
        <v>703.65278448513027</v>
      </c>
      <c r="CU34" s="17">
        <f t="shared" si="14"/>
        <v>680.59654375921446</v>
      </c>
      <c r="CV34" s="17">
        <f t="shared" si="15"/>
        <v>703.41140312752873</v>
      </c>
      <c r="CW34" s="17">
        <f t="shared" si="16"/>
        <v>7.3760430491849132</v>
      </c>
      <c r="CX34" s="17">
        <f t="shared" si="17"/>
        <v>10386.210175376204</v>
      </c>
      <c r="CY34" s="17">
        <f t="shared" si="18"/>
        <v>6833.4892868182415</v>
      </c>
      <c r="CZ34" s="110">
        <f t="shared" si="59"/>
        <v>22705.315679817064</v>
      </c>
      <c r="DA34" s="17">
        <f t="shared" si="60"/>
        <v>857.67942432382711</v>
      </c>
      <c r="DB34" s="17">
        <f t="shared" si="19"/>
        <v>813.90631175865576</v>
      </c>
      <c r="DC34" s="17">
        <f t="shared" si="20"/>
        <v>43.773112565171402</v>
      </c>
      <c r="DD34" s="17">
        <f t="shared" si="21"/>
        <v>1511.3295287688729</v>
      </c>
      <c r="DE34" s="17">
        <f t="shared" si="22"/>
        <v>521.44851054638229</v>
      </c>
      <c r="DF34" s="17">
        <f t="shared" si="23"/>
        <v>632.8504132688571</v>
      </c>
      <c r="DG34" s="17">
        <f t="shared" si="61"/>
        <v>19182.007802909124</v>
      </c>
      <c r="DH34" s="110">
        <f t="shared" si="62"/>
        <v>14169.890660513262</v>
      </c>
      <c r="DI34" s="17">
        <f t="shared" si="24"/>
        <v>12710.969661085841</v>
      </c>
      <c r="DJ34" s="17">
        <f t="shared" si="25"/>
        <v>1405.7585542170198</v>
      </c>
      <c r="DK34" s="17">
        <f t="shared" si="26"/>
        <v>53.162445210400662</v>
      </c>
      <c r="DL34" s="110">
        <f t="shared" si="63"/>
        <v>84240.517477888003</v>
      </c>
      <c r="DM34" s="17">
        <f t="shared" si="27"/>
        <v>44647.474263280637</v>
      </c>
      <c r="DN34" s="17">
        <f t="shared" si="28"/>
        <v>39593.043214607358</v>
      </c>
      <c r="DO34" s="17">
        <f t="shared" si="29"/>
        <v>0</v>
      </c>
      <c r="DP34" s="110">
        <f t="shared" si="64"/>
        <v>0</v>
      </c>
      <c r="DQ34" s="17">
        <f>SUMIF('20.01'!$BB:$BB,$B:$B,'20.01'!$D:$D)*1.2</f>
        <v>0</v>
      </c>
      <c r="DR34" s="17">
        <f t="shared" si="30"/>
        <v>0</v>
      </c>
      <c r="DS34" s="17">
        <f t="shared" si="31"/>
        <v>0</v>
      </c>
      <c r="DT34" s="110">
        <f t="shared" si="65"/>
        <v>3793.0079999999998</v>
      </c>
      <c r="DU34" s="17">
        <f>SUMIF('20.01'!$BD:$BD,$B:$B,'20.01'!$D:$D)*1.2</f>
        <v>3793.0079999999998</v>
      </c>
      <c r="DV34" s="17">
        <f t="shared" si="32"/>
        <v>0</v>
      </c>
      <c r="DW34" s="17">
        <f t="shared" si="33"/>
        <v>0</v>
      </c>
      <c r="DX34" s="110">
        <f t="shared" si="34"/>
        <v>435018.95877207076</v>
      </c>
      <c r="DY34" s="110"/>
      <c r="DZ34" s="110">
        <f t="shared" si="66"/>
        <v>435018.95877207076</v>
      </c>
      <c r="EA34" s="257"/>
      <c r="EB34" s="110">
        <f t="shared" si="35"/>
        <v>0</v>
      </c>
      <c r="EC34" s="110">
        <f>SUMIF(еирц!$B:$B,$B:$B,еирц!$K:$K)</f>
        <v>215143.21</v>
      </c>
      <c r="ED34" s="110">
        <f>SUMIF(еирц!$B:$B,$B:$B,еирц!$P:$P)</f>
        <v>143016.79</v>
      </c>
      <c r="EE34" s="110">
        <f>SUMIF(еирц!$B:$B,$B:$B,еирц!$S:$S)</f>
        <v>97231.22</v>
      </c>
      <c r="EF34" s="177">
        <f t="shared" si="67"/>
        <v>-219875.74877207077</v>
      </c>
      <c r="EG34" s="181">
        <f t="shared" si="68"/>
        <v>0</v>
      </c>
      <c r="EH34" s="177">
        <f t="shared" si="69"/>
        <v>-219875.74877207077</v>
      </c>
    </row>
    <row r="35" spans="1:138" ht="12" customHeight="1" x14ac:dyDescent="0.25">
      <c r="A35" s="5">
        <f t="shared" si="70"/>
        <v>31</v>
      </c>
      <c r="B35" s="6" t="s">
        <v>109</v>
      </c>
      <c r="C35" s="7">
        <f t="shared" si="0"/>
        <v>3900.4</v>
      </c>
      <c r="D35" s="8">
        <v>3900.4</v>
      </c>
      <c r="E35" s="8">
        <v>0</v>
      </c>
      <c r="F35" s="8">
        <v>628</v>
      </c>
      <c r="G35" s="91">
        <f t="shared" si="1"/>
        <v>3900.4</v>
      </c>
      <c r="H35" s="87">
        <f t="shared" si="2"/>
        <v>0</v>
      </c>
      <c r="I35" s="91">
        <v>2</v>
      </c>
      <c r="J35" s="112">
        <v>1.0515198664571217E-3</v>
      </c>
      <c r="K35" s="17">
        <v>0</v>
      </c>
      <c r="L35" s="112">
        <f t="shared" si="36"/>
        <v>0</v>
      </c>
      <c r="M35" s="116">
        <v>3.4064179393318832</v>
      </c>
      <c r="N35" s="120">
        <f t="shared" si="37"/>
        <v>3900.4</v>
      </c>
      <c r="O35" s="116">
        <v>3.0862338768718804</v>
      </c>
      <c r="P35" s="120">
        <f t="shared" si="38"/>
        <v>3900.4</v>
      </c>
      <c r="Q35" s="116">
        <v>1.6009259234608986</v>
      </c>
      <c r="R35" s="120">
        <f t="shared" si="39"/>
        <v>3900.4</v>
      </c>
      <c r="S35" s="5" t="s">
        <v>102</v>
      </c>
      <c r="T35" s="87">
        <v>36.54</v>
      </c>
      <c r="U35" s="88">
        <v>4.03</v>
      </c>
      <c r="V35" s="88">
        <v>7</v>
      </c>
      <c r="W35" s="88">
        <v>11</v>
      </c>
      <c r="X35" s="88">
        <v>5.4</v>
      </c>
      <c r="Y35" s="88">
        <v>2.67</v>
      </c>
      <c r="Z35" s="88">
        <v>1.54</v>
      </c>
      <c r="AA35" s="88">
        <v>4.9000000000000004</v>
      </c>
      <c r="AB35" s="88">
        <v>0</v>
      </c>
      <c r="AC35" s="257"/>
      <c r="AD35" s="110">
        <f t="shared" si="40"/>
        <v>285538.49890527286</v>
      </c>
      <c r="AE35" s="110">
        <f t="shared" si="41"/>
        <v>144725.1375091261</v>
      </c>
      <c r="AF35" s="16">
        <f>SUMIF('20.01'!$I:$I,$B:$B,'20.01'!$D:$D)*1.2</f>
        <v>73521.683999999994</v>
      </c>
      <c r="AG35" s="17">
        <f t="shared" si="73"/>
        <v>14506.099840034558</v>
      </c>
      <c r="AH35" s="17">
        <f t="shared" si="43"/>
        <v>2978.3415270774221</v>
      </c>
      <c r="AI35" s="16">
        <f>SUMIF('20.01'!$J:$J,$B:$B,'20.01'!$D:$D)*1.2</f>
        <v>0</v>
      </c>
      <c r="AJ35" s="17">
        <f t="shared" si="44"/>
        <v>1210.3310371698365</v>
      </c>
      <c r="AK35" s="17">
        <f t="shared" si="45"/>
        <v>2944.4665326957902</v>
      </c>
      <c r="AL35" s="17">
        <f t="shared" si="46"/>
        <v>49564.214572148514</v>
      </c>
      <c r="AM35" s="110">
        <f t="shared" si="47"/>
        <v>0</v>
      </c>
      <c r="AN35" s="17">
        <f>SUMIF('20.01'!$K:$K,$B:$B,'20.01'!$D:$D)*1.2</f>
        <v>0</v>
      </c>
      <c r="AO35" s="17">
        <f>SUMIF('20.01'!$L:$L,$B:$B,'20.01'!$D:$D)*1.2</f>
        <v>0</v>
      </c>
      <c r="AP35" s="17">
        <f>SUMIF('20.01'!$M:$M,$B:$B,'20.01'!$D:$D)*1.2</f>
        <v>0</v>
      </c>
      <c r="AQ35" s="110">
        <f t="shared" si="48"/>
        <v>1095.6693961467674</v>
      </c>
      <c r="AR35" s="17">
        <f t="shared" si="49"/>
        <v>1095.6693961467674</v>
      </c>
      <c r="AS35" s="17">
        <f>(SUMIF('20.01'!$N:$N,$B:$B,'20.01'!$D:$D)+SUMIF('20.01'!$O:$O,$B:$B,'20.01'!$D:$D))*1.2</f>
        <v>0</v>
      </c>
      <c r="AT35" s="110">
        <f>SUMIF('20.01'!$P:$P,$B:$B,'20.01'!$D:$D)*1.2</f>
        <v>0</v>
      </c>
      <c r="AU35" s="110">
        <f t="shared" si="50"/>
        <v>0</v>
      </c>
      <c r="AV35" s="17">
        <f>SUMIF('20.01'!$Q:$Q,$B:$B,'20.01'!$D:$D)*1.2</f>
        <v>0</v>
      </c>
      <c r="AW35" s="17">
        <f>SUMIF('20.01'!$R:$R,$B:$B,'20.01'!$D:$D)*1.2</f>
        <v>0</v>
      </c>
      <c r="AX35" s="110">
        <f t="shared" si="51"/>
        <v>89962.284</v>
      </c>
      <c r="AY35" s="17">
        <f>SUMIF('20.01'!$S:$S,$B:$B,'20.01'!$D:$D)*1.2</f>
        <v>89962.284</v>
      </c>
      <c r="AZ35" s="17">
        <f>SUMIF('20.01'!$T:$T,$B:$B,'20.01'!$D:$D)*1.2</f>
        <v>0</v>
      </c>
      <c r="BA35" s="110">
        <f t="shared" si="52"/>
        <v>0</v>
      </c>
      <c r="BB35" s="17">
        <f>SUMIF('20.01'!$U:$U,$B:$B,'20.01'!$D:$D)*1.2</f>
        <v>0</v>
      </c>
      <c r="BC35" s="17">
        <f>SUMIF('20.01'!$V:$V,$B:$B,'20.01'!$D:$D)*1.2</f>
        <v>0</v>
      </c>
      <c r="BD35" s="17">
        <f>SUMIF('20.01'!$W:$W,$B:$B,'20.01'!$D:$D)*1.2</f>
        <v>0</v>
      </c>
      <c r="BE35" s="110">
        <f>SUMIF('20.01'!$X:$X,$B:$B,'20.01'!$D:$D)*1.2</f>
        <v>0</v>
      </c>
      <c r="BF35" s="110">
        <f t="shared" si="53"/>
        <v>49755.407999999996</v>
      </c>
      <c r="BG35" s="17">
        <f>SUMIF('20.01'!$Y:$Y,$B:$B,'20.01'!$D:$D)*1.2</f>
        <v>49755.407999999996</v>
      </c>
      <c r="BH35" s="17">
        <f>SUMIF('20.01'!$Z:$Z,$B:$B,'20.01'!$D:$D)*1.2</f>
        <v>0</v>
      </c>
      <c r="BI35" s="17">
        <f>SUMIF('20.01'!$AA:$AA,$B:$B,'20.01'!$D:$D)*1.2</f>
        <v>0</v>
      </c>
      <c r="BJ35" s="17">
        <f>SUMIF('20.01'!$AB:$AB,$B:$B,'20.01'!$D:$D)*1.2</f>
        <v>0</v>
      </c>
      <c r="BK35" s="17">
        <f>SUMIF('20.01'!$AC:$AC,$B:$B,'20.01'!$D:$D)*1.2</f>
        <v>0</v>
      </c>
      <c r="BL35" s="17">
        <f>SUMIF('20.01'!$AD:$AD,$B:$B,'20.01'!$D:$D)*1.2</f>
        <v>0</v>
      </c>
      <c r="BM35" s="110">
        <f t="shared" si="54"/>
        <v>0</v>
      </c>
      <c r="BN35" s="17">
        <f>SUMIF('20.01'!$AE:$AE,$B:$B,'20.01'!$D:$D)*1.2</f>
        <v>0</v>
      </c>
      <c r="BO35" s="17">
        <f>SUMIF('20.01'!$AF:$AF,$B:$B,'20.01'!$D:$D)*1.2</f>
        <v>0</v>
      </c>
      <c r="BP35" s="110">
        <f>SUMIF('20.01'!$AG:$AG,$B:$B,'20.01'!$D:$D)*1.2</f>
        <v>0</v>
      </c>
      <c r="BQ35" s="110">
        <f>SUMIF('20.01'!$AH:$AH,$B:$B,'20.01'!$D:$D)*1.2</f>
        <v>0</v>
      </c>
      <c r="BR35" s="110">
        <f>SUMIF('20.01'!$AI:$AI,$B:$B,'20.01'!$D:$D)*1.2</f>
        <v>0</v>
      </c>
      <c r="BS35" s="110">
        <f t="shared" si="55"/>
        <v>0</v>
      </c>
      <c r="BT35" s="17">
        <f>SUMIF('20.01'!$AJ:$AJ,$B:$B,'20.01'!$D:$D)*1.2</f>
        <v>0</v>
      </c>
      <c r="BU35" s="17">
        <f>SUMIF('20.01'!$AK:$AK,$B:$B,'20.01'!$D:$D)*1.2</f>
        <v>0</v>
      </c>
      <c r="BV35" s="110">
        <f>SUMIF('20.01'!$AL:$AL,$B:$B,'20.01'!$D:$D)*1.2</f>
        <v>0</v>
      </c>
      <c r="BW35" s="110">
        <f>SUMIF('20.01'!$AM:$AM,$B:$B,'20.01'!$D:$D)*1.2</f>
        <v>0</v>
      </c>
      <c r="BX35" s="110">
        <f>SUMIF('20.01'!$AN:$AN,$B:$B,'20.01'!$D:$D)*1.2</f>
        <v>0</v>
      </c>
      <c r="BY35" s="110">
        <f t="shared" si="3"/>
        <v>599701.51186638302</v>
      </c>
      <c r="BZ35" s="17">
        <f t="shared" si="72"/>
        <v>543667.28551795683</v>
      </c>
      <c r="CA35" s="17">
        <f t="shared" si="5"/>
        <v>24191.376097913882</v>
      </c>
      <c r="CB35" s="17">
        <f t="shared" si="6"/>
        <v>1608.1187840038606</v>
      </c>
      <c r="CC35" s="17">
        <f>SUMIF('20.01'!$AO:$AO,$B:$B,'20.01'!$D:$D)*1.2</f>
        <v>0</v>
      </c>
      <c r="CD35" s="17">
        <f t="shared" si="7"/>
        <v>25245.831621490244</v>
      </c>
      <c r="CE35" s="17">
        <f>SUMIF('20.01'!$AQ:$AQ,$B:$B,'20.01'!$D:$D)*1.2</f>
        <v>0</v>
      </c>
      <c r="CF35" s="17">
        <f t="shared" si="8"/>
        <v>2296.9715922835053</v>
      </c>
      <c r="CG35" s="17">
        <f>SUMIF('20.01'!$AR:$AR,$B:$B,'20.01'!$D:$D)*1.2</f>
        <v>0</v>
      </c>
      <c r="CH35" s="17">
        <f t="shared" si="9"/>
        <v>1352.7495968146698</v>
      </c>
      <c r="CI35" s="17">
        <f>SUMIF('20.01'!$AT:$AT,$B:$B,'20.01'!$D:$D)*1.2</f>
        <v>0</v>
      </c>
      <c r="CJ35" s="17">
        <f>SUMIF('20.01'!$AU:$AU,$B:$B,'20.01'!$D:$D)*1.2</f>
        <v>0</v>
      </c>
      <c r="CK35" s="17">
        <f>SUMIF('20.01'!$AV:$AV,$B:$B,'20.01'!$D:$D)*1.2</f>
        <v>0</v>
      </c>
      <c r="CL35" s="17">
        <f t="shared" si="10"/>
        <v>1339.1786559202271</v>
      </c>
      <c r="CM35" s="17">
        <f>SUMIF('20.01'!$AW:$AW,$B:$B,'20.01'!$D:$D)*1.2</f>
        <v>0</v>
      </c>
      <c r="CN35" s="17">
        <f>SUMIF('20.01'!$AX:$AX,$B:$B,'20.01'!$D:$D)*1.2</f>
        <v>0</v>
      </c>
      <c r="CO35" s="110">
        <f t="shared" si="56"/>
        <v>449242.7746385464</v>
      </c>
      <c r="CP35" s="17">
        <f t="shared" si="57"/>
        <v>354381.28927376459</v>
      </c>
      <c r="CQ35" s="17">
        <f t="shared" si="11"/>
        <v>109331.50390023232</v>
      </c>
      <c r="CR35" s="17">
        <f t="shared" si="12"/>
        <v>245049.78537353224</v>
      </c>
      <c r="CS35" s="17">
        <f t="shared" si="58"/>
        <v>94861.485364781809</v>
      </c>
      <c r="CT35" s="17">
        <f t="shared" si="13"/>
        <v>3455.8871267827667</v>
      </c>
      <c r="CU35" s="17">
        <f t="shared" si="14"/>
        <v>3342.649792583913</v>
      </c>
      <c r="CV35" s="17">
        <f t="shared" si="15"/>
        <v>3454.7016177578994</v>
      </c>
      <c r="CW35" s="17">
        <f t="shared" si="16"/>
        <v>36.226350243075494</v>
      </c>
      <c r="CX35" s="17">
        <f t="shared" si="17"/>
        <v>51010.343215519984</v>
      </c>
      <c r="CY35" s="17">
        <f t="shared" si="18"/>
        <v>33561.677261894169</v>
      </c>
      <c r="CZ35" s="110">
        <f t="shared" si="59"/>
        <v>111513.8174644385</v>
      </c>
      <c r="DA35" s="17">
        <f t="shared" si="60"/>
        <v>4212.3663073343605</v>
      </c>
      <c r="DB35" s="17">
        <f t="shared" si="19"/>
        <v>3997.3811050461636</v>
      </c>
      <c r="DC35" s="17">
        <f t="shared" si="20"/>
        <v>214.98520228819703</v>
      </c>
      <c r="DD35" s="17">
        <f t="shared" si="21"/>
        <v>7422.6726276948129</v>
      </c>
      <c r="DE35" s="17">
        <f t="shared" si="22"/>
        <v>2561.0176419551594</v>
      </c>
      <c r="DF35" s="17">
        <f t="shared" si="23"/>
        <v>3108.1516972824747</v>
      </c>
      <c r="DG35" s="17">
        <f t="shared" si="61"/>
        <v>94209.609190171686</v>
      </c>
      <c r="DH35" s="110">
        <f t="shared" si="62"/>
        <v>69593.333248043113</v>
      </c>
      <c r="DI35" s="17">
        <f t="shared" si="24"/>
        <v>62428.057401656108</v>
      </c>
      <c r="DJ35" s="17">
        <f t="shared" si="25"/>
        <v>6904.1763182079994</v>
      </c>
      <c r="DK35" s="17">
        <f t="shared" si="26"/>
        <v>261.09952817901524</v>
      </c>
      <c r="DL35" s="110">
        <f t="shared" si="63"/>
        <v>526622.50228754675</v>
      </c>
      <c r="DM35" s="17">
        <f t="shared" si="27"/>
        <v>219279.50112886546</v>
      </c>
      <c r="DN35" s="17">
        <f t="shared" si="28"/>
        <v>194455.40666144676</v>
      </c>
      <c r="DO35" s="17">
        <f t="shared" si="29"/>
        <v>112887.5944972346</v>
      </c>
      <c r="DP35" s="110">
        <f t="shared" si="64"/>
        <v>35600.383848375983</v>
      </c>
      <c r="DQ35" s="17">
        <f>SUMIF('20.01'!$BB:$BB,$B:$B,'20.01'!$D:$D)*1.2</f>
        <v>6559.4879999999994</v>
      </c>
      <c r="DR35" s="17">
        <f t="shared" si="30"/>
        <v>28827.197539513079</v>
      </c>
      <c r="DS35" s="17">
        <f t="shared" si="31"/>
        <v>213.69830886290418</v>
      </c>
      <c r="DT35" s="110">
        <f t="shared" si="65"/>
        <v>0</v>
      </c>
      <c r="DU35" s="17">
        <f>SUMIF('20.01'!$BD:$BD,$B:$B,'20.01'!$D:$D)*1.2</f>
        <v>0</v>
      </c>
      <c r="DV35" s="17">
        <f t="shared" si="32"/>
        <v>0</v>
      </c>
      <c r="DW35" s="17">
        <f t="shared" si="33"/>
        <v>0</v>
      </c>
      <c r="DX35" s="110">
        <f t="shared" si="34"/>
        <v>2077812.8222586068</v>
      </c>
      <c r="DY35" s="110"/>
      <c r="DZ35" s="110">
        <f t="shared" si="66"/>
        <v>2077812.8222586068</v>
      </c>
      <c r="EA35" s="257"/>
      <c r="EB35" s="110">
        <f t="shared" si="35"/>
        <v>0</v>
      </c>
      <c r="EC35" s="110">
        <f>SUMIF(еирц!$B:$B,$B:$B,еирц!$K:$K)</f>
        <v>1710247.2000000002</v>
      </c>
      <c r="ED35" s="110">
        <f>SUMIF(еирц!$B:$B,$B:$B,еирц!$P:$P)</f>
        <v>1683063.35</v>
      </c>
      <c r="EE35" s="110">
        <f>SUMIF(еирц!$B:$B,$B:$B,еирц!$S:$S)</f>
        <v>280350.2</v>
      </c>
      <c r="EF35" s="177">
        <f t="shared" si="67"/>
        <v>-367565.6222586066</v>
      </c>
      <c r="EG35" s="181">
        <f t="shared" si="68"/>
        <v>0</v>
      </c>
      <c r="EH35" s="177">
        <f t="shared" si="69"/>
        <v>-367565.6222586066</v>
      </c>
    </row>
    <row r="36" spans="1:138" ht="12" customHeight="1" x14ac:dyDescent="0.25">
      <c r="A36" s="5">
        <f t="shared" si="70"/>
        <v>32</v>
      </c>
      <c r="B36" s="6" t="s">
        <v>110</v>
      </c>
      <c r="C36" s="7">
        <f t="shared" si="0"/>
        <v>330.3</v>
      </c>
      <c r="D36" s="8">
        <v>330.3</v>
      </c>
      <c r="E36" s="8">
        <v>0</v>
      </c>
      <c r="F36" s="8">
        <v>148.6</v>
      </c>
      <c r="G36" s="91">
        <f t="shared" si="1"/>
        <v>330.3</v>
      </c>
      <c r="H36" s="87">
        <f t="shared" si="2"/>
        <v>0</v>
      </c>
      <c r="I36" s="91">
        <v>0</v>
      </c>
      <c r="J36" s="112">
        <v>0</v>
      </c>
      <c r="K36" s="17">
        <v>0</v>
      </c>
      <c r="L36" s="112">
        <f t="shared" si="36"/>
        <v>0</v>
      </c>
      <c r="M36" s="116">
        <v>3.406426400242204</v>
      </c>
      <c r="N36" s="120">
        <f t="shared" si="37"/>
        <v>330.3</v>
      </c>
      <c r="O36" s="116">
        <v>3.0862205267938241</v>
      </c>
      <c r="P36" s="120">
        <f t="shared" si="38"/>
        <v>330.3</v>
      </c>
      <c r="Q36" s="116">
        <v>0</v>
      </c>
      <c r="R36" s="120">
        <f t="shared" si="39"/>
        <v>0</v>
      </c>
      <c r="S36" s="5" t="s">
        <v>102</v>
      </c>
      <c r="T36" s="87">
        <v>16.02</v>
      </c>
      <c r="U36" s="88">
        <v>0</v>
      </c>
      <c r="V36" s="88">
        <v>3.25</v>
      </c>
      <c r="W36" s="88">
        <v>6.72</v>
      </c>
      <c r="X36" s="88">
        <v>4</v>
      </c>
      <c r="Y36" s="88">
        <v>2.0499999999999998</v>
      </c>
      <c r="Z36" s="88">
        <v>0</v>
      </c>
      <c r="AA36" s="88">
        <v>0</v>
      </c>
      <c r="AB36" s="88">
        <v>0</v>
      </c>
      <c r="AC36" s="257"/>
      <c r="AD36" s="110">
        <f t="shared" si="40"/>
        <v>21864.379608966166</v>
      </c>
      <c r="AE36" s="110">
        <f t="shared" si="41"/>
        <v>6292.6503557748838</v>
      </c>
      <c r="AF36" s="16">
        <f>SUMIF('20.01'!$I:$I,$B:$B,'20.01'!$D:$D)*1.2</f>
        <v>262.88399999999996</v>
      </c>
      <c r="AG36" s="17">
        <f t="shared" si="73"/>
        <v>1228.4290783415584</v>
      </c>
      <c r="AH36" s="17">
        <f t="shared" si="43"/>
        <v>252.21674863954277</v>
      </c>
      <c r="AI36" s="16">
        <f>SUMIF('20.01'!$J:$J,$B:$B,'20.01'!$D:$D)*1.2</f>
        <v>0</v>
      </c>
      <c r="AJ36" s="17">
        <f t="shared" si="44"/>
        <v>102.49521627966284</v>
      </c>
      <c r="AK36" s="17">
        <f t="shared" si="45"/>
        <v>249.34809141355234</v>
      </c>
      <c r="AL36" s="17">
        <f t="shared" si="46"/>
        <v>4197.2772211005677</v>
      </c>
      <c r="AM36" s="110">
        <f t="shared" si="47"/>
        <v>0</v>
      </c>
      <c r="AN36" s="17">
        <f>SUMIF('20.01'!$K:$K,$B:$B,'20.01'!$D:$D)*1.2</f>
        <v>0</v>
      </c>
      <c r="AO36" s="17">
        <f>SUMIF('20.01'!$L:$L,$B:$B,'20.01'!$D:$D)*1.2</f>
        <v>0</v>
      </c>
      <c r="AP36" s="17">
        <f>SUMIF('20.01'!$M:$M,$B:$B,'20.01'!$D:$D)*1.2</f>
        <v>0</v>
      </c>
      <c r="AQ36" s="110">
        <f t="shared" si="48"/>
        <v>92.785253191282251</v>
      </c>
      <c r="AR36" s="17">
        <f t="shared" si="49"/>
        <v>92.785253191282251</v>
      </c>
      <c r="AS36" s="17">
        <f>(SUMIF('20.01'!$N:$N,$B:$B,'20.01'!$D:$D)+SUMIF('20.01'!$O:$O,$B:$B,'20.01'!$D:$D))*1.2</f>
        <v>0</v>
      </c>
      <c r="AT36" s="110">
        <f>SUMIF('20.01'!$P:$P,$B:$B,'20.01'!$D:$D)*1.2</f>
        <v>0</v>
      </c>
      <c r="AU36" s="110">
        <f t="shared" si="50"/>
        <v>0</v>
      </c>
      <c r="AV36" s="17">
        <f>SUMIF('20.01'!$Q:$Q,$B:$B,'20.01'!$D:$D)*1.2</f>
        <v>0</v>
      </c>
      <c r="AW36" s="17">
        <f>SUMIF('20.01'!$R:$R,$B:$B,'20.01'!$D:$D)*1.2</f>
        <v>0</v>
      </c>
      <c r="AX36" s="110">
        <f t="shared" si="51"/>
        <v>15478.944</v>
      </c>
      <c r="AY36" s="17">
        <f>SUMIF('20.01'!$S:$S,$B:$B,'20.01'!$D:$D)*1.2</f>
        <v>15478.944</v>
      </c>
      <c r="AZ36" s="17">
        <f>SUMIF('20.01'!$T:$T,$B:$B,'20.01'!$D:$D)*1.2</f>
        <v>0</v>
      </c>
      <c r="BA36" s="110">
        <f t="shared" si="52"/>
        <v>0</v>
      </c>
      <c r="BB36" s="17">
        <f>SUMIF('20.01'!$U:$U,$B:$B,'20.01'!$D:$D)*1.2</f>
        <v>0</v>
      </c>
      <c r="BC36" s="17">
        <f>SUMIF('20.01'!$V:$V,$B:$B,'20.01'!$D:$D)*1.2</f>
        <v>0</v>
      </c>
      <c r="BD36" s="17">
        <f>SUMIF('20.01'!$W:$W,$B:$B,'20.01'!$D:$D)*1.2</f>
        <v>0</v>
      </c>
      <c r="BE36" s="110">
        <f>SUMIF('20.01'!$X:$X,$B:$B,'20.01'!$D:$D)*1.2</f>
        <v>0</v>
      </c>
      <c r="BF36" s="110">
        <f t="shared" si="53"/>
        <v>0</v>
      </c>
      <c r="BG36" s="17">
        <f>SUMIF('20.01'!$Y:$Y,$B:$B,'20.01'!$D:$D)*1.2</f>
        <v>0</v>
      </c>
      <c r="BH36" s="17">
        <f>SUMIF('20.01'!$Z:$Z,$B:$B,'20.01'!$D:$D)*1.2</f>
        <v>0</v>
      </c>
      <c r="BI36" s="17">
        <f>SUMIF('20.01'!$AA:$AA,$B:$B,'20.01'!$D:$D)*1.2</f>
        <v>0</v>
      </c>
      <c r="BJ36" s="17">
        <f>SUMIF('20.01'!$AB:$AB,$B:$B,'20.01'!$D:$D)*1.2</f>
        <v>0</v>
      </c>
      <c r="BK36" s="17">
        <f>SUMIF('20.01'!$AC:$AC,$B:$B,'20.01'!$D:$D)*1.2</f>
        <v>0</v>
      </c>
      <c r="BL36" s="17">
        <f>SUMIF('20.01'!$AD:$AD,$B:$B,'20.01'!$D:$D)*1.2</f>
        <v>0</v>
      </c>
      <c r="BM36" s="110">
        <f t="shared" si="54"/>
        <v>0</v>
      </c>
      <c r="BN36" s="17">
        <f>SUMIF('20.01'!$AE:$AE,$B:$B,'20.01'!$D:$D)*1.2</f>
        <v>0</v>
      </c>
      <c r="BO36" s="17">
        <f>SUMIF('20.01'!$AF:$AF,$B:$B,'20.01'!$D:$D)*1.2</f>
        <v>0</v>
      </c>
      <c r="BP36" s="110">
        <f>SUMIF('20.01'!$AG:$AG,$B:$B,'20.01'!$D:$D)*1.2</f>
        <v>0</v>
      </c>
      <c r="BQ36" s="110">
        <f>SUMIF('20.01'!$AH:$AH,$B:$B,'20.01'!$D:$D)*1.2</f>
        <v>0</v>
      </c>
      <c r="BR36" s="110">
        <f>SUMIF('20.01'!$AI:$AI,$B:$B,'20.01'!$D:$D)*1.2</f>
        <v>0</v>
      </c>
      <c r="BS36" s="110">
        <f t="shared" si="55"/>
        <v>0</v>
      </c>
      <c r="BT36" s="17">
        <f>SUMIF('20.01'!$AJ:$AJ,$B:$B,'20.01'!$D:$D)*1.2</f>
        <v>0</v>
      </c>
      <c r="BU36" s="17">
        <f>SUMIF('20.01'!$AK:$AK,$B:$B,'20.01'!$D:$D)*1.2</f>
        <v>0</v>
      </c>
      <c r="BV36" s="110">
        <f>SUMIF('20.01'!$AL:$AL,$B:$B,'20.01'!$D:$D)*1.2</f>
        <v>0</v>
      </c>
      <c r="BW36" s="110">
        <f>SUMIF('20.01'!$AM:$AM,$B:$B,'20.01'!$D:$D)*1.2</f>
        <v>0</v>
      </c>
      <c r="BX36" s="110">
        <f>SUMIF('20.01'!$AN:$AN,$B:$B,'20.01'!$D:$D)*1.2</f>
        <v>0</v>
      </c>
      <c r="BY36" s="110">
        <f t="shared" si="3"/>
        <v>50784.896259221205</v>
      </c>
      <c r="BZ36" s="17">
        <f t="shared" si="72"/>
        <v>46039.715005276674</v>
      </c>
      <c r="CA36" s="17">
        <f t="shared" si="5"/>
        <v>2048.6133537947276</v>
      </c>
      <c r="CB36" s="17">
        <f t="shared" si="6"/>
        <v>136.18132354539924</v>
      </c>
      <c r="CC36" s="17">
        <f>SUMIF('20.01'!$AO:$AO,$B:$B,'20.01'!$D:$D)*1.2</f>
        <v>0</v>
      </c>
      <c r="CD36" s="17">
        <f t="shared" si="7"/>
        <v>2137.9084669721638</v>
      </c>
      <c r="CE36" s="17">
        <f>SUMIF('20.01'!$AQ:$AQ,$B:$B,'20.01'!$D:$D)*1.2</f>
        <v>0</v>
      </c>
      <c r="CF36" s="17">
        <f t="shared" si="8"/>
        <v>194.51587450806116</v>
      </c>
      <c r="CG36" s="17">
        <f>SUMIF('20.01'!$AR:$AR,$B:$B,'20.01'!$D:$D)*1.2</f>
        <v>0</v>
      </c>
      <c r="CH36" s="17">
        <f t="shared" si="9"/>
        <v>114.55573577783956</v>
      </c>
      <c r="CI36" s="17">
        <f>SUMIF('20.01'!$AT:$AT,$B:$B,'20.01'!$D:$D)*1.2</f>
        <v>0</v>
      </c>
      <c r="CJ36" s="17">
        <f>SUMIF('20.01'!$AU:$AU,$B:$B,'20.01'!$D:$D)*1.2</f>
        <v>0</v>
      </c>
      <c r="CK36" s="17">
        <f>SUMIF('20.01'!$AV:$AV,$B:$B,'20.01'!$D:$D)*1.2</f>
        <v>0</v>
      </c>
      <c r="CL36" s="17">
        <f t="shared" si="10"/>
        <v>113.40649934633655</v>
      </c>
      <c r="CM36" s="17">
        <f>SUMIF('20.01'!$AW:$AW,$B:$B,'20.01'!$D:$D)*1.2</f>
        <v>0</v>
      </c>
      <c r="CN36" s="17">
        <f>SUMIF('20.01'!$AX:$AX,$B:$B,'20.01'!$D:$D)*1.2</f>
        <v>0</v>
      </c>
      <c r="CO36" s="110">
        <f t="shared" si="56"/>
        <v>38043.505400244045</v>
      </c>
      <c r="CP36" s="17">
        <f t="shared" si="57"/>
        <v>30010.291212984419</v>
      </c>
      <c r="CQ36" s="17">
        <f t="shared" si="11"/>
        <v>9258.5877700355686</v>
      </c>
      <c r="CR36" s="17">
        <f t="shared" si="12"/>
        <v>20751.703442948852</v>
      </c>
      <c r="CS36" s="17">
        <f t="shared" si="58"/>
        <v>8033.2141872596221</v>
      </c>
      <c r="CT36" s="17">
        <f t="shared" si="13"/>
        <v>292.65703978472669</v>
      </c>
      <c r="CU36" s="17">
        <f t="shared" si="14"/>
        <v>283.06769215733425</v>
      </c>
      <c r="CV36" s="17">
        <f t="shared" si="15"/>
        <v>292.55664658635891</v>
      </c>
      <c r="CW36" s="17">
        <f t="shared" si="16"/>
        <v>3.0677785574012502</v>
      </c>
      <c r="CX36" s="17">
        <f t="shared" si="17"/>
        <v>4319.740632777728</v>
      </c>
      <c r="CY36" s="17">
        <f t="shared" si="18"/>
        <v>2842.1243973960732</v>
      </c>
      <c r="CZ36" s="110">
        <f t="shared" si="59"/>
        <v>9443.3939874125826</v>
      </c>
      <c r="DA36" s="17">
        <f t="shared" si="60"/>
        <v>356.71843690712217</v>
      </c>
      <c r="DB36" s="17">
        <f t="shared" si="19"/>
        <v>338.51271125954975</v>
      </c>
      <c r="DC36" s="17">
        <f t="shared" si="20"/>
        <v>18.205725647572422</v>
      </c>
      <c r="DD36" s="17">
        <f t="shared" si="21"/>
        <v>628.57880446302852</v>
      </c>
      <c r="DE36" s="17">
        <f t="shared" si="22"/>
        <v>216.87625041990287</v>
      </c>
      <c r="DF36" s="17">
        <f t="shared" si="23"/>
        <v>263.20954404994399</v>
      </c>
      <c r="DG36" s="17">
        <f t="shared" si="61"/>
        <v>7978.0109515725844</v>
      </c>
      <c r="DH36" s="110">
        <f t="shared" si="62"/>
        <v>5893.4155399006886</v>
      </c>
      <c r="DI36" s="17">
        <f t="shared" si="24"/>
        <v>5286.6340272195193</v>
      </c>
      <c r="DJ36" s="17">
        <f t="shared" si="25"/>
        <v>584.67065888219213</v>
      </c>
      <c r="DK36" s="17">
        <f t="shared" si="26"/>
        <v>22.110853798976706</v>
      </c>
      <c r="DL36" s="110">
        <f t="shared" si="63"/>
        <v>35036.570619203194</v>
      </c>
      <c r="DM36" s="17">
        <f t="shared" si="27"/>
        <v>18569.382428177691</v>
      </c>
      <c r="DN36" s="17">
        <f t="shared" si="28"/>
        <v>16467.1881910255</v>
      </c>
      <c r="DO36" s="17">
        <f t="shared" si="29"/>
        <v>0</v>
      </c>
      <c r="DP36" s="110">
        <f t="shared" si="64"/>
        <v>0</v>
      </c>
      <c r="DQ36" s="17">
        <f>SUMIF('20.01'!$BB:$BB,$B:$B,'20.01'!$D:$D)*1.2</f>
        <v>0</v>
      </c>
      <c r="DR36" s="17">
        <f t="shared" si="30"/>
        <v>0</v>
      </c>
      <c r="DS36" s="17">
        <f t="shared" si="31"/>
        <v>0</v>
      </c>
      <c r="DT36" s="110">
        <f t="shared" si="65"/>
        <v>0</v>
      </c>
      <c r="DU36" s="17">
        <f>SUMIF('20.01'!$BD:$BD,$B:$B,'20.01'!$D:$D)*1.2</f>
        <v>0</v>
      </c>
      <c r="DV36" s="17">
        <f t="shared" si="32"/>
        <v>0</v>
      </c>
      <c r="DW36" s="17">
        <f t="shared" si="33"/>
        <v>0</v>
      </c>
      <c r="DX36" s="110">
        <f t="shared" si="34"/>
        <v>161066.16141494788</v>
      </c>
      <c r="DY36" s="110"/>
      <c r="DZ36" s="110">
        <f t="shared" si="66"/>
        <v>161066.16141494788</v>
      </c>
      <c r="EA36" s="257"/>
      <c r="EB36" s="110">
        <f t="shared" si="35"/>
        <v>0</v>
      </c>
      <c r="EC36" s="110">
        <f>SUMIF(еирц!$B:$B,$B:$B,еирц!$K:$K)</f>
        <v>63496.680000000008</v>
      </c>
      <c r="ED36" s="110">
        <f>SUMIF(еирц!$B:$B,$B:$B,еирц!$P:$P)</f>
        <v>55959.979999999996</v>
      </c>
      <c r="EE36" s="110">
        <f>SUMIF(еирц!$B:$B,$B:$B,еирц!$S:$S)</f>
        <v>29173.69</v>
      </c>
      <c r="EF36" s="177">
        <f t="shared" si="67"/>
        <v>-97569.481414947877</v>
      </c>
      <c r="EG36" s="181">
        <f t="shared" si="68"/>
        <v>0</v>
      </c>
      <c r="EH36" s="177">
        <f t="shared" si="69"/>
        <v>-97569.481414947877</v>
      </c>
    </row>
    <row r="37" spans="1:138" ht="12" customHeight="1" x14ac:dyDescent="0.25">
      <c r="A37" s="5">
        <f t="shared" si="70"/>
        <v>33</v>
      </c>
      <c r="B37" s="6" t="s">
        <v>113</v>
      </c>
      <c r="C37" s="7">
        <f t="shared" si="0"/>
        <v>331.2</v>
      </c>
      <c r="D37" s="8">
        <v>331.2</v>
      </c>
      <c r="E37" s="8">
        <v>0</v>
      </c>
      <c r="F37" s="8">
        <v>41.4</v>
      </c>
      <c r="G37" s="91">
        <f t="shared" si="1"/>
        <v>331.2</v>
      </c>
      <c r="H37" s="87">
        <f t="shared" si="2"/>
        <v>0</v>
      </c>
      <c r="I37" s="91">
        <v>0</v>
      </c>
      <c r="J37" s="112">
        <v>0</v>
      </c>
      <c r="K37" s="17">
        <v>0</v>
      </c>
      <c r="L37" s="112">
        <f t="shared" si="36"/>
        <v>0</v>
      </c>
      <c r="M37" s="116">
        <v>3.4064334328358212</v>
      </c>
      <c r="N37" s="120">
        <f t="shared" si="37"/>
        <v>331.2</v>
      </c>
      <c r="O37" s="116">
        <v>3.0862487562189056</v>
      </c>
      <c r="P37" s="120">
        <f t="shared" si="38"/>
        <v>331.2</v>
      </c>
      <c r="Q37" s="116">
        <v>0</v>
      </c>
      <c r="R37" s="120">
        <f t="shared" si="39"/>
        <v>0</v>
      </c>
      <c r="S37" s="5" t="s">
        <v>102</v>
      </c>
      <c r="T37" s="87">
        <v>16.02</v>
      </c>
      <c r="U37" s="88">
        <v>0</v>
      </c>
      <c r="V37" s="88">
        <v>3.25</v>
      </c>
      <c r="W37" s="88">
        <v>6.72</v>
      </c>
      <c r="X37" s="88">
        <v>4</v>
      </c>
      <c r="Y37" s="88">
        <v>2.0499999999999998</v>
      </c>
      <c r="Z37" s="88">
        <v>0</v>
      </c>
      <c r="AA37" s="88">
        <v>0</v>
      </c>
      <c r="AB37" s="88">
        <v>0</v>
      </c>
      <c r="AC37" s="257"/>
      <c r="AD37" s="110">
        <f t="shared" si="40"/>
        <v>6402.1303108979537</v>
      </c>
      <c r="AE37" s="110">
        <f t="shared" si="41"/>
        <v>6309.0922368532893</v>
      </c>
      <c r="AF37" s="16">
        <f>SUMIF('20.01'!$I:$I,$B:$B,'20.01'!$D:$D)*1.2</f>
        <v>262.89600000000002</v>
      </c>
      <c r="AG37" s="17">
        <f t="shared" si="73"/>
        <v>1231.7762965386744</v>
      </c>
      <c r="AH37" s="17">
        <f t="shared" si="43"/>
        <v>252.90398773665322</v>
      </c>
      <c r="AI37" s="16">
        <f>SUMIF('20.01'!$J:$J,$B:$B,'20.01'!$D:$D)*1.2</f>
        <v>0</v>
      </c>
      <c r="AJ37" s="17">
        <f t="shared" si="44"/>
        <v>102.77449479813603</v>
      </c>
      <c r="AK37" s="17">
        <f t="shared" si="45"/>
        <v>250.02751400595983</v>
      </c>
      <c r="AL37" s="17">
        <f t="shared" si="46"/>
        <v>4208.713943773866</v>
      </c>
      <c r="AM37" s="110">
        <f t="shared" si="47"/>
        <v>0</v>
      </c>
      <c r="AN37" s="17">
        <f>SUMIF('20.01'!$K:$K,$B:$B,'20.01'!$D:$D)*1.2</f>
        <v>0</v>
      </c>
      <c r="AO37" s="17">
        <f>SUMIF('20.01'!$L:$L,$B:$B,'20.01'!$D:$D)*1.2</f>
        <v>0</v>
      </c>
      <c r="AP37" s="17">
        <f>SUMIF('20.01'!$M:$M,$B:$B,'20.01'!$D:$D)*1.2</f>
        <v>0</v>
      </c>
      <c r="AQ37" s="110">
        <f t="shared" si="48"/>
        <v>93.038074044664498</v>
      </c>
      <c r="AR37" s="17">
        <f t="shared" si="49"/>
        <v>93.038074044664498</v>
      </c>
      <c r="AS37" s="17">
        <f>(SUMIF('20.01'!$N:$N,$B:$B,'20.01'!$D:$D)+SUMIF('20.01'!$O:$O,$B:$B,'20.01'!$D:$D))*1.2</f>
        <v>0</v>
      </c>
      <c r="AT37" s="110">
        <f>SUMIF('20.01'!$P:$P,$B:$B,'20.01'!$D:$D)*1.2</f>
        <v>0</v>
      </c>
      <c r="AU37" s="110">
        <f t="shared" si="50"/>
        <v>0</v>
      </c>
      <c r="AV37" s="17">
        <f>SUMIF('20.01'!$Q:$Q,$B:$B,'20.01'!$D:$D)*1.2</f>
        <v>0</v>
      </c>
      <c r="AW37" s="17">
        <f>SUMIF('20.01'!$R:$R,$B:$B,'20.01'!$D:$D)*1.2</f>
        <v>0</v>
      </c>
      <c r="AX37" s="110">
        <f t="shared" si="51"/>
        <v>0</v>
      </c>
      <c r="AY37" s="17">
        <f>SUMIF('20.01'!$S:$S,$B:$B,'20.01'!$D:$D)*1.2</f>
        <v>0</v>
      </c>
      <c r="AZ37" s="17">
        <f>SUMIF('20.01'!$T:$T,$B:$B,'20.01'!$D:$D)*1.2</f>
        <v>0</v>
      </c>
      <c r="BA37" s="110">
        <f t="shared" si="52"/>
        <v>0</v>
      </c>
      <c r="BB37" s="17">
        <f>SUMIF('20.01'!$U:$U,$B:$B,'20.01'!$D:$D)*1.2</f>
        <v>0</v>
      </c>
      <c r="BC37" s="17">
        <f>SUMIF('20.01'!$V:$V,$B:$B,'20.01'!$D:$D)*1.2</f>
        <v>0</v>
      </c>
      <c r="BD37" s="17">
        <f>SUMIF('20.01'!$W:$W,$B:$B,'20.01'!$D:$D)*1.2</f>
        <v>0</v>
      </c>
      <c r="BE37" s="110">
        <f>SUMIF('20.01'!$X:$X,$B:$B,'20.01'!$D:$D)*1.2</f>
        <v>0</v>
      </c>
      <c r="BF37" s="110">
        <f t="shared" si="53"/>
        <v>0</v>
      </c>
      <c r="BG37" s="17">
        <f>SUMIF('20.01'!$Y:$Y,$B:$B,'20.01'!$D:$D)*1.2</f>
        <v>0</v>
      </c>
      <c r="BH37" s="17">
        <f>SUMIF('20.01'!$Z:$Z,$B:$B,'20.01'!$D:$D)*1.2</f>
        <v>0</v>
      </c>
      <c r="BI37" s="17">
        <f>SUMIF('20.01'!$AA:$AA,$B:$B,'20.01'!$D:$D)*1.2</f>
        <v>0</v>
      </c>
      <c r="BJ37" s="17">
        <f>SUMIF('20.01'!$AB:$AB,$B:$B,'20.01'!$D:$D)*1.2</f>
        <v>0</v>
      </c>
      <c r="BK37" s="17">
        <f>SUMIF('20.01'!$AC:$AC,$B:$B,'20.01'!$D:$D)*1.2</f>
        <v>0</v>
      </c>
      <c r="BL37" s="17">
        <f>SUMIF('20.01'!$AD:$AD,$B:$B,'20.01'!$D:$D)*1.2</f>
        <v>0</v>
      </c>
      <c r="BM37" s="110">
        <f t="shared" si="54"/>
        <v>0</v>
      </c>
      <c r="BN37" s="17">
        <f>SUMIF('20.01'!$AE:$AE,$B:$B,'20.01'!$D:$D)*1.2</f>
        <v>0</v>
      </c>
      <c r="BO37" s="17">
        <f>SUMIF('20.01'!$AF:$AF,$B:$B,'20.01'!$D:$D)*1.2</f>
        <v>0</v>
      </c>
      <c r="BP37" s="110">
        <f>SUMIF('20.01'!$AG:$AG,$B:$B,'20.01'!$D:$D)*1.2</f>
        <v>0</v>
      </c>
      <c r="BQ37" s="110">
        <f>SUMIF('20.01'!$AH:$AH,$B:$B,'20.01'!$D:$D)*1.2</f>
        <v>0</v>
      </c>
      <c r="BR37" s="110">
        <f>SUMIF('20.01'!$AI:$AI,$B:$B,'20.01'!$D:$D)*1.2</f>
        <v>0</v>
      </c>
      <c r="BS37" s="110">
        <f t="shared" si="55"/>
        <v>0</v>
      </c>
      <c r="BT37" s="17">
        <f>SUMIF('20.01'!$AJ:$AJ,$B:$B,'20.01'!$D:$D)*1.2</f>
        <v>0</v>
      </c>
      <c r="BU37" s="17">
        <f>SUMIF('20.01'!$AK:$AK,$B:$B,'20.01'!$D:$D)*1.2</f>
        <v>0</v>
      </c>
      <c r="BV37" s="110">
        <f>SUMIF('20.01'!$AL:$AL,$B:$B,'20.01'!$D:$D)*1.2</f>
        <v>0</v>
      </c>
      <c r="BW37" s="110">
        <f>SUMIF('20.01'!$AM:$AM,$B:$B,'20.01'!$D:$D)*1.2</f>
        <v>0</v>
      </c>
      <c r="BX37" s="110">
        <f>SUMIF('20.01'!$AN:$AN,$B:$B,'20.01'!$D:$D)*1.2</f>
        <v>0</v>
      </c>
      <c r="BY37" s="110">
        <f t="shared" si="3"/>
        <v>50923.274723142778</v>
      </c>
      <c r="BZ37" s="17">
        <f t="shared" si="72"/>
        <v>46165.163820004949</v>
      </c>
      <c r="CA37" s="17">
        <f t="shared" si="5"/>
        <v>2054.1954065298628</v>
      </c>
      <c r="CB37" s="17">
        <f t="shared" si="6"/>
        <v>136.55238982208968</v>
      </c>
      <c r="CC37" s="17">
        <f>SUMIF('20.01'!$AO:$AO,$B:$B,'20.01'!$D:$D)*1.2</f>
        <v>0</v>
      </c>
      <c r="CD37" s="17">
        <f t="shared" si="7"/>
        <v>2143.7338306423876</v>
      </c>
      <c r="CE37" s="17">
        <f>SUMIF('20.01'!$AQ:$AQ,$B:$B,'20.01'!$D:$D)*1.2</f>
        <v>0</v>
      </c>
      <c r="CF37" s="17">
        <f t="shared" si="8"/>
        <v>195.04589051489512</v>
      </c>
      <c r="CG37" s="17">
        <f>SUMIF('20.01'!$AR:$AR,$B:$B,'20.01'!$D:$D)*1.2</f>
        <v>0</v>
      </c>
      <c r="CH37" s="17">
        <f t="shared" si="9"/>
        <v>114.86787674726145</v>
      </c>
      <c r="CI37" s="17">
        <f>SUMIF('20.01'!$AT:$AT,$B:$B,'20.01'!$D:$D)*1.2</f>
        <v>0</v>
      </c>
      <c r="CJ37" s="17">
        <f>SUMIF('20.01'!$AU:$AU,$B:$B,'20.01'!$D:$D)*1.2</f>
        <v>0</v>
      </c>
      <c r="CK37" s="17">
        <f>SUMIF('20.01'!$AV:$AV,$B:$B,'20.01'!$D:$D)*1.2</f>
        <v>0</v>
      </c>
      <c r="CL37" s="17">
        <f t="shared" si="10"/>
        <v>113.71550888134017</v>
      </c>
      <c r="CM37" s="17">
        <f>SUMIF('20.01'!$AW:$AW,$B:$B,'20.01'!$D:$D)*1.2</f>
        <v>0</v>
      </c>
      <c r="CN37" s="17">
        <f>SUMIF('20.01'!$AX:$AX,$B:$B,'20.01'!$D:$D)*1.2</f>
        <v>0</v>
      </c>
      <c r="CO37" s="110">
        <f t="shared" si="56"/>
        <v>38147.166177901381</v>
      </c>
      <c r="CP37" s="17">
        <f t="shared" si="57"/>
        <v>30092.063123646498</v>
      </c>
      <c r="CQ37" s="17">
        <f t="shared" si="11"/>
        <v>9283.8155296269451</v>
      </c>
      <c r="CR37" s="17">
        <f t="shared" si="12"/>
        <v>20808.247594019555</v>
      </c>
      <c r="CS37" s="17">
        <f t="shared" si="58"/>
        <v>8055.1030542548797</v>
      </c>
      <c r="CT37" s="17">
        <f t="shared" si="13"/>
        <v>293.45447041084304</v>
      </c>
      <c r="CU37" s="17">
        <f t="shared" si="14"/>
        <v>283.83899377084197</v>
      </c>
      <c r="CV37" s="17">
        <f t="shared" si="15"/>
        <v>293.35380366152606</v>
      </c>
      <c r="CW37" s="17">
        <f t="shared" si="16"/>
        <v>3.0761376270399454</v>
      </c>
      <c r="CX37" s="17">
        <f t="shared" si="17"/>
        <v>4331.5110432212641</v>
      </c>
      <c r="CY37" s="17">
        <f t="shared" si="18"/>
        <v>2849.8686055633643</v>
      </c>
      <c r="CZ37" s="110">
        <f t="shared" si="59"/>
        <v>9469.1253061793723</v>
      </c>
      <c r="DA37" s="17">
        <f t="shared" si="60"/>
        <v>357.69042174883094</v>
      </c>
      <c r="DB37" s="17">
        <f t="shared" si="19"/>
        <v>339.43508921938502</v>
      </c>
      <c r="DC37" s="17">
        <f t="shared" si="20"/>
        <v>18.255332529445916</v>
      </c>
      <c r="DD37" s="17">
        <f t="shared" si="21"/>
        <v>630.29155324903138</v>
      </c>
      <c r="DE37" s="17">
        <f t="shared" si="22"/>
        <v>217.46719388153747</v>
      </c>
      <c r="DF37" s="17">
        <f t="shared" si="23"/>
        <v>263.92673626806368</v>
      </c>
      <c r="DG37" s="17">
        <f t="shared" si="61"/>
        <v>7999.7494010319097</v>
      </c>
      <c r="DH37" s="110">
        <f t="shared" si="62"/>
        <v>5909.4738928704437</v>
      </c>
      <c r="DI37" s="17">
        <f t="shared" si="24"/>
        <v>5301.0390245688905</v>
      </c>
      <c r="DJ37" s="17">
        <f t="shared" si="25"/>
        <v>586.26376694454132</v>
      </c>
      <c r="DK37" s="17">
        <f t="shared" si="26"/>
        <v>22.171101357012063</v>
      </c>
      <c r="DL37" s="110">
        <f t="shared" si="63"/>
        <v>35132.038114078401</v>
      </c>
      <c r="DM37" s="17">
        <f t="shared" si="27"/>
        <v>18619.980200461552</v>
      </c>
      <c r="DN37" s="17">
        <f t="shared" si="28"/>
        <v>16512.057913616849</v>
      </c>
      <c r="DO37" s="17">
        <f t="shared" si="29"/>
        <v>0</v>
      </c>
      <c r="DP37" s="110">
        <f t="shared" si="64"/>
        <v>0</v>
      </c>
      <c r="DQ37" s="17">
        <f>SUMIF('20.01'!$BB:$BB,$B:$B,'20.01'!$D:$D)*1.2</f>
        <v>0</v>
      </c>
      <c r="DR37" s="17">
        <f t="shared" si="30"/>
        <v>0</v>
      </c>
      <c r="DS37" s="17">
        <f t="shared" si="31"/>
        <v>0</v>
      </c>
      <c r="DT37" s="110">
        <f t="shared" si="65"/>
        <v>0</v>
      </c>
      <c r="DU37" s="17">
        <f>SUMIF('20.01'!$BD:$BD,$B:$B,'20.01'!$D:$D)*1.2</f>
        <v>0</v>
      </c>
      <c r="DV37" s="17">
        <f t="shared" si="32"/>
        <v>0</v>
      </c>
      <c r="DW37" s="17">
        <f t="shared" si="33"/>
        <v>0</v>
      </c>
      <c r="DX37" s="110">
        <f t="shared" si="34"/>
        <v>145983.20852507034</v>
      </c>
      <c r="DY37" s="110"/>
      <c r="DZ37" s="110">
        <f t="shared" si="66"/>
        <v>145983.20852507034</v>
      </c>
      <c r="EA37" s="257"/>
      <c r="EB37" s="110">
        <f t="shared" si="35"/>
        <v>0</v>
      </c>
      <c r="EC37" s="110">
        <f>SUMIF(еирц!$B:$B,$B:$B,еирц!$K:$K)</f>
        <v>63669.84</v>
      </c>
      <c r="ED37" s="110">
        <f>SUMIF(еирц!$B:$B,$B:$B,еирц!$P:$P)</f>
        <v>60995.45</v>
      </c>
      <c r="EE37" s="110">
        <f>SUMIF(еирц!$B:$B,$B:$B,еирц!$S:$S)</f>
        <v>3476.9900000000002</v>
      </c>
      <c r="EF37" s="177">
        <f t="shared" si="67"/>
        <v>-82313.368525070342</v>
      </c>
      <c r="EG37" s="181">
        <f t="shared" si="68"/>
        <v>0</v>
      </c>
      <c r="EH37" s="177">
        <f t="shared" si="69"/>
        <v>-82313.368525070342</v>
      </c>
    </row>
    <row r="38" spans="1:138" ht="12" customHeight="1" x14ac:dyDescent="0.25">
      <c r="A38" s="5">
        <f t="shared" si="70"/>
        <v>34</v>
      </c>
      <c r="B38" s="6" t="s">
        <v>114</v>
      </c>
      <c r="C38" s="7">
        <f t="shared" ref="C38" si="74">SUM(D38:E38)</f>
        <v>169.6</v>
      </c>
      <c r="D38" s="8">
        <v>169.6</v>
      </c>
      <c r="E38" s="8">
        <v>0</v>
      </c>
      <c r="F38" s="8">
        <v>11.9</v>
      </c>
      <c r="G38" s="91">
        <f t="shared" si="1"/>
        <v>169.6</v>
      </c>
      <c r="H38" s="87">
        <f t="shared" si="2"/>
        <v>0</v>
      </c>
      <c r="I38" s="91">
        <v>0</v>
      </c>
      <c r="J38" s="112">
        <v>0</v>
      </c>
      <c r="K38" s="17">
        <v>0</v>
      </c>
      <c r="L38" s="112">
        <f t="shared" si="36"/>
        <v>0</v>
      </c>
      <c r="M38" s="116">
        <v>3.4064533018867929</v>
      </c>
      <c r="N38" s="120">
        <f t="shared" si="37"/>
        <v>169.6</v>
      </c>
      <c r="O38" s="116">
        <v>3.0862481132075472</v>
      </c>
      <c r="P38" s="120">
        <f t="shared" si="38"/>
        <v>169.6</v>
      </c>
      <c r="Q38" s="116">
        <v>0</v>
      </c>
      <c r="R38" s="120">
        <f t="shared" si="39"/>
        <v>0</v>
      </c>
      <c r="S38" s="5" t="s">
        <v>102</v>
      </c>
      <c r="T38" s="87">
        <v>16.02</v>
      </c>
      <c r="U38" s="88">
        <v>0</v>
      </c>
      <c r="V38" s="88">
        <v>3.25</v>
      </c>
      <c r="W38" s="88">
        <v>6.72</v>
      </c>
      <c r="X38" s="88">
        <v>4</v>
      </c>
      <c r="Y38" s="88">
        <v>2.0499999999999998</v>
      </c>
      <c r="Z38" s="88">
        <v>0</v>
      </c>
      <c r="AA38" s="88">
        <v>0</v>
      </c>
      <c r="AB38" s="88">
        <v>0</v>
      </c>
      <c r="AC38" s="257"/>
      <c r="AD38" s="110">
        <f t="shared" si="40"/>
        <v>3323.7384973680346</v>
      </c>
      <c r="AE38" s="110">
        <f t="shared" si="41"/>
        <v>3276.0958121084477</v>
      </c>
      <c r="AF38" s="16">
        <f>SUMIF('20.01'!$I:$I,$B:$B,'20.01'!$D:$D)*1.2</f>
        <v>179.97599999999997</v>
      </c>
      <c r="AG38" s="17">
        <f t="shared" si="73"/>
        <v>630.76467358985258</v>
      </c>
      <c r="AH38" s="17">
        <f t="shared" si="43"/>
        <v>129.50638985548426</v>
      </c>
      <c r="AI38" s="16">
        <f>SUMIF('20.01'!$J:$J,$B:$B,'20.01'!$D:$D)*1.2</f>
        <v>0</v>
      </c>
      <c r="AJ38" s="17">
        <f t="shared" si="44"/>
        <v>52.628485258948885</v>
      </c>
      <c r="AK38" s="17">
        <f t="shared" si="45"/>
        <v>128.03341296923546</v>
      </c>
      <c r="AL38" s="17">
        <f t="shared" si="46"/>
        <v>2155.1868504349263</v>
      </c>
      <c r="AM38" s="110">
        <f t="shared" si="47"/>
        <v>0</v>
      </c>
      <c r="AN38" s="17">
        <f>SUMIF('20.01'!$K:$K,$B:$B,'20.01'!$D:$D)*1.2</f>
        <v>0</v>
      </c>
      <c r="AO38" s="17">
        <f>SUMIF('20.01'!$L:$L,$B:$B,'20.01'!$D:$D)*1.2</f>
        <v>0</v>
      </c>
      <c r="AP38" s="17">
        <f>SUMIF('20.01'!$M:$M,$B:$B,'20.01'!$D:$D)*1.2</f>
        <v>0</v>
      </c>
      <c r="AQ38" s="110">
        <f t="shared" si="48"/>
        <v>47.642685259586649</v>
      </c>
      <c r="AR38" s="17">
        <f t="shared" si="49"/>
        <v>47.642685259586649</v>
      </c>
      <c r="AS38" s="17">
        <f>(SUMIF('20.01'!$N:$N,$B:$B,'20.01'!$D:$D)+SUMIF('20.01'!$O:$O,$B:$B,'20.01'!$D:$D))*1.2</f>
        <v>0</v>
      </c>
      <c r="AT38" s="110">
        <f>SUMIF('20.01'!$P:$P,$B:$B,'20.01'!$D:$D)*1.2</f>
        <v>0</v>
      </c>
      <c r="AU38" s="110">
        <f t="shared" si="50"/>
        <v>0</v>
      </c>
      <c r="AV38" s="17">
        <f>SUMIF('20.01'!$Q:$Q,$B:$B,'20.01'!$D:$D)*1.2</f>
        <v>0</v>
      </c>
      <c r="AW38" s="17">
        <f>SUMIF('20.01'!$R:$R,$B:$B,'20.01'!$D:$D)*1.2</f>
        <v>0</v>
      </c>
      <c r="AX38" s="110">
        <f t="shared" si="51"/>
        <v>0</v>
      </c>
      <c r="AY38" s="17">
        <f>SUMIF('20.01'!$S:$S,$B:$B,'20.01'!$D:$D)*1.2</f>
        <v>0</v>
      </c>
      <c r="AZ38" s="17">
        <f>SUMIF('20.01'!$T:$T,$B:$B,'20.01'!$D:$D)*1.2</f>
        <v>0</v>
      </c>
      <c r="BA38" s="110">
        <f t="shared" si="52"/>
        <v>0</v>
      </c>
      <c r="BB38" s="17">
        <f>SUMIF('20.01'!$U:$U,$B:$B,'20.01'!$D:$D)*1.2</f>
        <v>0</v>
      </c>
      <c r="BC38" s="17">
        <f>SUMIF('20.01'!$V:$V,$B:$B,'20.01'!$D:$D)*1.2</f>
        <v>0</v>
      </c>
      <c r="BD38" s="17">
        <f>SUMIF('20.01'!$W:$W,$B:$B,'20.01'!$D:$D)*1.2</f>
        <v>0</v>
      </c>
      <c r="BE38" s="110">
        <f>SUMIF('20.01'!$X:$X,$B:$B,'20.01'!$D:$D)*1.2</f>
        <v>0</v>
      </c>
      <c r="BF38" s="110">
        <f t="shared" si="53"/>
        <v>0</v>
      </c>
      <c r="BG38" s="17">
        <f>SUMIF('20.01'!$Y:$Y,$B:$B,'20.01'!$D:$D)*1.2</f>
        <v>0</v>
      </c>
      <c r="BH38" s="17">
        <f>SUMIF('20.01'!$Z:$Z,$B:$B,'20.01'!$D:$D)*1.2</f>
        <v>0</v>
      </c>
      <c r="BI38" s="17">
        <f>SUMIF('20.01'!$AA:$AA,$B:$B,'20.01'!$D:$D)*1.2</f>
        <v>0</v>
      </c>
      <c r="BJ38" s="17">
        <f>SUMIF('20.01'!$AB:$AB,$B:$B,'20.01'!$D:$D)*1.2</f>
        <v>0</v>
      </c>
      <c r="BK38" s="17">
        <f>SUMIF('20.01'!$AC:$AC,$B:$B,'20.01'!$D:$D)*1.2</f>
        <v>0</v>
      </c>
      <c r="BL38" s="17">
        <f>SUMIF('20.01'!$AD:$AD,$B:$B,'20.01'!$D:$D)*1.2</f>
        <v>0</v>
      </c>
      <c r="BM38" s="110">
        <f t="shared" si="54"/>
        <v>0</v>
      </c>
      <c r="BN38" s="17">
        <f>SUMIF('20.01'!$AE:$AE,$B:$B,'20.01'!$D:$D)*1.2</f>
        <v>0</v>
      </c>
      <c r="BO38" s="17">
        <f>SUMIF('20.01'!$AF:$AF,$B:$B,'20.01'!$D:$D)*1.2</f>
        <v>0</v>
      </c>
      <c r="BP38" s="110">
        <f>SUMIF('20.01'!$AG:$AG,$B:$B,'20.01'!$D:$D)*1.2</f>
        <v>0</v>
      </c>
      <c r="BQ38" s="110">
        <f>SUMIF('20.01'!$AH:$AH,$B:$B,'20.01'!$D:$D)*1.2</f>
        <v>0</v>
      </c>
      <c r="BR38" s="110">
        <f>SUMIF('20.01'!$AI:$AI,$B:$B,'20.01'!$D:$D)*1.2</f>
        <v>0</v>
      </c>
      <c r="BS38" s="110">
        <f t="shared" si="55"/>
        <v>0</v>
      </c>
      <c r="BT38" s="17">
        <f>SUMIF('20.01'!$AJ:$AJ,$B:$B,'20.01'!$D:$D)*1.2</f>
        <v>0</v>
      </c>
      <c r="BU38" s="17">
        <f>SUMIF('20.01'!$AK:$AK,$B:$B,'20.01'!$D:$D)*1.2</f>
        <v>0</v>
      </c>
      <c r="BV38" s="110">
        <f>SUMIF('20.01'!$AL:$AL,$B:$B,'20.01'!$D:$D)*1.2</f>
        <v>0</v>
      </c>
      <c r="BW38" s="110">
        <f>SUMIF('20.01'!$AM:$AM,$B:$B,'20.01'!$D:$D)*1.2</f>
        <v>0</v>
      </c>
      <c r="BX38" s="110">
        <f>SUMIF('20.01'!$AN:$AN,$B:$B,'20.01'!$D:$D)*1.2</f>
        <v>0</v>
      </c>
      <c r="BY38" s="110">
        <f t="shared" si="3"/>
        <v>26076.652756778429</v>
      </c>
      <c r="BZ38" s="17">
        <f t="shared" si="72"/>
        <v>23640.132197683692</v>
      </c>
      <c r="CA38" s="17">
        <f t="shared" si="5"/>
        <v>1051.9068265322003</v>
      </c>
      <c r="CB38" s="17">
        <f t="shared" si="6"/>
        <v>69.925378363002451</v>
      </c>
      <c r="CC38" s="17">
        <f>SUMIF('20.01'!$AO:$AO,$B:$B,'20.01'!$D:$D)*1.2</f>
        <v>0</v>
      </c>
      <c r="CD38" s="17">
        <f t="shared" si="7"/>
        <v>1097.7574205221888</v>
      </c>
      <c r="CE38" s="17">
        <f>SUMIF('20.01'!$AQ:$AQ,$B:$B,'20.01'!$D:$D)*1.2</f>
        <v>0</v>
      </c>
      <c r="CF38" s="17">
        <f t="shared" si="8"/>
        <v>99.878571954487356</v>
      </c>
      <c r="CG38" s="17">
        <f>SUMIF('20.01'!$AR:$AR,$B:$B,'20.01'!$D:$D)*1.2</f>
        <v>0</v>
      </c>
      <c r="CH38" s="17">
        <f t="shared" si="9"/>
        <v>58.821231571061418</v>
      </c>
      <c r="CI38" s="17">
        <f>SUMIF('20.01'!$AT:$AT,$B:$B,'20.01'!$D:$D)*1.2</f>
        <v>0</v>
      </c>
      <c r="CJ38" s="17">
        <f>SUMIF('20.01'!$AU:$AU,$B:$B,'20.01'!$D:$D)*1.2</f>
        <v>0</v>
      </c>
      <c r="CK38" s="17">
        <f>SUMIF('20.01'!$AV:$AV,$B:$B,'20.01'!$D:$D)*1.2</f>
        <v>0</v>
      </c>
      <c r="CL38" s="17">
        <f t="shared" si="10"/>
        <v>58.231130151797387</v>
      </c>
      <c r="CM38" s="17">
        <f>SUMIF('20.01'!$AW:$AW,$B:$B,'20.01'!$D:$D)*1.2</f>
        <v>0</v>
      </c>
      <c r="CN38" s="17">
        <f>SUMIF('20.01'!$AX:$AX,$B:$B,'20.01'!$D:$D)*1.2</f>
        <v>0</v>
      </c>
      <c r="CO38" s="110">
        <f t="shared" si="56"/>
        <v>19534.297656316648</v>
      </c>
      <c r="CP38" s="17">
        <f t="shared" si="57"/>
        <v>15409.462275876953</v>
      </c>
      <c r="CQ38" s="17">
        <f t="shared" si="11"/>
        <v>4754.0311407751506</v>
      </c>
      <c r="CR38" s="17">
        <f t="shared" si="12"/>
        <v>10655.431135101802</v>
      </c>
      <c r="CS38" s="17">
        <f t="shared" si="58"/>
        <v>4124.8353804396966</v>
      </c>
      <c r="CT38" s="17">
        <f t="shared" si="13"/>
        <v>150.27137132149451</v>
      </c>
      <c r="CU38" s="17">
        <f t="shared" si="14"/>
        <v>145.34750405656641</v>
      </c>
      <c r="CV38" s="17">
        <f t="shared" si="15"/>
        <v>150.21982216483943</v>
      </c>
      <c r="CW38" s="17">
        <f t="shared" si="16"/>
        <v>1.5752202341363972</v>
      </c>
      <c r="CX38" s="17">
        <f t="shared" si="17"/>
        <v>2218.0684569152363</v>
      </c>
      <c r="CY38" s="17">
        <f t="shared" si="18"/>
        <v>1459.3530057474234</v>
      </c>
      <c r="CZ38" s="110">
        <f t="shared" si="59"/>
        <v>4848.9240698309832</v>
      </c>
      <c r="DA38" s="17">
        <f t="shared" si="60"/>
        <v>183.16514350423228</v>
      </c>
      <c r="DB38" s="17">
        <f t="shared" si="19"/>
        <v>173.81700220896045</v>
      </c>
      <c r="DC38" s="17">
        <f t="shared" si="20"/>
        <v>9.3481412952718212</v>
      </c>
      <c r="DD38" s="17">
        <f t="shared" si="21"/>
        <v>322.75799345119481</v>
      </c>
      <c r="DE38" s="17">
        <f t="shared" si="22"/>
        <v>111.36001232581145</v>
      </c>
      <c r="DF38" s="17">
        <f t="shared" si="23"/>
        <v>135.1508891034529</v>
      </c>
      <c r="DG38" s="17">
        <f t="shared" si="61"/>
        <v>4096.4900314462921</v>
      </c>
      <c r="DH38" s="110">
        <f t="shared" si="62"/>
        <v>3026.1074040785852</v>
      </c>
      <c r="DI38" s="17">
        <f t="shared" si="24"/>
        <v>2714.5417227260987</v>
      </c>
      <c r="DJ38" s="17">
        <f t="shared" si="25"/>
        <v>300.21236374937865</v>
      </c>
      <c r="DK38" s="17">
        <f t="shared" si="26"/>
        <v>11.353317603107627</v>
      </c>
      <c r="DL38" s="110">
        <f t="shared" si="63"/>
        <v>17990.319034262371</v>
      </c>
      <c r="DM38" s="17">
        <f t="shared" si="27"/>
        <v>9534.8690881590555</v>
      </c>
      <c r="DN38" s="17">
        <f t="shared" si="28"/>
        <v>8455.4499461033138</v>
      </c>
      <c r="DO38" s="17">
        <f t="shared" si="29"/>
        <v>0</v>
      </c>
      <c r="DP38" s="110">
        <f t="shared" si="64"/>
        <v>0</v>
      </c>
      <c r="DQ38" s="17">
        <f>SUMIF('20.01'!$BB:$BB,$B:$B,'20.01'!$D:$D)*1.2</f>
        <v>0</v>
      </c>
      <c r="DR38" s="17">
        <f t="shared" si="30"/>
        <v>0</v>
      </c>
      <c r="DS38" s="17">
        <f t="shared" si="31"/>
        <v>0</v>
      </c>
      <c r="DT38" s="110">
        <f t="shared" si="65"/>
        <v>0</v>
      </c>
      <c r="DU38" s="17">
        <f>SUMIF('20.01'!$BD:$BD,$B:$B,'20.01'!$D:$D)*1.2</f>
        <v>0</v>
      </c>
      <c r="DV38" s="17">
        <f t="shared" si="32"/>
        <v>0</v>
      </c>
      <c r="DW38" s="17">
        <f t="shared" si="33"/>
        <v>0</v>
      </c>
      <c r="DX38" s="110">
        <f t="shared" si="34"/>
        <v>74800.039418635046</v>
      </c>
      <c r="DY38" s="110"/>
      <c r="DZ38" s="110">
        <f t="shared" si="66"/>
        <v>74800.039418635046</v>
      </c>
      <c r="EA38" s="257"/>
      <c r="EB38" s="110">
        <f t="shared" si="35"/>
        <v>0</v>
      </c>
      <c r="EC38" s="110">
        <f>SUMIF(еирц!$B:$B,$B:$B,еирц!$K:$K)</f>
        <v>32603.879999999997</v>
      </c>
      <c r="ED38" s="110">
        <f>SUMIF(еирц!$B:$B,$B:$B,еирц!$P:$P)</f>
        <v>17004.800000000003</v>
      </c>
      <c r="EE38" s="110">
        <f>SUMIF(еирц!$B:$B,$B:$B,еирц!$S:$S)</f>
        <v>20207.28</v>
      </c>
      <c r="EF38" s="177">
        <f t="shared" si="67"/>
        <v>-42196.159418635048</v>
      </c>
      <c r="EG38" s="181">
        <f t="shared" si="68"/>
        <v>0</v>
      </c>
      <c r="EH38" s="177">
        <f t="shared" si="69"/>
        <v>-42196.159418635048</v>
      </c>
    </row>
    <row r="39" spans="1:138" ht="12" customHeight="1" x14ac:dyDescent="0.25">
      <c r="A39" s="5">
        <f t="shared" si="70"/>
        <v>35</v>
      </c>
      <c r="B39" s="6" t="s">
        <v>116</v>
      </c>
      <c r="C39" s="7">
        <f t="shared" si="0"/>
        <v>10785.62</v>
      </c>
      <c r="D39" s="8">
        <v>10785.62</v>
      </c>
      <c r="E39" s="8">
        <v>0</v>
      </c>
      <c r="F39" s="8">
        <v>980.8</v>
      </c>
      <c r="G39" s="87">
        <f t="shared" si="1"/>
        <v>10785.62</v>
      </c>
      <c r="H39" s="87">
        <f t="shared" si="2"/>
        <v>10785.62</v>
      </c>
      <c r="I39" s="91">
        <v>6</v>
      </c>
      <c r="J39" s="112">
        <v>1.6938654829285152E-2</v>
      </c>
      <c r="K39" s="17">
        <v>6</v>
      </c>
      <c r="L39" s="112">
        <f t="shared" si="36"/>
        <v>1.4457831325301205E-2</v>
      </c>
      <c r="M39" s="116">
        <v>3.4064168205966494</v>
      </c>
      <c r="N39" s="120">
        <f t="shared" si="37"/>
        <v>10785.62</v>
      </c>
      <c r="O39" s="116">
        <v>3.0862320882713532</v>
      </c>
      <c r="P39" s="120">
        <f t="shared" si="38"/>
        <v>10785.62</v>
      </c>
      <c r="Q39" s="116">
        <v>1.6009270208418471</v>
      </c>
      <c r="R39" s="120">
        <f t="shared" si="39"/>
        <v>10785.62</v>
      </c>
      <c r="S39" s="5" t="s">
        <v>73</v>
      </c>
      <c r="T39" s="87">
        <v>41.34</v>
      </c>
      <c r="U39" s="88">
        <v>4.68</v>
      </c>
      <c r="V39" s="88">
        <v>7.92</v>
      </c>
      <c r="W39" s="88">
        <v>12.32</v>
      </c>
      <c r="X39" s="88">
        <v>6.34</v>
      </c>
      <c r="Y39" s="88">
        <v>2.89</v>
      </c>
      <c r="Z39" s="88">
        <v>1.66</v>
      </c>
      <c r="AA39" s="88">
        <v>5.29</v>
      </c>
      <c r="AB39" s="88">
        <v>0.24</v>
      </c>
      <c r="AC39" s="257"/>
      <c r="AD39" s="110">
        <f t="shared" si="40"/>
        <v>269086.46912405954</v>
      </c>
      <c r="AE39" s="110">
        <f t="shared" si="41"/>
        <v>266056.65839888557</v>
      </c>
      <c r="AF39" s="16">
        <f>SUMIF('20.01'!$I:$I,$B:$B,'20.01'!$D:$D)*1.2</f>
        <v>40263.96</v>
      </c>
      <c r="AG39" s="17">
        <f t="shared" ref="AG39:AG45" si="75">IF(S39=$S$249,$AG$249,0)/$G$249*G39</f>
        <v>69009.775703667794</v>
      </c>
      <c r="AH39" s="17">
        <f t="shared" si="43"/>
        <v>8235.8886117518177</v>
      </c>
      <c r="AI39" s="16">
        <f>SUMIF('20.01'!$J:$J,$B:$B,'20.01'!$D:$D)*1.2</f>
        <v>0</v>
      </c>
      <c r="AJ39" s="17">
        <f t="shared" si="44"/>
        <v>3346.8799715720775</v>
      </c>
      <c r="AK39" s="17">
        <f t="shared" si="45"/>
        <v>8142.2154456913067</v>
      </c>
      <c r="AL39" s="17">
        <f t="shared" si="46"/>
        <v>137057.93866620256</v>
      </c>
      <c r="AM39" s="110">
        <f t="shared" si="47"/>
        <v>0</v>
      </c>
      <c r="AN39" s="17">
        <f>SUMIF('20.01'!$K:$K,$B:$B,'20.01'!$D:$D)*1.2</f>
        <v>0</v>
      </c>
      <c r="AO39" s="17">
        <f>SUMIF('20.01'!$L:$L,$B:$B,'20.01'!$D:$D)*1.2</f>
        <v>0</v>
      </c>
      <c r="AP39" s="17">
        <f>SUMIF('20.01'!$M:$M,$B:$B,'20.01'!$D:$D)*1.2</f>
        <v>0</v>
      </c>
      <c r="AQ39" s="110">
        <f t="shared" si="48"/>
        <v>3029.8107251739561</v>
      </c>
      <c r="AR39" s="17">
        <f t="shared" si="49"/>
        <v>3029.8107251739561</v>
      </c>
      <c r="AS39" s="17">
        <f>(SUMIF('20.01'!$N:$N,$B:$B,'20.01'!$D:$D)+SUMIF('20.01'!$O:$O,$B:$B,'20.01'!$D:$D))*1.2</f>
        <v>0</v>
      </c>
      <c r="AT39" s="110">
        <f>SUMIF('20.01'!$P:$P,$B:$B,'20.01'!$D:$D)*1.2</f>
        <v>0</v>
      </c>
      <c r="AU39" s="110">
        <f t="shared" si="50"/>
        <v>0</v>
      </c>
      <c r="AV39" s="17">
        <f>SUMIF('20.01'!$Q:$Q,$B:$B,'20.01'!$D:$D)*1.2</f>
        <v>0</v>
      </c>
      <c r="AW39" s="17">
        <f>SUMIF('20.01'!$R:$R,$B:$B,'20.01'!$D:$D)*1.2</f>
        <v>0</v>
      </c>
      <c r="AX39" s="110">
        <f t="shared" si="51"/>
        <v>0</v>
      </c>
      <c r="AY39" s="17">
        <f>SUMIF('20.01'!$S:$S,$B:$B,'20.01'!$D:$D)*1.2</f>
        <v>0</v>
      </c>
      <c r="AZ39" s="17">
        <f>SUMIF('20.01'!$T:$T,$B:$B,'20.01'!$D:$D)*1.2</f>
        <v>0</v>
      </c>
      <c r="BA39" s="110">
        <f t="shared" si="52"/>
        <v>0</v>
      </c>
      <c r="BB39" s="17">
        <f>SUMIF('20.01'!$U:$U,$B:$B,'20.01'!$D:$D)*1.2</f>
        <v>0</v>
      </c>
      <c r="BC39" s="17">
        <f>SUMIF('20.01'!$V:$V,$B:$B,'20.01'!$D:$D)*1.2</f>
        <v>0</v>
      </c>
      <c r="BD39" s="17">
        <f>SUMIF('20.01'!$W:$W,$B:$B,'20.01'!$D:$D)*1.2</f>
        <v>0</v>
      </c>
      <c r="BE39" s="110">
        <f>SUMIF('20.01'!$X:$X,$B:$B,'20.01'!$D:$D)*1.2</f>
        <v>0</v>
      </c>
      <c r="BF39" s="110">
        <f t="shared" si="53"/>
        <v>0</v>
      </c>
      <c r="BG39" s="17">
        <f>SUMIF('20.01'!$Y:$Y,$B:$B,'20.01'!$D:$D)*1.2</f>
        <v>0</v>
      </c>
      <c r="BH39" s="17">
        <f>SUMIF('20.01'!$Z:$Z,$B:$B,'20.01'!$D:$D)*1.2</f>
        <v>0</v>
      </c>
      <c r="BI39" s="17">
        <f>SUMIF('20.01'!$AA:$AA,$B:$B,'20.01'!$D:$D)*1.2</f>
        <v>0</v>
      </c>
      <c r="BJ39" s="17">
        <f>SUMIF('20.01'!$AB:$AB,$B:$B,'20.01'!$D:$D)*1.2</f>
        <v>0</v>
      </c>
      <c r="BK39" s="17">
        <f>SUMIF('20.01'!$AC:$AC,$B:$B,'20.01'!$D:$D)*1.2</f>
        <v>0</v>
      </c>
      <c r="BL39" s="17">
        <f>SUMIF('20.01'!$AD:$AD,$B:$B,'20.01'!$D:$D)*1.2</f>
        <v>0</v>
      </c>
      <c r="BM39" s="110">
        <f t="shared" si="54"/>
        <v>0</v>
      </c>
      <c r="BN39" s="17">
        <f>SUMIF('20.01'!$AE:$AE,$B:$B,'20.01'!$D:$D)*1.2</f>
        <v>0</v>
      </c>
      <c r="BO39" s="17">
        <f>SUMIF('20.01'!$AF:$AF,$B:$B,'20.01'!$D:$D)*1.2</f>
        <v>0</v>
      </c>
      <c r="BP39" s="110">
        <f>SUMIF('20.01'!$AG:$AG,$B:$B,'20.01'!$D:$D)*1.2</f>
        <v>0</v>
      </c>
      <c r="BQ39" s="110">
        <f>SUMIF('20.01'!$AH:$AH,$B:$B,'20.01'!$D:$D)*1.2</f>
        <v>0</v>
      </c>
      <c r="BR39" s="110">
        <f>SUMIF('20.01'!$AI:$AI,$B:$B,'20.01'!$D:$D)*1.2</f>
        <v>0</v>
      </c>
      <c r="BS39" s="110">
        <f t="shared" si="55"/>
        <v>0</v>
      </c>
      <c r="BT39" s="17">
        <f>SUMIF('20.01'!$AJ:$AJ,$B:$B,'20.01'!$D:$D)*1.2</f>
        <v>0</v>
      </c>
      <c r="BU39" s="17">
        <f>SUMIF('20.01'!$AK:$AK,$B:$B,'20.01'!$D:$D)*1.2</f>
        <v>0</v>
      </c>
      <c r="BV39" s="110">
        <f>SUMIF('20.01'!$AL:$AL,$B:$B,'20.01'!$D:$D)*1.2</f>
        <v>0</v>
      </c>
      <c r="BW39" s="110">
        <f>SUMIF('20.01'!$AM:$AM,$B:$B,'20.01'!$D:$D)*1.2</f>
        <v>0</v>
      </c>
      <c r="BX39" s="110">
        <f>SUMIF('20.01'!$AN:$AN,$B:$B,'20.01'!$D:$D)*1.2</f>
        <v>0</v>
      </c>
      <c r="BY39" s="110">
        <f t="shared" si="3"/>
        <v>1091580.432673716</v>
      </c>
      <c r="BZ39" s="17">
        <f t="shared" ref="BZ39:BZ45" si="76">IF(S39=$S$249,$BZ$249,0)/$G$249*G39</f>
        <v>936631.22941555909</v>
      </c>
      <c r="CA39" s="17">
        <f t="shared" si="5"/>
        <v>66895.444023480144</v>
      </c>
      <c r="CB39" s="17">
        <f t="shared" si="6"/>
        <v>4446.8665057757462</v>
      </c>
      <c r="CC39" s="17">
        <f>SUMIF('20.01'!$AO:$AO,$B:$B,'20.01'!$D:$D)*1.2</f>
        <v>0</v>
      </c>
      <c r="CD39" s="17">
        <f t="shared" si="7"/>
        <v>69811.287676488981</v>
      </c>
      <c r="CE39" s="17">
        <f>SUMIF('20.01'!$AQ:$AQ,$B:$B,'20.01'!$D:$D)*1.2</f>
        <v>0</v>
      </c>
      <c r="CF39" s="17">
        <f t="shared" si="8"/>
        <v>6351.723604031592</v>
      </c>
      <c r="CG39" s="17">
        <f>SUMIF('20.01'!$AR:$AR,$B:$B,'20.01'!$D:$D)*1.2</f>
        <v>0</v>
      </c>
      <c r="CH39" s="17">
        <f t="shared" si="9"/>
        <v>3740.7043140181104</v>
      </c>
      <c r="CI39" s="17">
        <f>SUMIF('20.01'!$AT:$AT,$B:$B,'20.01'!$D:$D)*1.2</f>
        <v>0</v>
      </c>
      <c r="CJ39" s="17">
        <f>SUMIF('20.01'!$AU:$AU,$B:$B,'20.01'!$D:$D)*1.2</f>
        <v>0</v>
      </c>
      <c r="CK39" s="17">
        <f>SUMIF('20.01'!$AV:$AV,$B:$B,'20.01'!$D:$D)*1.2</f>
        <v>0</v>
      </c>
      <c r="CL39" s="17">
        <f t="shared" si="10"/>
        <v>3703.177134362199</v>
      </c>
      <c r="CM39" s="17">
        <f>SUMIF('20.01'!$AW:$AW,$B:$B,'20.01'!$D:$D)*1.2</f>
        <v>0</v>
      </c>
      <c r="CN39" s="17">
        <f>SUMIF('20.01'!$AX:$AX,$B:$B,'20.01'!$D:$D)*1.2</f>
        <v>0</v>
      </c>
      <c r="CO39" s="110">
        <f t="shared" si="56"/>
        <v>1242273.0630184081</v>
      </c>
      <c r="CP39" s="17">
        <f t="shared" si="57"/>
        <v>979956.39452797174</v>
      </c>
      <c r="CQ39" s="17">
        <f t="shared" si="11"/>
        <v>302330.03155994863</v>
      </c>
      <c r="CR39" s="17">
        <f t="shared" si="12"/>
        <v>677626.36296802305</v>
      </c>
      <c r="CS39" s="17">
        <f t="shared" si="58"/>
        <v>262316.66849043634</v>
      </c>
      <c r="CT39" s="17">
        <f t="shared" si="13"/>
        <v>9556.4263440597751</v>
      </c>
      <c r="CU39" s="17">
        <f t="shared" si="14"/>
        <v>9243.2956763124057</v>
      </c>
      <c r="CV39" s="17">
        <f t="shared" si="15"/>
        <v>9553.1481034052813</v>
      </c>
      <c r="CW39" s="17">
        <f t="shared" si="16"/>
        <v>100.17527630723002</v>
      </c>
      <c r="CX39" s="17">
        <f t="shared" si="17"/>
        <v>141056.86032001246</v>
      </c>
      <c r="CY39" s="17">
        <f t="shared" si="18"/>
        <v>92806.762770339192</v>
      </c>
      <c r="CZ39" s="110">
        <f t="shared" si="59"/>
        <v>308364.69590831641</v>
      </c>
      <c r="DA39" s="17">
        <f t="shared" si="60"/>
        <v>11648.287942701165</v>
      </c>
      <c r="DB39" s="17">
        <f t="shared" si="19"/>
        <v>11053.797967954057</v>
      </c>
      <c r="DC39" s="17">
        <f t="shared" si="20"/>
        <v>594.48997474710893</v>
      </c>
      <c r="DD39" s="17">
        <f t="shared" si="21"/>
        <v>20525.619512541722</v>
      </c>
      <c r="DE39" s="17">
        <f t="shared" si="22"/>
        <v>7081.8795763061244</v>
      </c>
      <c r="DF39" s="17">
        <f t="shared" si="23"/>
        <v>8594.8474795517923</v>
      </c>
      <c r="DG39" s="17">
        <f t="shared" si="61"/>
        <v>260514.06139721558</v>
      </c>
      <c r="DH39" s="110">
        <f t="shared" si="62"/>
        <v>192443.65884185184</v>
      </c>
      <c r="DI39" s="17">
        <f t="shared" si="24"/>
        <v>172629.80834592611</v>
      </c>
      <c r="DJ39" s="17">
        <f t="shared" si="25"/>
        <v>19091.842421595364</v>
      </c>
      <c r="DK39" s="17">
        <f t="shared" si="26"/>
        <v>722.00807433036368</v>
      </c>
      <c r="DL39" s="110">
        <f t="shared" si="63"/>
        <v>1456248.1266338353</v>
      </c>
      <c r="DM39" s="17">
        <f t="shared" si="27"/>
        <v>606364.82744475291</v>
      </c>
      <c r="DN39" s="17">
        <f t="shared" si="28"/>
        <v>537719.75263968657</v>
      </c>
      <c r="DO39" s="17">
        <f t="shared" si="29"/>
        <v>312163.54654939583</v>
      </c>
      <c r="DP39" s="110">
        <f t="shared" si="64"/>
        <v>483388.93409410625</v>
      </c>
      <c r="DQ39" s="17">
        <f>SUMIF('20.01'!$BB:$BB,$B:$B,'20.01'!$D:$D)*1.2</f>
        <v>15576.84</v>
      </c>
      <c r="DR39" s="17">
        <f t="shared" si="30"/>
        <v>464369.68467617792</v>
      </c>
      <c r="DS39" s="17">
        <f t="shared" si="31"/>
        <v>3442.4094179282979</v>
      </c>
      <c r="DT39" s="110">
        <f t="shared" si="65"/>
        <v>20482.248</v>
      </c>
      <c r="DU39" s="17">
        <f>SUMIF('20.01'!$BD:$BD,$B:$B,'20.01'!$D:$D)*1.2</f>
        <v>20482.248</v>
      </c>
      <c r="DV39" s="17">
        <f t="shared" si="32"/>
        <v>0</v>
      </c>
      <c r="DW39" s="17">
        <f t="shared" si="33"/>
        <v>0</v>
      </c>
      <c r="DX39" s="110">
        <f t="shared" si="34"/>
        <v>5063867.6282942928</v>
      </c>
      <c r="DY39" s="110">
        <f>EC39*EG39</f>
        <v>419808.30320000002</v>
      </c>
      <c r="DZ39" s="110">
        <f t="shared" si="66"/>
        <v>5483675.9314942928</v>
      </c>
      <c r="EA39" s="257"/>
      <c r="EB39" s="110">
        <f t="shared" si="35"/>
        <v>5319.3253012048199</v>
      </c>
      <c r="EC39" s="110">
        <f>SUMIF(еирц!$B:$B,$B:$B,еирц!$K:$K)</f>
        <v>5247603.79</v>
      </c>
      <c r="ED39" s="110">
        <f>SUMIF(еирц!$B:$B,$B:$B,еирц!$P:$P)</f>
        <v>5095293.3600000003</v>
      </c>
      <c r="EE39" s="110">
        <f>SUMIF(еирц!$B:$B,$B:$B,еирц!$S:$S)</f>
        <v>1349504.42</v>
      </c>
      <c r="EF39" s="177">
        <f t="shared" si="67"/>
        <v>189055.48700691201</v>
      </c>
      <c r="EG39" s="182">
        <v>0.08</v>
      </c>
      <c r="EH39" s="177">
        <f t="shared" si="69"/>
        <v>-230752.81619308796</v>
      </c>
    </row>
    <row r="40" spans="1:138" ht="12" customHeight="1" x14ac:dyDescent="0.25">
      <c r="A40" s="5">
        <f t="shared" si="70"/>
        <v>36</v>
      </c>
      <c r="B40" s="6" t="s">
        <v>117</v>
      </c>
      <c r="C40" s="7">
        <f t="shared" si="0"/>
        <v>10772.68</v>
      </c>
      <c r="D40" s="8">
        <v>10772.68</v>
      </c>
      <c r="E40" s="8">
        <v>0</v>
      </c>
      <c r="F40" s="8">
        <v>1031.5999999999999</v>
      </c>
      <c r="G40" s="87">
        <f t="shared" si="1"/>
        <v>10772.68</v>
      </c>
      <c r="H40" s="87">
        <f t="shared" si="2"/>
        <v>10772.68</v>
      </c>
      <c r="I40" s="91">
        <v>6</v>
      </c>
      <c r="J40" s="112">
        <v>1.6932447438677303E-2</v>
      </c>
      <c r="K40" s="17">
        <v>6</v>
      </c>
      <c r="L40" s="112">
        <f t="shared" si="36"/>
        <v>1.4457831325301205E-2</v>
      </c>
      <c r="M40" s="116">
        <v>3.4064170645952583</v>
      </c>
      <c r="N40" s="120">
        <f t="shared" si="37"/>
        <v>10772.68</v>
      </c>
      <c r="O40" s="116">
        <v>3.0862324938675387</v>
      </c>
      <c r="P40" s="120">
        <f t="shared" si="38"/>
        <v>10772.68</v>
      </c>
      <c r="Q40" s="116">
        <v>1.6009273344235486</v>
      </c>
      <c r="R40" s="120">
        <f t="shared" si="39"/>
        <v>10772.68</v>
      </c>
      <c r="S40" s="5" t="s">
        <v>73</v>
      </c>
      <c r="T40" s="87">
        <v>41.34</v>
      </c>
      <c r="U40" s="88">
        <v>4.68</v>
      </c>
      <c r="V40" s="88">
        <v>7.92</v>
      </c>
      <c r="W40" s="88">
        <v>12.32</v>
      </c>
      <c r="X40" s="88">
        <v>6.34</v>
      </c>
      <c r="Y40" s="88">
        <v>2.89</v>
      </c>
      <c r="Z40" s="88">
        <v>1.66</v>
      </c>
      <c r="AA40" s="88">
        <v>5.29</v>
      </c>
      <c r="AB40" s="88">
        <v>0.24</v>
      </c>
      <c r="AC40" s="257"/>
      <c r="AD40" s="110">
        <f t="shared" si="40"/>
        <v>767356.62032849051</v>
      </c>
      <c r="AE40" s="110">
        <f t="shared" si="41"/>
        <v>403789.05260536401</v>
      </c>
      <c r="AF40" s="16">
        <f>SUMIF('20.01'!$I:$I,$B:$B,'20.01'!$D:$D)*1.2</f>
        <v>178267.24799999999</v>
      </c>
      <c r="AG40" s="17">
        <f t="shared" si="75"/>
        <v>68926.981529795041</v>
      </c>
      <c r="AH40" s="17">
        <f t="shared" si="43"/>
        <v>8226.0076407333618</v>
      </c>
      <c r="AI40" s="16">
        <f>SUMIF('20.01'!$J:$J,$B:$B,'20.01'!$D:$D)*1.2</f>
        <v>0</v>
      </c>
      <c r="AJ40" s="17">
        <f t="shared" si="44"/>
        <v>3342.8645670953629</v>
      </c>
      <c r="AK40" s="17">
        <f t="shared" si="45"/>
        <v>8132.4468586404691</v>
      </c>
      <c r="AL40" s="17">
        <f t="shared" si="46"/>
        <v>136893.50400909979</v>
      </c>
      <c r="AM40" s="110">
        <f t="shared" si="47"/>
        <v>0</v>
      </c>
      <c r="AN40" s="17">
        <f>SUMIF('20.01'!$K:$K,$B:$B,'20.01'!$D:$D)*1.2</f>
        <v>0</v>
      </c>
      <c r="AO40" s="17">
        <f>SUMIF('20.01'!$L:$L,$B:$B,'20.01'!$D:$D)*1.2</f>
        <v>0</v>
      </c>
      <c r="AP40" s="17">
        <f>SUMIF('20.01'!$M:$M,$B:$B,'20.01'!$D:$D)*1.2</f>
        <v>0</v>
      </c>
      <c r="AQ40" s="110">
        <f t="shared" si="48"/>
        <v>3026.1757231264382</v>
      </c>
      <c r="AR40" s="17">
        <f t="shared" si="49"/>
        <v>3026.1757231264382</v>
      </c>
      <c r="AS40" s="17">
        <f>(SUMIF('20.01'!$N:$N,$B:$B,'20.01'!$D:$D)+SUMIF('20.01'!$O:$O,$B:$B,'20.01'!$D:$D))*1.2</f>
        <v>0</v>
      </c>
      <c r="AT40" s="110">
        <f>SUMIF('20.01'!$P:$P,$B:$B,'20.01'!$D:$D)*1.2</f>
        <v>0</v>
      </c>
      <c r="AU40" s="110">
        <f t="shared" si="50"/>
        <v>0</v>
      </c>
      <c r="AV40" s="17">
        <f>SUMIF('20.01'!$Q:$Q,$B:$B,'20.01'!$D:$D)*1.2</f>
        <v>0</v>
      </c>
      <c r="AW40" s="17">
        <f>SUMIF('20.01'!$R:$R,$B:$B,'20.01'!$D:$D)*1.2</f>
        <v>0</v>
      </c>
      <c r="AX40" s="110">
        <f t="shared" si="51"/>
        <v>325971.39600000001</v>
      </c>
      <c r="AY40" s="17">
        <f>SUMIF('20.01'!$S:$S,$B:$B,'20.01'!$D:$D)*1.2</f>
        <v>242523.04800000001</v>
      </c>
      <c r="AZ40" s="17">
        <f>SUMIF('20.01'!$T:$T,$B:$B,'20.01'!$D:$D)*1.2</f>
        <v>83448.347999999984</v>
      </c>
      <c r="BA40" s="110">
        <f t="shared" si="52"/>
        <v>0</v>
      </c>
      <c r="BB40" s="17">
        <f>SUMIF('20.01'!$U:$U,$B:$B,'20.01'!$D:$D)*1.2</f>
        <v>0</v>
      </c>
      <c r="BC40" s="17">
        <f>SUMIF('20.01'!$V:$V,$B:$B,'20.01'!$D:$D)*1.2</f>
        <v>0</v>
      </c>
      <c r="BD40" s="17">
        <f>SUMIF('20.01'!$W:$W,$B:$B,'20.01'!$D:$D)*1.2</f>
        <v>0</v>
      </c>
      <c r="BE40" s="110">
        <f>SUMIF('20.01'!$X:$X,$B:$B,'20.01'!$D:$D)*1.2</f>
        <v>34569.995999999999</v>
      </c>
      <c r="BF40" s="110">
        <f t="shared" si="53"/>
        <v>0</v>
      </c>
      <c r="BG40" s="17">
        <f>SUMIF('20.01'!$Y:$Y,$B:$B,'20.01'!$D:$D)*1.2</f>
        <v>0</v>
      </c>
      <c r="BH40" s="17">
        <f>SUMIF('20.01'!$Z:$Z,$B:$B,'20.01'!$D:$D)*1.2</f>
        <v>0</v>
      </c>
      <c r="BI40" s="17">
        <f>SUMIF('20.01'!$AA:$AA,$B:$B,'20.01'!$D:$D)*1.2</f>
        <v>0</v>
      </c>
      <c r="BJ40" s="17">
        <f>SUMIF('20.01'!$AB:$AB,$B:$B,'20.01'!$D:$D)*1.2</f>
        <v>0</v>
      </c>
      <c r="BK40" s="17">
        <f>SUMIF('20.01'!$AC:$AC,$B:$B,'20.01'!$D:$D)*1.2</f>
        <v>0</v>
      </c>
      <c r="BL40" s="17">
        <f>SUMIF('20.01'!$AD:$AD,$B:$B,'20.01'!$D:$D)*1.2</f>
        <v>0</v>
      </c>
      <c r="BM40" s="110">
        <f t="shared" si="54"/>
        <v>0</v>
      </c>
      <c r="BN40" s="17">
        <f>SUMIF('20.01'!$AE:$AE,$B:$B,'20.01'!$D:$D)*1.2</f>
        <v>0</v>
      </c>
      <c r="BO40" s="17">
        <f>SUMIF('20.01'!$AF:$AF,$B:$B,'20.01'!$D:$D)*1.2</f>
        <v>0</v>
      </c>
      <c r="BP40" s="110">
        <f>SUMIF('20.01'!$AG:$AG,$B:$B,'20.01'!$D:$D)*1.2</f>
        <v>0</v>
      </c>
      <c r="BQ40" s="110">
        <f>SUMIF('20.01'!$AH:$AH,$B:$B,'20.01'!$D:$D)*1.2</f>
        <v>0</v>
      </c>
      <c r="BR40" s="110">
        <f>SUMIF('20.01'!$AI:$AI,$B:$B,'20.01'!$D:$D)*1.2</f>
        <v>0</v>
      </c>
      <c r="BS40" s="110">
        <f t="shared" si="55"/>
        <v>0</v>
      </c>
      <c r="BT40" s="17">
        <f>SUMIF('20.01'!$AJ:$AJ,$B:$B,'20.01'!$D:$D)*1.2</f>
        <v>0</v>
      </c>
      <c r="BU40" s="17">
        <f>SUMIF('20.01'!$AK:$AK,$B:$B,'20.01'!$D:$D)*1.2</f>
        <v>0</v>
      </c>
      <c r="BV40" s="110">
        <f>SUMIF('20.01'!$AL:$AL,$B:$B,'20.01'!$D:$D)*1.2</f>
        <v>0</v>
      </c>
      <c r="BW40" s="110">
        <f>SUMIF('20.01'!$AM:$AM,$B:$B,'20.01'!$D:$D)*1.2</f>
        <v>0</v>
      </c>
      <c r="BX40" s="110">
        <f>SUMIF('20.01'!$AN:$AN,$B:$B,'20.01'!$D:$D)*1.2</f>
        <v>0</v>
      </c>
      <c r="BY40" s="110">
        <f t="shared" si="3"/>
        <v>1090270.8138665636</v>
      </c>
      <c r="BZ40" s="17">
        <f t="shared" si="76"/>
        <v>935507.51023125276</v>
      </c>
      <c r="CA40" s="17">
        <f t="shared" si="5"/>
        <v>66815.186509710518</v>
      </c>
      <c r="CB40" s="17">
        <f t="shared" si="6"/>
        <v>4441.5313973086631</v>
      </c>
      <c r="CC40" s="17">
        <f>SUMIF('20.01'!$AO:$AO,$B:$B,'20.01'!$D:$D)*1.2</f>
        <v>0</v>
      </c>
      <c r="CD40" s="17">
        <f t="shared" si="7"/>
        <v>69727.531892163752</v>
      </c>
      <c r="CE40" s="17">
        <f>SUMIF('20.01'!$AQ:$AQ,$B:$B,'20.01'!$D:$D)*1.2</f>
        <v>0</v>
      </c>
      <c r="CF40" s="17">
        <f t="shared" si="8"/>
        <v>6344.1031516666681</v>
      </c>
      <c r="CG40" s="17">
        <f>SUMIF('20.01'!$AR:$AR,$B:$B,'20.01'!$D:$D)*1.2</f>
        <v>0</v>
      </c>
      <c r="CH40" s="17">
        <f t="shared" si="9"/>
        <v>3736.2164205244221</v>
      </c>
      <c r="CI40" s="17">
        <f>SUMIF('20.01'!$AT:$AT,$B:$B,'20.01'!$D:$D)*1.2</f>
        <v>0</v>
      </c>
      <c r="CJ40" s="17">
        <f>SUMIF('20.01'!$AU:$AU,$B:$B,'20.01'!$D:$D)*1.2</f>
        <v>0</v>
      </c>
      <c r="CK40" s="17">
        <f>SUMIF('20.01'!$AV:$AV,$B:$B,'20.01'!$D:$D)*1.2</f>
        <v>0</v>
      </c>
      <c r="CL40" s="17">
        <f t="shared" si="10"/>
        <v>3698.7342639367021</v>
      </c>
      <c r="CM40" s="17">
        <f>SUMIF('20.01'!$AW:$AW,$B:$B,'20.01'!$D:$D)*1.2</f>
        <v>0</v>
      </c>
      <c r="CN40" s="17">
        <f>SUMIF('20.01'!$AX:$AX,$B:$B,'20.01'!$D:$D)*1.2</f>
        <v>0</v>
      </c>
      <c r="CO40" s="110">
        <f t="shared" si="56"/>
        <v>1240782.6513929791</v>
      </c>
      <c r="CP40" s="17">
        <f t="shared" si="57"/>
        <v>978780.69616800791</v>
      </c>
      <c r="CQ40" s="17">
        <f t="shared" si="11"/>
        <v>301967.31243871257</v>
      </c>
      <c r="CR40" s="17">
        <f t="shared" si="12"/>
        <v>676813.38372929534</v>
      </c>
      <c r="CS40" s="17">
        <f t="shared" si="58"/>
        <v>262001.9552249712</v>
      </c>
      <c r="CT40" s="17">
        <f t="shared" si="13"/>
        <v>9544.9610637242786</v>
      </c>
      <c r="CU40" s="17">
        <f t="shared" si="14"/>
        <v>9232.2060731137499</v>
      </c>
      <c r="CV40" s="17">
        <f t="shared" si="15"/>
        <v>9541.6867561245435</v>
      </c>
      <c r="CW40" s="17">
        <f t="shared" si="16"/>
        <v>100.05509146153588</v>
      </c>
      <c r="CX40" s="17">
        <f t="shared" si="17"/>
        <v>140887.62797430207</v>
      </c>
      <c r="CY40" s="17">
        <f t="shared" si="18"/>
        <v>92695.418266245018</v>
      </c>
      <c r="CZ40" s="110">
        <f t="shared" si="59"/>
        <v>307994.73672515829</v>
      </c>
      <c r="DA40" s="17">
        <f t="shared" si="60"/>
        <v>11634.312960643709</v>
      </c>
      <c r="DB40" s="17">
        <f t="shared" si="19"/>
        <v>11040.536222620425</v>
      </c>
      <c r="DC40" s="17">
        <f t="shared" si="20"/>
        <v>593.77673802328331</v>
      </c>
      <c r="DD40" s="17">
        <f t="shared" si="21"/>
        <v>20500.993991107414</v>
      </c>
      <c r="DE40" s="17">
        <f t="shared" si="22"/>
        <v>7073.3831225355107</v>
      </c>
      <c r="DF40" s="17">
        <f t="shared" si="23"/>
        <v>8584.5358492157138</v>
      </c>
      <c r="DG40" s="17">
        <f t="shared" si="61"/>
        <v>260201.51080165591</v>
      </c>
      <c r="DH40" s="110">
        <f t="shared" si="62"/>
        <v>192212.77541137554</v>
      </c>
      <c r="DI40" s="17">
        <f t="shared" si="24"/>
        <v>172422.69649514733</v>
      </c>
      <c r="DJ40" s="17">
        <f t="shared" si="25"/>
        <v>19068.937067898922</v>
      </c>
      <c r="DK40" s="17">
        <f t="shared" si="26"/>
        <v>721.14184832927754</v>
      </c>
      <c r="DL40" s="110">
        <f t="shared" si="63"/>
        <v>1454500.9993700671</v>
      </c>
      <c r="DM40" s="17">
        <f t="shared" si="27"/>
        <v>605637.34391880489</v>
      </c>
      <c r="DN40" s="17">
        <f t="shared" si="28"/>
        <v>537074.6257393175</v>
      </c>
      <c r="DO40" s="17">
        <f t="shared" si="29"/>
        <v>311789.02971194475</v>
      </c>
      <c r="DP40" s="110">
        <f t="shared" si="64"/>
        <v>483217.49826119118</v>
      </c>
      <c r="DQ40" s="17">
        <f>SUMIF('20.01'!$BB:$BB,$B:$B,'20.01'!$D:$D)*1.2</f>
        <v>15576.84</v>
      </c>
      <c r="DR40" s="17">
        <f t="shared" si="30"/>
        <v>464199.51035901514</v>
      </c>
      <c r="DS40" s="17">
        <f t="shared" si="31"/>
        <v>3441.1479021760388</v>
      </c>
      <c r="DT40" s="110">
        <f t="shared" si="65"/>
        <v>20482.248</v>
      </c>
      <c r="DU40" s="17">
        <f>SUMIF('20.01'!$BD:$BD,$B:$B,'20.01'!$D:$D)*1.2</f>
        <v>20482.248</v>
      </c>
      <c r="DV40" s="17">
        <f t="shared" si="32"/>
        <v>0</v>
      </c>
      <c r="DW40" s="17">
        <f t="shared" si="33"/>
        <v>0</v>
      </c>
      <c r="DX40" s="110">
        <f t="shared" si="34"/>
        <v>5556818.3433558242</v>
      </c>
      <c r="DY40" s="110"/>
      <c r="DZ40" s="110">
        <f t="shared" si="66"/>
        <v>5556818.3433558242</v>
      </c>
      <c r="EA40" s="257"/>
      <c r="EB40" s="110">
        <f t="shared" si="35"/>
        <v>5319.3253012048199</v>
      </c>
      <c r="EC40" s="110">
        <f>SUMIF(еирц!$B:$B,$B:$B,еирц!$K:$K)</f>
        <v>5241487.8499999996</v>
      </c>
      <c r="ED40" s="110">
        <f>SUMIF(еирц!$B:$B,$B:$B,еирц!$P:$P)</f>
        <v>5002229.2299999995</v>
      </c>
      <c r="EE40" s="110">
        <f>SUMIF(еирц!$B:$B,$B:$B,еирц!$S:$S)</f>
        <v>1461024.39</v>
      </c>
      <c r="EF40" s="177">
        <f t="shared" si="67"/>
        <v>-310011.1680546198</v>
      </c>
      <c r="EG40" s="181">
        <f t="shared" si="68"/>
        <v>0</v>
      </c>
      <c r="EH40" s="177">
        <f t="shared" si="69"/>
        <v>-310011.1680546198</v>
      </c>
    </row>
    <row r="41" spans="1:138" ht="12" customHeight="1" x14ac:dyDescent="0.25">
      <c r="A41" s="5">
        <f t="shared" si="70"/>
        <v>37</v>
      </c>
      <c r="B41" s="6" t="s">
        <v>118</v>
      </c>
      <c r="C41" s="7">
        <f t="shared" si="0"/>
        <v>10745.800000000001</v>
      </c>
      <c r="D41" s="8">
        <v>10719.1</v>
      </c>
      <c r="E41" s="8">
        <v>26.7</v>
      </c>
      <c r="F41" s="8">
        <v>907.7</v>
      </c>
      <c r="G41" s="87">
        <f t="shared" si="1"/>
        <v>10745.800000000001</v>
      </c>
      <c r="H41" s="87">
        <f t="shared" si="2"/>
        <v>10745.800000000001</v>
      </c>
      <c r="I41" s="91">
        <v>6</v>
      </c>
      <c r="J41" s="112">
        <v>1.6859456199749417E-2</v>
      </c>
      <c r="K41" s="17">
        <v>6</v>
      </c>
      <c r="L41" s="112">
        <f t="shared" si="36"/>
        <v>1.4457831325301205E-2</v>
      </c>
      <c r="M41" s="116">
        <v>3.4064174198984731</v>
      </c>
      <c r="N41" s="120">
        <f t="shared" si="37"/>
        <v>10745.800000000001</v>
      </c>
      <c r="O41" s="116">
        <v>3.0862321145981051</v>
      </c>
      <c r="P41" s="120">
        <f t="shared" si="38"/>
        <v>10745.800000000001</v>
      </c>
      <c r="Q41" s="116">
        <v>1.6009276527529444</v>
      </c>
      <c r="R41" s="120">
        <f t="shared" si="39"/>
        <v>10745.800000000001</v>
      </c>
      <c r="S41" s="5" t="s">
        <v>73</v>
      </c>
      <c r="T41" s="87">
        <v>41.34</v>
      </c>
      <c r="U41" s="88">
        <v>4.68</v>
      </c>
      <c r="V41" s="88">
        <v>7.92</v>
      </c>
      <c r="W41" s="88">
        <v>12.32</v>
      </c>
      <c r="X41" s="88">
        <v>6.34</v>
      </c>
      <c r="Y41" s="88">
        <v>2.89</v>
      </c>
      <c r="Z41" s="88">
        <v>1.66</v>
      </c>
      <c r="AA41" s="88">
        <v>5.29</v>
      </c>
      <c r="AB41" s="88">
        <v>0.24</v>
      </c>
      <c r="AC41" s="257"/>
      <c r="AD41" s="110">
        <f t="shared" si="40"/>
        <v>824402.8352199205</v>
      </c>
      <c r="AE41" s="110">
        <f t="shared" si="41"/>
        <v>333760.7424129484</v>
      </c>
      <c r="AF41" s="16">
        <f>SUMIF('20.01'!$I:$I,$B:$B,'20.01'!$D:$D)*1.2</f>
        <v>108801.66</v>
      </c>
      <c r="AG41" s="17">
        <f t="shared" si="75"/>
        <v>68754.994868767244</v>
      </c>
      <c r="AH41" s="17">
        <f t="shared" si="43"/>
        <v>8205.4820996996641</v>
      </c>
      <c r="AI41" s="16">
        <f>SUMIF('20.01'!$J:$J,$B:$B,'20.01'!$D:$D)*1.2</f>
        <v>0</v>
      </c>
      <c r="AJ41" s="17">
        <f t="shared" si="44"/>
        <v>3334.5234486769637</v>
      </c>
      <c r="AK41" s="17">
        <f t="shared" si="45"/>
        <v>8112.1547705472331</v>
      </c>
      <c r="AL41" s="17">
        <f t="shared" si="46"/>
        <v>136551.9272252573</v>
      </c>
      <c r="AM41" s="110">
        <f t="shared" si="47"/>
        <v>0</v>
      </c>
      <c r="AN41" s="17">
        <f>SUMIF('20.01'!$K:$K,$B:$B,'20.01'!$D:$D)*1.2</f>
        <v>0</v>
      </c>
      <c r="AO41" s="17">
        <f>SUMIF('20.01'!$L:$L,$B:$B,'20.01'!$D:$D)*1.2</f>
        <v>0</v>
      </c>
      <c r="AP41" s="17">
        <f>SUMIF('20.01'!$M:$M,$B:$B,'20.01'!$D:$D)*1.2</f>
        <v>0</v>
      </c>
      <c r="AQ41" s="110">
        <f t="shared" si="48"/>
        <v>3018.6248069720887</v>
      </c>
      <c r="AR41" s="17">
        <f t="shared" si="49"/>
        <v>3018.6248069720887</v>
      </c>
      <c r="AS41" s="17">
        <f>(SUMIF('20.01'!$N:$N,$B:$B,'20.01'!$D:$D)+SUMIF('20.01'!$O:$O,$B:$B,'20.01'!$D:$D))*1.2</f>
        <v>0</v>
      </c>
      <c r="AT41" s="110">
        <f>SUMIF('20.01'!$P:$P,$B:$B,'20.01'!$D:$D)*1.2</f>
        <v>0</v>
      </c>
      <c r="AU41" s="110">
        <f t="shared" si="50"/>
        <v>0</v>
      </c>
      <c r="AV41" s="17">
        <f>SUMIF('20.01'!$Q:$Q,$B:$B,'20.01'!$D:$D)*1.2</f>
        <v>0</v>
      </c>
      <c r="AW41" s="17">
        <f>SUMIF('20.01'!$R:$R,$B:$B,'20.01'!$D:$D)*1.2</f>
        <v>0</v>
      </c>
      <c r="AX41" s="110">
        <f t="shared" si="51"/>
        <v>126479.28</v>
      </c>
      <c r="AY41" s="17">
        <f>SUMIF('20.01'!$S:$S,$B:$B,'20.01'!$D:$D)*1.2</f>
        <v>68095.199999999997</v>
      </c>
      <c r="AZ41" s="17">
        <f>SUMIF('20.01'!$T:$T,$B:$B,'20.01'!$D:$D)*1.2</f>
        <v>58384.08</v>
      </c>
      <c r="BA41" s="110">
        <f t="shared" si="52"/>
        <v>0</v>
      </c>
      <c r="BB41" s="17">
        <f>SUMIF('20.01'!$U:$U,$B:$B,'20.01'!$D:$D)*1.2</f>
        <v>0</v>
      </c>
      <c r="BC41" s="17">
        <f>SUMIF('20.01'!$V:$V,$B:$B,'20.01'!$D:$D)*1.2</f>
        <v>0</v>
      </c>
      <c r="BD41" s="17">
        <f>SUMIF('20.01'!$W:$W,$B:$B,'20.01'!$D:$D)*1.2</f>
        <v>0</v>
      </c>
      <c r="BE41" s="110">
        <f>SUMIF('20.01'!$X:$X,$B:$B,'20.01'!$D:$D)*1.2</f>
        <v>0</v>
      </c>
      <c r="BF41" s="110">
        <f t="shared" si="53"/>
        <v>53653.2</v>
      </c>
      <c r="BG41" s="17">
        <f>SUMIF('20.01'!$Y:$Y,$B:$B,'20.01'!$D:$D)*1.2</f>
        <v>0</v>
      </c>
      <c r="BH41" s="17">
        <f>SUMIF('20.01'!$Z:$Z,$B:$B,'20.01'!$D:$D)*1.2</f>
        <v>0</v>
      </c>
      <c r="BI41" s="17">
        <f>SUMIF('20.01'!$AA:$AA,$B:$B,'20.01'!$D:$D)*1.2</f>
        <v>53653.2</v>
      </c>
      <c r="BJ41" s="17">
        <f>SUMIF('20.01'!$AB:$AB,$B:$B,'20.01'!$D:$D)*1.2</f>
        <v>0</v>
      </c>
      <c r="BK41" s="17">
        <f>SUMIF('20.01'!$AC:$AC,$B:$B,'20.01'!$D:$D)*1.2</f>
        <v>0</v>
      </c>
      <c r="BL41" s="17">
        <f>SUMIF('20.01'!$AD:$AD,$B:$B,'20.01'!$D:$D)*1.2</f>
        <v>0</v>
      </c>
      <c r="BM41" s="110">
        <f t="shared" si="54"/>
        <v>0</v>
      </c>
      <c r="BN41" s="17">
        <f>SUMIF('20.01'!$AE:$AE,$B:$B,'20.01'!$D:$D)*1.2</f>
        <v>0</v>
      </c>
      <c r="BO41" s="17">
        <f>SUMIF('20.01'!$AF:$AF,$B:$B,'20.01'!$D:$D)*1.2</f>
        <v>0</v>
      </c>
      <c r="BP41" s="110">
        <f>SUMIF('20.01'!$AG:$AG,$B:$B,'20.01'!$D:$D)*1.2</f>
        <v>0</v>
      </c>
      <c r="BQ41" s="110">
        <f>SUMIF('20.01'!$AH:$AH,$B:$B,'20.01'!$D:$D)*1.2</f>
        <v>0</v>
      </c>
      <c r="BR41" s="110">
        <f>SUMIF('20.01'!$AI:$AI,$B:$B,'20.01'!$D:$D)*1.2</f>
        <v>0</v>
      </c>
      <c r="BS41" s="110">
        <f t="shared" si="55"/>
        <v>0</v>
      </c>
      <c r="BT41" s="17">
        <f>SUMIF('20.01'!$AJ:$AJ,$B:$B,'20.01'!$D:$D)*1.2</f>
        <v>0</v>
      </c>
      <c r="BU41" s="17">
        <f>SUMIF('20.01'!$AK:$AK,$B:$B,'20.01'!$D:$D)*1.2</f>
        <v>0</v>
      </c>
      <c r="BV41" s="110">
        <f>SUMIF('20.01'!$AL:$AL,$B:$B,'20.01'!$D:$D)*1.2</f>
        <v>307490.98799999995</v>
      </c>
      <c r="BW41" s="110">
        <f>SUMIF('20.01'!$AM:$AM,$B:$B,'20.01'!$D:$D)*1.2</f>
        <v>0</v>
      </c>
      <c r="BX41" s="110">
        <f>SUMIF('20.01'!$AN:$AN,$B:$B,'20.01'!$D:$D)*1.2</f>
        <v>0</v>
      </c>
      <c r="BY41" s="110">
        <f t="shared" si="3"/>
        <v>1087550.3692347046</v>
      </c>
      <c r="BZ41" s="17">
        <f t="shared" si="76"/>
        <v>933173.23112196743</v>
      </c>
      <c r="CA41" s="17">
        <f t="shared" si="5"/>
        <v>66648.469201354485</v>
      </c>
      <c r="CB41" s="17">
        <f t="shared" si="6"/>
        <v>4430.4488845115084</v>
      </c>
      <c r="CC41" s="17">
        <f>SUMIF('20.01'!$AO:$AO,$B:$B,'20.01'!$D:$D)*1.2</f>
        <v>0</v>
      </c>
      <c r="CD41" s="17">
        <f t="shared" si="7"/>
        <v>69553.547697213071</v>
      </c>
      <c r="CE41" s="17">
        <f>SUMIF('20.01'!$AQ:$AQ,$B:$B,'20.01'!$D:$D)*1.2</f>
        <v>0</v>
      </c>
      <c r="CF41" s="17">
        <f t="shared" si="8"/>
        <v>6328.2733402625609</v>
      </c>
      <c r="CG41" s="17">
        <f>SUMIF('20.01'!$AR:$AR,$B:$B,'20.01'!$D:$D)*1.2</f>
        <v>0</v>
      </c>
      <c r="CH41" s="17">
        <f t="shared" si="9"/>
        <v>3726.8938102376878</v>
      </c>
      <c r="CI41" s="17">
        <f>SUMIF('20.01'!$AT:$AT,$B:$B,'20.01'!$D:$D)*1.2</f>
        <v>0</v>
      </c>
      <c r="CJ41" s="17">
        <f>SUMIF('20.01'!$AU:$AU,$B:$B,'20.01'!$D:$D)*1.2</f>
        <v>0</v>
      </c>
      <c r="CK41" s="17">
        <f>SUMIF('20.01'!$AV:$AV,$B:$B,'20.01'!$D:$D)*1.2</f>
        <v>0</v>
      </c>
      <c r="CL41" s="17">
        <f t="shared" si="10"/>
        <v>3689.5051791579272</v>
      </c>
      <c r="CM41" s="17">
        <f>SUMIF('20.01'!$AW:$AW,$B:$B,'20.01'!$D:$D)*1.2</f>
        <v>0</v>
      </c>
      <c r="CN41" s="17">
        <f>SUMIF('20.01'!$AX:$AX,$B:$B,'20.01'!$D:$D)*1.2</f>
        <v>0</v>
      </c>
      <c r="CO41" s="110">
        <f t="shared" si="56"/>
        <v>1237686.6495002799</v>
      </c>
      <c r="CP41" s="17">
        <f t="shared" si="57"/>
        <v>976338.44176956709</v>
      </c>
      <c r="CQ41" s="17">
        <f t="shared" si="11"/>
        <v>301213.84335225011</v>
      </c>
      <c r="CR41" s="17">
        <f t="shared" si="12"/>
        <v>675124.59841731691</v>
      </c>
      <c r="CS41" s="17">
        <f t="shared" si="58"/>
        <v>261348.20773071283</v>
      </c>
      <c r="CT41" s="17">
        <f t="shared" si="13"/>
        <v>9521.1444690242697</v>
      </c>
      <c r="CU41" s="17">
        <f t="shared" si="14"/>
        <v>9209.1698649236532</v>
      </c>
      <c r="CV41" s="17">
        <f t="shared" si="15"/>
        <v>9517.878331479551</v>
      </c>
      <c r="CW41" s="17">
        <f t="shared" si="16"/>
        <v>99.805433914993515</v>
      </c>
      <c r="CX41" s="17">
        <f t="shared" si="17"/>
        <v>140536.08504905514</v>
      </c>
      <c r="CY41" s="17">
        <f t="shared" si="18"/>
        <v>92464.124582315242</v>
      </c>
      <c r="CZ41" s="110">
        <f t="shared" si="59"/>
        <v>307226.22800465679</v>
      </c>
      <c r="DA41" s="17">
        <f t="shared" si="60"/>
        <v>11605.28301337134</v>
      </c>
      <c r="DB41" s="17">
        <f t="shared" si="19"/>
        <v>11012.987867553345</v>
      </c>
      <c r="DC41" s="17">
        <f t="shared" si="20"/>
        <v>592.29514581799504</v>
      </c>
      <c r="DD41" s="17">
        <f t="shared" si="21"/>
        <v>20449.839894032131</v>
      </c>
      <c r="DE41" s="17">
        <f t="shared" si="22"/>
        <v>7055.7336111480245</v>
      </c>
      <c r="DF41" s="17">
        <f t="shared" si="23"/>
        <v>8563.1157083012058</v>
      </c>
      <c r="DG41" s="17">
        <f t="shared" si="61"/>
        <v>259552.25577780406</v>
      </c>
      <c r="DH41" s="110">
        <f t="shared" si="62"/>
        <v>191733.16593601217</v>
      </c>
      <c r="DI41" s="17">
        <f t="shared" si="24"/>
        <v>171992.46724097946</v>
      </c>
      <c r="DJ41" s="17">
        <f t="shared" si="25"/>
        <v>19021.356240436755</v>
      </c>
      <c r="DK41" s="17">
        <f t="shared" si="26"/>
        <v>719.34245459595479</v>
      </c>
      <c r="DL41" s="110">
        <f t="shared" si="63"/>
        <v>1450871.7272796435</v>
      </c>
      <c r="DM41" s="17">
        <f t="shared" si="27"/>
        <v>604126.15711992688</v>
      </c>
      <c r="DN41" s="17">
        <f t="shared" si="28"/>
        <v>535734.51669125597</v>
      </c>
      <c r="DO41" s="17">
        <f t="shared" si="29"/>
        <v>311011.05346846057</v>
      </c>
      <c r="DP41" s="110">
        <f t="shared" si="64"/>
        <v>481201.62482392503</v>
      </c>
      <c r="DQ41" s="17">
        <f>SUMIF('20.01'!$BB:$BB,$B:$B,'20.01'!$D:$D)*1.2</f>
        <v>15576.84</v>
      </c>
      <c r="DR41" s="17">
        <f t="shared" si="30"/>
        <v>462198.47078729753</v>
      </c>
      <c r="DS41" s="17">
        <f t="shared" si="31"/>
        <v>3426.3140366274479</v>
      </c>
      <c r="DT41" s="110">
        <f t="shared" si="65"/>
        <v>20482.248</v>
      </c>
      <c r="DU41" s="17">
        <f>SUMIF('20.01'!$BD:$BD,$B:$B,'20.01'!$D:$D)*1.2</f>
        <v>20482.248</v>
      </c>
      <c r="DV41" s="17">
        <f t="shared" si="32"/>
        <v>0</v>
      </c>
      <c r="DW41" s="17">
        <f t="shared" si="33"/>
        <v>0</v>
      </c>
      <c r="DX41" s="110">
        <f t="shared" si="34"/>
        <v>5601154.8479991416</v>
      </c>
      <c r="DY41" s="110"/>
      <c r="DZ41" s="110">
        <f t="shared" si="66"/>
        <v>5601154.8479991416</v>
      </c>
      <c r="EA41" s="257"/>
      <c r="EB41" s="110">
        <f t="shared" si="35"/>
        <v>5319.3253012048199</v>
      </c>
      <c r="EC41" s="110">
        <f>SUMIF(еирц!$B:$B,$B:$B,еирц!$K:$K)</f>
        <v>5215190.9099999992</v>
      </c>
      <c r="ED41" s="110">
        <f>SUMIF(еирц!$B:$B,$B:$B,еирц!$P:$P)</f>
        <v>5195843.7799999993</v>
      </c>
      <c r="EE41" s="110">
        <f>SUMIF(еирц!$B:$B,$B:$B,еирц!$S:$S)</f>
        <v>1115048.5799999998</v>
      </c>
      <c r="EF41" s="177">
        <f t="shared" si="67"/>
        <v>-380644.61269793753</v>
      </c>
      <c r="EG41" s="181">
        <f t="shared" si="68"/>
        <v>0</v>
      </c>
      <c r="EH41" s="177">
        <f t="shared" si="69"/>
        <v>-380644.61269793753</v>
      </c>
    </row>
    <row r="42" spans="1:138" ht="12" customHeight="1" x14ac:dyDescent="0.25">
      <c r="A42" s="5">
        <f t="shared" si="70"/>
        <v>38</v>
      </c>
      <c r="B42" s="6" t="s">
        <v>119</v>
      </c>
      <c r="C42" s="7">
        <f t="shared" si="0"/>
        <v>4054.4</v>
      </c>
      <c r="D42" s="8">
        <v>3427.5</v>
      </c>
      <c r="E42" s="8">
        <v>626.9</v>
      </c>
      <c r="F42" s="8">
        <v>442.5</v>
      </c>
      <c r="G42" s="87">
        <f t="shared" si="1"/>
        <v>4054.4</v>
      </c>
      <c r="H42" s="87">
        <f t="shared" si="2"/>
        <v>4054.4</v>
      </c>
      <c r="I42" s="91">
        <v>2</v>
      </c>
      <c r="J42" s="112">
        <v>6.3627983924554607E-3</v>
      </c>
      <c r="K42" s="17">
        <v>1</v>
      </c>
      <c r="L42" s="112">
        <f t="shared" si="36"/>
        <v>2.4096385542168672E-3</v>
      </c>
      <c r="M42" s="116">
        <v>3.4064174578488733</v>
      </c>
      <c r="N42" s="120">
        <f t="shared" si="37"/>
        <v>4054.4</v>
      </c>
      <c r="O42" s="116">
        <v>3.0862347033992443</v>
      </c>
      <c r="P42" s="120">
        <f t="shared" si="38"/>
        <v>4054.4</v>
      </c>
      <c r="Q42" s="116">
        <v>1.6009273001061493</v>
      </c>
      <c r="R42" s="120">
        <f t="shared" si="39"/>
        <v>4054.4</v>
      </c>
      <c r="S42" s="5" t="s">
        <v>73</v>
      </c>
      <c r="T42" s="87">
        <v>41.34</v>
      </c>
      <c r="U42" s="88">
        <v>4.68</v>
      </c>
      <c r="V42" s="88">
        <v>7.92</v>
      </c>
      <c r="W42" s="88">
        <v>12.32</v>
      </c>
      <c r="X42" s="88">
        <v>6.34</v>
      </c>
      <c r="Y42" s="88">
        <v>2.89</v>
      </c>
      <c r="Z42" s="88">
        <v>1.66</v>
      </c>
      <c r="AA42" s="88">
        <v>5.29</v>
      </c>
      <c r="AB42" s="88">
        <v>0.24</v>
      </c>
      <c r="AC42" s="257"/>
      <c r="AD42" s="110">
        <f t="shared" si="40"/>
        <v>227273.92987597437</v>
      </c>
      <c r="AE42" s="110">
        <f t="shared" si="41"/>
        <v>125881.7800226933</v>
      </c>
      <c r="AF42" s="16">
        <f>SUMIF('20.01'!$I:$I,$B:$B,'20.01'!$D:$D)*1.2</f>
        <v>41004.515999999996</v>
      </c>
      <c r="AG42" s="17">
        <f t="shared" si="75"/>
        <v>25941.321371692189</v>
      </c>
      <c r="AH42" s="17">
        <f t="shared" si="43"/>
        <v>3095.9357725829918</v>
      </c>
      <c r="AI42" s="16">
        <f>SUMIF('20.01'!$J:$J,$B:$B,'20.01'!$D:$D)*1.2</f>
        <v>0</v>
      </c>
      <c r="AJ42" s="17">
        <f t="shared" si="44"/>
        <v>1258.1186947752499</v>
      </c>
      <c r="AK42" s="17">
        <f t="shared" si="45"/>
        <v>3060.7232873966291</v>
      </c>
      <c r="AL42" s="17">
        <f t="shared" si="46"/>
        <v>51521.164896246264</v>
      </c>
      <c r="AM42" s="110">
        <f t="shared" si="47"/>
        <v>66749.592000000004</v>
      </c>
      <c r="AN42" s="17">
        <f>SUMIF('20.01'!$K:$K,$B:$B,'20.01'!$D:$D)*1.2</f>
        <v>66749.592000000004</v>
      </c>
      <c r="AO42" s="17">
        <f>SUMIF('20.01'!$L:$L,$B:$B,'20.01'!$D:$D)*1.2</f>
        <v>0</v>
      </c>
      <c r="AP42" s="17">
        <f>SUMIF('20.01'!$M:$M,$B:$B,'20.01'!$D:$D)*1.2</f>
        <v>0</v>
      </c>
      <c r="AQ42" s="110">
        <f t="shared" si="48"/>
        <v>1138.9298532810619</v>
      </c>
      <c r="AR42" s="17">
        <f t="shared" si="49"/>
        <v>1138.9298532810619</v>
      </c>
      <c r="AS42" s="17">
        <f>(SUMIF('20.01'!$N:$N,$B:$B,'20.01'!$D:$D)+SUMIF('20.01'!$O:$O,$B:$B,'20.01'!$D:$D))*1.2</f>
        <v>0</v>
      </c>
      <c r="AT42" s="110">
        <f>SUMIF('20.01'!$P:$P,$B:$B,'20.01'!$D:$D)*1.2</f>
        <v>0</v>
      </c>
      <c r="AU42" s="110">
        <f t="shared" si="50"/>
        <v>0</v>
      </c>
      <c r="AV42" s="17">
        <f>SUMIF('20.01'!$Q:$Q,$B:$B,'20.01'!$D:$D)*1.2</f>
        <v>0</v>
      </c>
      <c r="AW42" s="17">
        <f>SUMIF('20.01'!$R:$R,$B:$B,'20.01'!$D:$D)*1.2</f>
        <v>0</v>
      </c>
      <c r="AX42" s="110">
        <f t="shared" si="51"/>
        <v>33503.627999999997</v>
      </c>
      <c r="AY42" s="17">
        <f>SUMIF('20.01'!$S:$S,$B:$B,'20.01'!$D:$D)*1.2</f>
        <v>33503.627999999997</v>
      </c>
      <c r="AZ42" s="17">
        <f>SUMIF('20.01'!$T:$T,$B:$B,'20.01'!$D:$D)*1.2</f>
        <v>0</v>
      </c>
      <c r="BA42" s="110">
        <f t="shared" si="52"/>
        <v>0</v>
      </c>
      <c r="BB42" s="17">
        <f>SUMIF('20.01'!$U:$U,$B:$B,'20.01'!$D:$D)*1.2</f>
        <v>0</v>
      </c>
      <c r="BC42" s="17">
        <f>SUMIF('20.01'!$V:$V,$B:$B,'20.01'!$D:$D)*1.2</f>
        <v>0</v>
      </c>
      <c r="BD42" s="17">
        <f>SUMIF('20.01'!$W:$W,$B:$B,'20.01'!$D:$D)*1.2</f>
        <v>0</v>
      </c>
      <c r="BE42" s="110">
        <f>SUMIF('20.01'!$X:$X,$B:$B,'20.01'!$D:$D)*1.2</f>
        <v>0</v>
      </c>
      <c r="BF42" s="110">
        <f t="shared" si="53"/>
        <v>0</v>
      </c>
      <c r="BG42" s="17">
        <f>SUMIF('20.01'!$Y:$Y,$B:$B,'20.01'!$D:$D)*1.2</f>
        <v>0</v>
      </c>
      <c r="BH42" s="17">
        <f>SUMIF('20.01'!$Z:$Z,$B:$B,'20.01'!$D:$D)*1.2</f>
        <v>0</v>
      </c>
      <c r="BI42" s="17">
        <f>SUMIF('20.01'!$AA:$AA,$B:$B,'20.01'!$D:$D)*1.2</f>
        <v>0</v>
      </c>
      <c r="BJ42" s="17">
        <f>SUMIF('20.01'!$AB:$AB,$B:$B,'20.01'!$D:$D)*1.2</f>
        <v>0</v>
      </c>
      <c r="BK42" s="17">
        <f>SUMIF('20.01'!$AC:$AC,$B:$B,'20.01'!$D:$D)*1.2</f>
        <v>0</v>
      </c>
      <c r="BL42" s="17">
        <f>SUMIF('20.01'!$AD:$AD,$B:$B,'20.01'!$D:$D)*1.2</f>
        <v>0</v>
      </c>
      <c r="BM42" s="110">
        <f t="shared" si="54"/>
        <v>0</v>
      </c>
      <c r="BN42" s="17">
        <f>SUMIF('20.01'!$AE:$AE,$B:$B,'20.01'!$D:$D)*1.2</f>
        <v>0</v>
      </c>
      <c r="BO42" s="17">
        <f>SUMIF('20.01'!$AF:$AF,$B:$B,'20.01'!$D:$D)*1.2</f>
        <v>0</v>
      </c>
      <c r="BP42" s="110">
        <f>SUMIF('20.01'!$AG:$AG,$B:$B,'20.01'!$D:$D)*1.2</f>
        <v>0</v>
      </c>
      <c r="BQ42" s="110">
        <f>SUMIF('20.01'!$AH:$AH,$B:$B,'20.01'!$D:$D)*1.2</f>
        <v>0</v>
      </c>
      <c r="BR42" s="110">
        <f>SUMIF('20.01'!$AI:$AI,$B:$B,'20.01'!$D:$D)*1.2</f>
        <v>0</v>
      </c>
      <c r="BS42" s="110">
        <f t="shared" si="55"/>
        <v>0</v>
      </c>
      <c r="BT42" s="17">
        <f>SUMIF('20.01'!$AJ:$AJ,$B:$B,'20.01'!$D:$D)*1.2</f>
        <v>0</v>
      </c>
      <c r="BU42" s="17">
        <f>SUMIF('20.01'!$AK:$AK,$B:$B,'20.01'!$D:$D)*1.2</f>
        <v>0</v>
      </c>
      <c r="BV42" s="110">
        <f>SUMIF('20.01'!$AL:$AL,$B:$B,'20.01'!$D:$D)*1.2</f>
        <v>0</v>
      </c>
      <c r="BW42" s="110">
        <f>SUMIF('20.01'!$AM:$AM,$B:$B,'20.01'!$D:$D)*1.2</f>
        <v>0</v>
      </c>
      <c r="BX42" s="110">
        <f>SUMIF('20.01'!$AN:$AN,$B:$B,'20.01'!$D:$D)*1.2</f>
        <v>0</v>
      </c>
      <c r="BY42" s="110">
        <f t="shared" si="3"/>
        <v>410333.73197204364</v>
      </c>
      <c r="BZ42" s="17">
        <f t="shared" si="76"/>
        <v>352087.09898387321</v>
      </c>
      <c r="CA42" s="17">
        <f t="shared" si="5"/>
        <v>25146.527343703736</v>
      </c>
      <c r="CB42" s="17">
        <f t="shared" si="6"/>
        <v>1671.6123469042284</v>
      </c>
      <c r="CC42" s="17">
        <f>SUMIF('20.01'!$AO:$AO,$B:$B,'20.01'!$D:$D)*1.2</f>
        <v>0</v>
      </c>
      <c r="CD42" s="17">
        <f t="shared" si="7"/>
        <v>26242.616071728553</v>
      </c>
      <c r="CE42" s="17">
        <f>SUMIF('20.01'!$AQ:$AQ,$B:$B,'20.01'!$D:$D)*1.2</f>
        <v>0</v>
      </c>
      <c r="CF42" s="17">
        <f t="shared" si="8"/>
        <v>2387.6632201195375</v>
      </c>
      <c r="CG42" s="17">
        <f>SUMIF('20.01'!$AR:$AR,$B:$B,'20.01'!$D:$D)*1.2</f>
        <v>0</v>
      </c>
      <c r="CH42" s="17">
        <f t="shared" si="9"/>
        <v>1406.1603849157514</v>
      </c>
      <c r="CI42" s="17">
        <f>SUMIF('20.01'!$AT:$AT,$B:$B,'20.01'!$D:$D)*1.2</f>
        <v>0</v>
      </c>
      <c r="CJ42" s="17">
        <f>SUMIF('20.01'!$AU:$AU,$B:$B,'20.01'!$D:$D)*1.2</f>
        <v>0</v>
      </c>
      <c r="CK42" s="17">
        <f>SUMIF('20.01'!$AV:$AV,$B:$B,'20.01'!$D:$D)*1.2</f>
        <v>0</v>
      </c>
      <c r="CL42" s="17">
        <f t="shared" si="10"/>
        <v>1392.0536207986281</v>
      </c>
      <c r="CM42" s="17">
        <f>SUMIF('20.01'!$AW:$AW,$B:$B,'20.01'!$D:$D)*1.2</f>
        <v>0</v>
      </c>
      <c r="CN42" s="17">
        <f>SUMIF('20.01'!$AX:$AX,$B:$B,'20.01'!$D:$D)*1.2</f>
        <v>0</v>
      </c>
      <c r="CO42" s="110">
        <f t="shared" si="56"/>
        <v>466980.28548213572</v>
      </c>
      <c r="CP42" s="17">
        <f t="shared" si="57"/>
        <v>368373.37176483206</v>
      </c>
      <c r="CQ42" s="17">
        <f t="shared" si="11"/>
        <v>113648.25387475692</v>
      </c>
      <c r="CR42" s="17">
        <f t="shared" si="12"/>
        <v>254725.11789007514</v>
      </c>
      <c r="CS42" s="17">
        <f t="shared" si="58"/>
        <v>98606.913717303687</v>
      </c>
      <c r="CT42" s="17">
        <f t="shared" si="13"/>
        <v>3592.3363672515766</v>
      </c>
      <c r="CU42" s="17">
        <f t="shared" si="14"/>
        <v>3474.6280686730124</v>
      </c>
      <c r="CV42" s="17">
        <f t="shared" si="15"/>
        <v>3591.104050619841</v>
      </c>
      <c r="CW42" s="17">
        <f t="shared" si="16"/>
        <v>37.656679936807841</v>
      </c>
      <c r="CX42" s="17">
        <f t="shared" si="17"/>
        <v>53024.391224747262</v>
      </c>
      <c r="CY42" s="17">
        <f t="shared" si="18"/>
        <v>34886.797326075197</v>
      </c>
      <c r="CZ42" s="110">
        <f t="shared" si="59"/>
        <v>115916.73200897842</v>
      </c>
      <c r="DA42" s="17">
        <f t="shared" si="60"/>
        <v>4378.6837135823071</v>
      </c>
      <c r="DB42" s="17">
        <f t="shared" si="19"/>
        <v>4155.2102226179786</v>
      </c>
      <c r="DC42" s="17">
        <f t="shared" si="20"/>
        <v>223.47349096432828</v>
      </c>
      <c r="DD42" s="17">
        <f t="shared" si="21"/>
        <v>7715.7429755219591</v>
      </c>
      <c r="DE42" s="17">
        <f t="shared" si="22"/>
        <v>2662.1346342793045</v>
      </c>
      <c r="DF42" s="17">
        <f t="shared" si="23"/>
        <v>3230.8712546051856</v>
      </c>
      <c r="DG42" s="17">
        <f t="shared" si="61"/>
        <v>97929.29943098966</v>
      </c>
      <c r="DH42" s="110">
        <f t="shared" si="62"/>
        <v>72341.095867312586</v>
      </c>
      <c r="DI42" s="17">
        <f t="shared" si="24"/>
        <v>64892.912503659754</v>
      </c>
      <c r="DJ42" s="17">
        <f t="shared" si="25"/>
        <v>7176.7748088766566</v>
      </c>
      <c r="DK42" s="17">
        <f t="shared" si="26"/>
        <v>271.40855477617663</v>
      </c>
      <c r="DL42" s="110">
        <f t="shared" si="63"/>
        <v>547415.2069722669</v>
      </c>
      <c r="DM42" s="17">
        <f t="shared" si="27"/>
        <v>227937.34216410422</v>
      </c>
      <c r="DN42" s="17">
        <f t="shared" si="28"/>
        <v>202133.1147493</v>
      </c>
      <c r="DO42" s="17">
        <f t="shared" si="29"/>
        <v>117344.75005886267</v>
      </c>
      <c r="DP42" s="110">
        <f t="shared" si="64"/>
        <v>181740.48809221046</v>
      </c>
      <c r="DQ42" s="17">
        <f>SUMIF('20.01'!$BB:$BB,$B:$B,'20.01'!$D:$D)*1.2</f>
        <v>6012.5999999999995</v>
      </c>
      <c r="DR42" s="17">
        <f t="shared" si="30"/>
        <v>174434.78912235016</v>
      </c>
      <c r="DS42" s="17">
        <f t="shared" si="31"/>
        <v>1293.0989698602932</v>
      </c>
      <c r="DT42" s="110">
        <f t="shared" si="65"/>
        <v>7586.0159999999996</v>
      </c>
      <c r="DU42" s="17">
        <f>SUMIF('20.01'!$BD:$BD,$B:$B,'20.01'!$D:$D)*1.2</f>
        <v>7586.0159999999996</v>
      </c>
      <c r="DV42" s="17">
        <f t="shared" si="32"/>
        <v>0</v>
      </c>
      <c r="DW42" s="17">
        <f t="shared" si="33"/>
        <v>0</v>
      </c>
      <c r="DX42" s="110">
        <f t="shared" si="34"/>
        <v>2029587.4862709218</v>
      </c>
      <c r="DY42" s="110"/>
      <c r="DZ42" s="110">
        <f t="shared" si="66"/>
        <v>2029587.4862709218</v>
      </c>
      <c r="EA42" s="257"/>
      <c r="EB42" s="110">
        <f t="shared" si="35"/>
        <v>886.55421686746979</v>
      </c>
      <c r="EC42" s="110">
        <f>SUMIF(еирц!$B:$B,$B:$B,еирц!$K:$K)</f>
        <v>1667616.6600000001</v>
      </c>
      <c r="ED42" s="110">
        <f>SUMIF(еирц!$B:$B,$B:$B,еирц!$P:$P)</f>
        <v>1635943.64</v>
      </c>
      <c r="EE42" s="110">
        <f>SUMIF(еирц!$B:$B,$B:$B,еирц!$S:$S)</f>
        <v>202444.27</v>
      </c>
      <c r="EF42" s="177">
        <f t="shared" si="67"/>
        <v>-361084.27205405408</v>
      </c>
      <c r="EG42" s="181">
        <f t="shared" si="68"/>
        <v>0</v>
      </c>
      <c r="EH42" s="177">
        <f t="shared" si="69"/>
        <v>-361084.27205405408</v>
      </c>
    </row>
    <row r="43" spans="1:138" ht="12" customHeight="1" x14ac:dyDescent="0.25">
      <c r="A43" s="5">
        <f t="shared" si="70"/>
        <v>39</v>
      </c>
      <c r="B43" s="6" t="s">
        <v>120</v>
      </c>
      <c r="C43" s="7">
        <f t="shared" si="0"/>
        <v>3567.1</v>
      </c>
      <c r="D43" s="8">
        <v>3567.1</v>
      </c>
      <c r="E43" s="8">
        <v>0</v>
      </c>
      <c r="F43" s="8">
        <v>685.7</v>
      </c>
      <c r="G43" s="87">
        <f t="shared" si="1"/>
        <v>3567.1</v>
      </c>
      <c r="H43" s="87">
        <f t="shared" si="2"/>
        <v>3567.1</v>
      </c>
      <c r="I43" s="91">
        <v>2</v>
      </c>
      <c r="J43" s="112">
        <v>5.5954341041849313E-3</v>
      </c>
      <c r="K43" s="17">
        <v>2</v>
      </c>
      <c r="L43" s="112">
        <f t="shared" si="36"/>
        <v>4.8192771084337345E-3</v>
      </c>
      <c r="M43" s="116">
        <v>3.4064164814191087</v>
      </c>
      <c r="N43" s="120">
        <f t="shared" si="37"/>
        <v>3567.1</v>
      </c>
      <c r="O43" s="116">
        <v>3.0862299315145392</v>
      </c>
      <c r="P43" s="120">
        <f t="shared" si="38"/>
        <v>3567.1</v>
      </c>
      <c r="Q43" s="116">
        <v>1.6009265970584936</v>
      </c>
      <c r="R43" s="120">
        <f t="shared" si="39"/>
        <v>3567.1</v>
      </c>
      <c r="S43" s="5" t="s">
        <v>73</v>
      </c>
      <c r="T43" s="87">
        <v>41.34</v>
      </c>
      <c r="U43" s="88">
        <v>4.68</v>
      </c>
      <c r="V43" s="88">
        <v>7.92</v>
      </c>
      <c r="W43" s="88">
        <v>12.32</v>
      </c>
      <c r="X43" s="88">
        <v>6.34</v>
      </c>
      <c r="Y43" s="88">
        <v>2.89</v>
      </c>
      <c r="Z43" s="88">
        <v>1.66</v>
      </c>
      <c r="AA43" s="88">
        <v>5.29</v>
      </c>
      <c r="AB43" s="88">
        <v>0.24</v>
      </c>
      <c r="AC43" s="257"/>
      <c r="AD43" s="110">
        <f t="shared" si="40"/>
        <v>483896.62023140001</v>
      </c>
      <c r="AE43" s="110">
        <f t="shared" si="41"/>
        <v>147173.74682462245</v>
      </c>
      <c r="AF43" s="16">
        <f>SUMIF('20.01'!$I:$I,$B:$B,'20.01'!$D:$D)*1.2</f>
        <v>72497.915999999997</v>
      </c>
      <c r="AG43" s="17">
        <f t="shared" si="75"/>
        <v>22823.423309235201</v>
      </c>
      <c r="AH43" s="17">
        <f t="shared" si="43"/>
        <v>2723.8339814475112</v>
      </c>
      <c r="AI43" s="16">
        <f>SUMIF('20.01'!$J:$J,$B:$B,'20.01'!$D:$D)*1.2</f>
        <v>0</v>
      </c>
      <c r="AJ43" s="17">
        <f t="shared" si="44"/>
        <v>1106.9048924952629</v>
      </c>
      <c r="AK43" s="17">
        <f t="shared" si="45"/>
        <v>2692.8536993075463</v>
      </c>
      <c r="AL43" s="17">
        <f t="shared" si="46"/>
        <v>45328.814942136945</v>
      </c>
      <c r="AM43" s="110">
        <f t="shared" si="47"/>
        <v>52881.684000000001</v>
      </c>
      <c r="AN43" s="17">
        <f>SUMIF('20.01'!$K:$K,$B:$B,'20.01'!$D:$D)*1.2</f>
        <v>52881.684000000001</v>
      </c>
      <c r="AO43" s="17">
        <f>SUMIF('20.01'!$L:$L,$B:$B,'20.01'!$D:$D)*1.2</f>
        <v>0</v>
      </c>
      <c r="AP43" s="17">
        <f>SUMIF('20.01'!$M:$M,$B:$B,'20.01'!$D:$D)*1.2</f>
        <v>0</v>
      </c>
      <c r="AQ43" s="110">
        <f t="shared" si="48"/>
        <v>1002.0414067775445</v>
      </c>
      <c r="AR43" s="17">
        <f t="shared" si="49"/>
        <v>1002.0414067775445</v>
      </c>
      <c r="AS43" s="17">
        <f>(SUMIF('20.01'!$N:$N,$B:$B,'20.01'!$D:$D)+SUMIF('20.01'!$O:$O,$B:$B,'20.01'!$D:$D))*1.2</f>
        <v>0</v>
      </c>
      <c r="AT43" s="110">
        <f>SUMIF('20.01'!$P:$P,$B:$B,'20.01'!$D:$D)*1.2</f>
        <v>0</v>
      </c>
      <c r="AU43" s="110">
        <f t="shared" si="50"/>
        <v>0</v>
      </c>
      <c r="AV43" s="17">
        <f>SUMIF('20.01'!$Q:$Q,$B:$B,'20.01'!$D:$D)*1.2</f>
        <v>0</v>
      </c>
      <c r="AW43" s="17">
        <f>SUMIF('20.01'!$R:$R,$B:$B,'20.01'!$D:$D)*1.2</f>
        <v>0</v>
      </c>
      <c r="AX43" s="110">
        <f t="shared" si="51"/>
        <v>57465.144</v>
      </c>
      <c r="AY43" s="17">
        <f>SUMIF('20.01'!$S:$S,$B:$B,'20.01'!$D:$D)*1.2</f>
        <v>57465.144</v>
      </c>
      <c r="AZ43" s="17">
        <f>SUMIF('20.01'!$T:$T,$B:$B,'20.01'!$D:$D)*1.2</f>
        <v>0</v>
      </c>
      <c r="BA43" s="110">
        <f t="shared" si="52"/>
        <v>0</v>
      </c>
      <c r="BB43" s="17">
        <f>SUMIF('20.01'!$U:$U,$B:$B,'20.01'!$D:$D)*1.2</f>
        <v>0</v>
      </c>
      <c r="BC43" s="17">
        <f>SUMIF('20.01'!$V:$V,$B:$B,'20.01'!$D:$D)*1.2</f>
        <v>0</v>
      </c>
      <c r="BD43" s="17">
        <f>SUMIF('20.01'!$W:$W,$B:$B,'20.01'!$D:$D)*1.2</f>
        <v>0</v>
      </c>
      <c r="BE43" s="110">
        <f>SUMIF('20.01'!$X:$X,$B:$B,'20.01'!$D:$D)*1.2</f>
        <v>47480.003999999994</v>
      </c>
      <c r="BF43" s="110">
        <f t="shared" si="53"/>
        <v>177894</v>
      </c>
      <c r="BG43" s="17">
        <f>SUMIF('20.01'!$Y:$Y,$B:$B,'20.01'!$D:$D)*1.2</f>
        <v>0</v>
      </c>
      <c r="BH43" s="17">
        <f>SUMIF('20.01'!$Z:$Z,$B:$B,'20.01'!$D:$D)*1.2</f>
        <v>167342.39999999999</v>
      </c>
      <c r="BI43" s="17">
        <f>SUMIF('20.01'!$AA:$AA,$B:$B,'20.01'!$D:$D)*1.2</f>
        <v>0</v>
      </c>
      <c r="BJ43" s="17">
        <f>SUMIF('20.01'!$AB:$AB,$B:$B,'20.01'!$D:$D)*1.2</f>
        <v>0</v>
      </c>
      <c r="BK43" s="17">
        <f>SUMIF('20.01'!$AC:$AC,$B:$B,'20.01'!$D:$D)*1.2</f>
        <v>0</v>
      </c>
      <c r="BL43" s="17">
        <f>SUMIF('20.01'!$AD:$AD,$B:$B,'20.01'!$D:$D)*1.2</f>
        <v>10551.6</v>
      </c>
      <c r="BM43" s="110">
        <f t="shared" si="54"/>
        <v>0</v>
      </c>
      <c r="BN43" s="17">
        <f>SUMIF('20.01'!$AE:$AE,$B:$B,'20.01'!$D:$D)*1.2</f>
        <v>0</v>
      </c>
      <c r="BO43" s="17">
        <f>SUMIF('20.01'!$AF:$AF,$B:$B,'20.01'!$D:$D)*1.2</f>
        <v>0</v>
      </c>
      <c r="BP43" s="110">
        <f>SUMIF('20.01'!$AG:$AG,$B:$B,'20.01'!$D:$D)*1.2</f>
        <v>0</v>
      </c>
      <c r="BQ43" s="110">
        <f>SUMIF('20.01'!$AH:$AH,$B:$B,'20.01'!$D:$D)*1.2</f>
        <v>0</v>
      </c>
      <c r="BR43" s="110">
        <f>SUMIF('20.01'!$AI:$AI,$B:$B,'20.01'!$D:$D)*1.2</f>
        <v>0</v>
      </c>
      <c r="BS43" s="110">
        <f t="shared" si="55"/>
        <v>0</v>
      </c>
      <c r="BT43" s="17">
        <f>SUMIF('20.01'!$AJ:$AJ,$B:$B,'20.01'!$D:$D)*1.2</f>
        <v>0</v>
      </c>
      <c r="BU43" s="17">
        <f>SUMIF('20.01'!$AK:$AK,$B:$B,'20.01'!$D:$D)*1.2</f>
        <v>0</v>
      </c>
      <c r="BV43" s="110">
        <f>SUMIF('20.01'!$AL:$AL,$B:$B,'20.01'!$D:$D)*1.2</f>
        <v>0</v>
      </c>
      <c r="BW43" s="110">
        <f>SUMIF('20.01'!$AM:$AM,$B:$B,'20.01'!$D:$D)*1.2</f>
        <v>0</v>
      </c>
      <c r="BX43" s="110">
        <f>SUMIF('20.01'!$AN:$AN,$B:$B,'20.01'!$D:$D)*1.2</f>
        <v>0</v>
      </c>
      <c r="BY43" s="110">
        <f t="shared" si="3"/>
        <v>361015.55231784657</v>
      </c>
      <c r="BZ43" s="17">
        <f t="shared" si="76"/>
        <v>309769.606054009</v>
      </c>
      <c r="CA43" s="17">
        <f t="shared" si="5"/>
        <v>22124.155901668702</v>
      </c>
      <c r="CB43" s="17">
        <f t="shared" si="6"/>
        <v>1470.700572869493</v>
      </c>
      <c r="CC43" s="17">
        <f>SUMIF('20.01'!$AO:$AO,$B:$B,'20.01'!$D:$D)*1.2</f>
        <v>0</v>
      </c>
      <c r="CD43" s="17">
        <f t="shared" si="7"/>
        <v>23088.505275617332</v>
      </c>
      <c r="CE43" s="17">
        <f>SUMIF('20.01'!$AQ:$AQ,$B:$B,'20.01'!$D:$D)*1.2</f>
        <v>0</v>
      </c>
      <c r="CF43" s="17">
        <f t="shared" si="8"/>
        <v>2100.6889977526639</v>
      </c>
      <c r="CG43" s="17">
        <f>SUMIF('20.01'!$AR:$AR,$B:$B,'20.01'!$D:$D)*1.2</f>
        <v>0</v>
      </c>
      <c r="CH43" s="17">
        <f t="shared" si="9"/>
        <v>1237.1533911387571</v>
      </c>
      <c r="CI43" s="17">
        <f>SUMIF('20.01'!$AT:$AT,$B:$B,'20.01'!$D:$D)*1.2</f>
        <v>0</v>
      </c>
      <c r="CJ43" s="17">
        <f>SUMIF('20.01'!$AU:$AU,$B:$B,'20.01'!$D:$D)*1.2</f>
        <v>0</v>
      </c>
      <c r="CK43" s="17">
        <f>SUMIF('20.01'!$AV:$AV,$B:$B,'20.01'!$D:$D)*1.2</f>
        <v>0</v>
      </c>
      <c r="CL43" s="17">
        <f t="shared" si="10"/>
        <v>1224.7421247905452</v>
      </c>
      <c r="CM43" s="17">
        <f>SUMIF('20.01'!$AW:$AW,$B:$B,'20.01'!$D:$D)*1.2</f>
        <v>0</v>
      </c>
      <c r="CN43" s="17">
        <f>SUMIF('20.01'!$AX:$AX,$B:$B,'20.01'!$D:$D)*1.2</f>
        <v>0</v>
      </c>
      <c r="CO43" s="110">
        <f t="shared" si="56"/>
        <v>410853.73331277783</v>
      </c>
      <c r="CP43" s="17">
        <f t="shared" si="57"/>
        <v>324098.42502523982</v>
      </c>
      <c r="CQ43" s="17">
        <f t="shared" si="11"/>
        <v>99988.823598225485</v>
      </c>
      <c r="CR43" s="17">
        <f t="shared" si="12"/>
        <v>224109.60142701436</v>
      </c>
      <c r="CS43" s="17">
        <f t="shared" si="58"/>
        <v>86755.308287537977</v>
      </c>
      <c r="CT43" s="17">
        <f t="shared" si="13"/>
        <v>3160.5719849109851</v>
      </c>
      <c r="CU43" s="17">
        <f t="shared" si="14"/>
        <v>3057.0110950482194</v>
      </c>
      <c r="CV43" s="17">
        <f t="shared" si="15"/>
        <v>3159.4877809209829</v>
      </c>
      <c r="CW43" s="17">
        <f t="shared" si="16"/>
        <v>33.130708120211928</v>
      </c>
      <c r="CX43" s="17">
        <f t="shared" si="17"/>
        <v>46651.367881263795</v>
      </c>
      <c r="CY43" s="17">
        <f t="shared" si="18"/>
        <v>30693.738837273784</v>
      </c>
      <c r="CZ43" s="110">
        <f t="shared" si="59"/>
        <v>101984.65241446994</v>
      </c>
      <c r="DA43" s="17">
        <f t="shared" si="60"/>
        <v>3852.4079209548754</v>
      </c>
      <c r="DB43" s="17">
        <f t="shared" si="19"/>
        <v>3655.7938005871624</v>
      </c>
      <c r="DC43" s="17">
        <f t="shared" si="20"/>
        <v>196.61412036771293</v>
      </c>
      <c r="DD43" s="17">
        <f t="shared" si="21"/>
        <v>6788.3846606117741</v>
      </c>
      <c r="DE43" s="17">
        <f t="shared" si="22"/>
        <v>2342.1715799964745</v>
      </c>
      <c r="DF43" s="17">
        <f t="shared" si="23"/>
        <v>2842.5515125054649</v>
      </c>
      <c r="DG43" s="17">
        <f t="shared" si="61"/>
        <v>86159.136740401344</v>
      </c>
      <c r="DH43" s="110">
        <f t="shared" si="62"/>
        <v>63646.389864909906</v>
      </c>
      <c r="DI43" s="17">
        <f t="shared" si="24"/>
        <v>57093.406716605343</v>
      </c>
      <c r="DJ43" s="17">
        <f t="shared" si="25"/>
        <v>6314.195299117976</v>
      </c>
      <c r="DK43" s="17">
        <f t="shared" si="26"/>
        <v>238.78784918658735</v>
      </c>
      <c r="DL43" s="110">
        <f t="shared" si="63"/>
        <v>481621.14857704547</v>
      </c>
      <c r="DM43" s="17">
        <f t="shared" si="27"/>
        <v>200541.45945974157</v>
      </c>
      <c r="DN43" s="17">
        <f t="shared" si="28"/>
        <v>177838.65272845008</v>
      </c>
      <c r="DO43" s="17">
        <f t="shared" si="29"/>
        <v>103241.03638885384</v>
      </c>
      <c r="DP43" s="110">
        <f t="shared" si="64"/>
        <v>161734.80645456901</v>
      </c>
      <c r="DQ43" s="17">
        <f>SUMIF('20.01'!$BB:$BB,$B:$B,'20.01'!$D:$D)*1.2</f>
        <v>7200</v>
      </c>
      <c r="DR43" s="17">
        <f t="shared" si="30"/>
        <v>153397.65741577157</v>
      </c>
      <c r="DS43" s="17">
        <f t="shared" si="31"/>
        <v>1137.1490387974502</v>
      </c>
      <c r="DT43" s="110">
        <f t="shared" si="65"/>
        <v>7396.3680000000004</v>
      </c>
      <c r="DU43" s="17">
        <f>SUMIF('20.01'!$BD:$BD,$B:$B,'20.01'!$D:$D)*1.2</f>
        <v>7396.3680000000004</v>
      </c>
      <c r="DV43" s="17">
        <f t="shared" si="32"/>
        <v>0</v>
      </c>
      <c r="DW43" s="17">
        <f t="shared" si="33"/>
        <v>0</v>
      </c>
      <c r="DX43" s="110">
        <f t="shared" si="34"/>
        <v>2072149.271173019</v>
      </c>
      <c r="DY43" s="110"/>
      <c r="DZ43" s="110">
        <f t="shared" si="66"/>
        <v>2072149.271173019</v>
      </c>
      <c r="EA43" s="257"/>
      <c r="EB43" s="110">
        <f t="shared" si="35"/>
        <v>1773.1084337349396</v>
      </c>
      <c r="EC43" s="110">
        <f>SUMIF(еирц!$B:$B,$B:$B,еирц!$K:$K)</f>
        <v>1735156.56</v>
      </c>
      <c r="ED43" s="110">
        <f>SUMIF(еирц!$B:$B,$B:$B,еирц!$P:$P)</f>
        <v>1679788.0899999999</v>
      </c>
      <c r="EE43" s="110">
        <f>SUMIF(еирц!$B:$B,$B:$B,еирц!$S:$S)</f>
        <v>547710.13</v>
      </c>
      <c r="EF43" s="177">
        <f t="shared" si="67"/>
        <v>-335219.60273928405</v>
      </c>
      <c r="EG43" s="181">
        <f t="shared" si="68"/>
        <v>0</v>
      </c>
      <c r="EH43" s="177">
        <f t="shared" si="69"/>
        <v>-335219.60273928405</v>
      </c>
    </row>
    <row r="44" spans="1:138" ht="12" customHeight="1" x14ac:dyDescent="0.25">
      <c r="A44" s="5">
        <f t="shared" si="70"/>
        <v>40</v>
      </c>
      <c r="B44" s="6" t="s">
        <v>121</v>
      </c>
      <c r="C44" s="7">
        <f t="shared" si="0"/>
        <v>21973.200000000001</v>
      </c>
      <c r="D44" s="8">
        <v>20211.400000000001</v>
      </c>
      <c r="E44" s="8">
        <v>1761.8</v>
      </c>
      <c r="F44" s="8">
        <v>3728</v>
      </c>
      <c r="G44" s="91">
        <f t="shared" si="1"/>
        <v>21973.200000000001</v>
      </c>
      <c r="H44" s="87">
        <f t="shared" si="2"/>
        <v>0</v>
      </c>
      <c r="I44" s="91">
        <v>16</v>
      </c>
      <c r="J44" s="112">
        <v>3.4517132089512986E-2</v>
      </c>
      <c r="K44" s="17">
        <v>8</v>
      </c>
      <c r="L44" s="112">
        <f t="shared" si="36"/>
        <v>1.9277108433734938E-2</v>
      </c>
      <c r="M44" s="116">
        <v>3.4064173416800281</v>
      </c>
      <c r="N44" s="120">
        <f t="shared" si="37"/>
        <v>21973.200000000001</v>
      </c>
      <c r="O44" s="116">
        <v>3.0862320076114873</v>
      </c>
      <c r="P44" s="120">
        <f t="shared" si="38"/>
        <v>21973.200000000001</v>
      </c>
      <c r="Q44" s="116">
        <v>1.6009271685623412</v>
      </c>
      <c r="R44" s="120">
        <f t="shared" si="39"/>
        <v>21973.200000000001</v>
      </c>
      <c r="S44" s="5" t="s">
        <v>73</v>
      </c>
      <c r="T44" s="87">
        <v>41.1</v>
      </c>
      <c r="U44" s="88">
        <v>4.68</v>
      </c>
      <c r="V44" s="88">
        <v>7.92</v>
      </c>
      <c r="W44" s="88">
        <v>12.32</v>
      </c>
      <c r="X44" s="88">
        <v>6.34</v>
      </c>
      <c r="Y44" s="88">
        <v>2.89</v>
      </c>
      <c r="Z44" s="88">
        <v>1.66</v>
      </c>
      <c r="AA44" s="88">
        <v>5.29</v>
      </c>
      <c r="AB44" s="88">
        <v>0</v>
      </c>
      <c r="AC44" s="257"/>
      <c r="AD44" s="110">
        <f t="shared" si="40"/>
        <v>978608.47163505328</v>
      </c>
      <c r="AE44" s="110">
        <f t="shared" si="41"/>
        <v>756981.37077334372</v>
      </c>
      <c r="AF44" s="16">
        <f>SUMIF('20.01'!$I:$I,$B:$B,'20.01'!$D:$D)*1.2</f>
        <v>296981.09999999998</v>
      </c>
      <c r="AG44" s="17">
        <f t="shared" si="75"/>
        <v>140591.41741428245</v>
      </c>
      <c r="AH44" s="17">
        <f t="shared" si="43"/>
        <v>16778.713476253106</v>
      </c>
      <c r="AI44" s="16">
        <f>SUMIF('20.01'!$J:$J,$B:$B,'20.01'!$D:$D)*1.2</f>
        <v>0</v>
      </c>
      <c r="AJ44" s="17">
        <f t="shared" si="44"/>
        <v>6818.4919356835835</v>
      </c>
      <c r="AK44" s="17">
        <f t="shared" si="45"/>
        <v>16587.876119431632</v>
      </c>
      <c r="AL44" s="17">
        <f t="shared" si="46"/>
        <v>279223.77182769298</v>
      </c>
      <c r="AM44" s="110">
        <f t="shared" si="47"/>
        <v>0</v>
      </c>
      <c r="AN44" s="17">
        <f>SUMIF('20.01'!$K:$K,$B:$B,'20.01'!$D:$D)*1.2</f>
        <v>0</v>
      </c>
      <c r="AO44" s="17">
        <f>SUMIF('20.01'!$L:$L,$B:$B,'20.01'!$D:$D)*1.2</f>
        <v>0</v>
      </c>
      <c r="AP44" s="17">
        <f>SUMIF('20.01'!$M:$M,$B:$B,'20.01'!$D:$D)*1.2</f>
        <v>0</v>
      </c>
      <c r="AQ44" s="110">
        <f t="shared" si="48"/>
        <v>6172.5368617096074</v>
      </c>
      <c r="AR44" s="17">
        <f t="shared" si="49"/>
        <v>6172.5368617096074</v>
      </c>
      <c r="AS44" s="17">
        <f>(SUMIF('20.01'!$N:$N,$B:$B,'20.01'!$D:$D)+SUMIF('20.01'!$O:$O,$B:$B,'20.01'!$D:$D))*1.2</f>
        <v>0</v>
      </c>
      <c r="AT44" s="110">
        <f>SUMIF('20.01'!$P:$P,$B:$B,'20.01'!$D:$D)*1.2</f>
        <v>0</v>
      </c>
      <c r="AU44" s="110">
        <f t="shared" si="50"/>
        <v>0</v>
      </c>
      <c r="AV44" s="17">
        <f>SUMIF('20.01'!$Q:$Q,$B:$B,'20.01'!$D:$D)*1.2</f>
        <v>0</v>
      </c>
      <c r="AW44" s="17">
        <f>SUMIF('20.01'!$R:$R,$B:$B,'20.01'!$D:$D)*1.2</f>
        <v>0</v>
      </c>
      <c r="AX44" s="110">
        <f t="shared" si="51"/>
        <v>215454.56399999998</v>
      </c>
      <c r="AY44" s="17">
        <f>SUMIF('20.01'!$S:$S,$B:$B,'20.01'!$D:$D)*1.2</f>
        <v>215454.56399999998</v>
      </c>
      <c r="AZ44" s="17">
        <f>SUMIF('20.01'!$T:$T,$B:$B,'20.01'!$D:$D)*1.2</f>
        <v>0</v>
      </c>
      <c r="BA44" s="110">
        <f t="shared" si="52"/>
        <v>0</v>
      </c>
      <c r="BB44" s="17">
        <f>SUMIF('20.01'!$U:$U,$B:$B,'20.01'!$D:$D)*1.2</f>
        <v>0</v>
      </c>
      <c r="BC44" s="17">
        <f>SUMIF('20.01'!$V:$V,$B:$B,'20.01'!$D:$D)*1.2</f>
        <v>0</v>
      </c>
      <c r="BD44" s="17">
        <f>SUMIF('20.01'!$W:$W,$B:$B,'20.01'!$D:$D)*1.2</f>
        <v>0</v>
      </c>
      <c r="BE44" s="110">
        <f>SUMIF('20.01'!$X:$X,$B:$B,'20.01'!$D:$D)*1.2</f>
        <v>0</v>
      </c>
      <c r="BF44" s="110">
        <f t="shared" si="53"/>
        <v>0</v>
      </c>
      <c r="BG44" s="17">
        <f>SUMIF('20.01'!$Y:$Y,$B:$B,'20.01'!$D:$D)*1.2</f>
        <v>0</v>
      </c>
      <c r="BH44" s="17">
        <f>SUMIF('20.01'!$Z:$Z,$B:$B,'20.01'!$D:$D)*1.2</f>
        <v>0</v>
      </c>
      <c r="BI44" s="17">
        <f>SUMIF('20.01'!$AA:$AA,$B:$B,'20.01'!$D:$D)*1.2</f>
        <v>0</v>
      </c>
      <c r="BJ44" s="17">
        <f>SUMIF('20.01'!$AB:$AB,$B:$B,'20.01'!$D:$D)*1.2</f>
        <v>0</v>
      </c>
      <c r="BK44" s="17">
        <f>SUMIF('20.01'!$AC:$AC,$B:$B,'20.01'!$D:$D)*1.2</f>
        <v>0</v>
      </c>
      <c r="BL44" s="17">
        <f>SUMIF('20.01'!$AD:$AD,$B:$B,'20.01'!$D:$D)*1.2</f>
        <v>0</v>
      </c>
      <c r="BM44" s="110">
        <f t="shared" si="54"/>
        <v>0</v>
      </c>
      <c r="BN44" s="17">
        <f>SUMIF('20.01'!$AE:$AE,$B:$B,'20.01'!$D:$D)*1.2</f>
        <v>0</v>
      </c>
      <c r="BO44" s="17">
        <f>SUMIF('20.01'!$AF:$AF,$B:$B,'20.01'!$D:$D)*1.2</f>
        <v>0</v>
      </c>
      <c r="BP44" s="110">
        <f>SUMIF('20.01'!$AG:$AG,$B:$B,'20.01'!$D:$D)*1.2</f>
        <v>0</v>
      </c>
      <c r="BQ44" s="110">
        <f>SUMIF('20.01'!$AH:$AH,$B:$B,'20.01'!$D:$D)*1.2</f>
        <v>0</v>
      </c>
      <c r="BR44" s="110">
        <f>SUMIF('20.01'!$AI:$AI,$B:$B,'20.01'!$D:$D)*1.2</f>
        <v>0</v>
      </c>
      <c r="BS44" s="110">
        <f t="shared" si="55"/>
        <v>0</v>
      </c>
      <c r="BT44" s="17">
        <f>SUMIF('20.01'!$AJ:$AJ,$B:$B,'20.01'!$D:$D)*1.2</f>
        <v>0</v>
      </c>
      <c r="BU44" s="17">
        <f>SUMIF('20.01'!$AK:$AK,$B:$B,'20.01'!$D:$D)*1.2</f>
        <v>0</v>
      </c>
      <c r="BV44" s="110">
        <f>SUMIF('20.01'!$AL:$AL,$B:$B,'20.01'!$D:$D)*1.2</f>
        <v>0</v>
      </c>
      <c r="BW44" s="110">
        <f>SUMIF('20.01'!$AM:$AM,$B:$B,'20.01'!$D:$D)*1.2</f>
        <v>0</v>
      </c>
      <c r="BX44" s="110">
        <f>SUMIF('20.01'!$AN:$AN,$B:$B,'20.01'!$D:$D)*1.2</f>
        <v>0</v>
      </c>
      <c r="BY44" s="110">
        <f t="shared" si="3"/>
        <v>2223842.0381235476</v>
      </c>
      <c r="BZ44" s="179">
        <f t="shared" si="76"/>
        <v>1908168.962951964</v>
      </c>
      <c r="CA44" s="179">
        <f t="shared" si="5"/>
        <v>136283.95684408813</v>
      </c>
      <c r="CB44" s="179">
        <f t="shared" si="6"/>
        <v>9059.4594566387113</v>
      </c>
      <c r="CC44" s="179">
        <f>SUMIF('20.01'!$AO:$AO,$B:$B,'20.01'!$D:$D)*1.2</f>
        <v>0</v>
      </c>
      <c r="CD44" s="179">
        <f t="shared" si="7"/>
        <v>142224.31222062593</v>
      </c>
      <c r="CE44" s="179">
        <f>SUMIF('20.01'!$AQ:$AQ,$B:$B,'20.01'!$D:$D)*1.2</f>
        <v>0</v>
      </c>
      <c r="CF44" s="179">
        <f t="shared" si="8"/>
        <v>12940.164134848712</v>
      </c>
      <c r="CG44" s="179">
        <f>SUMIF('20.01'!$AR:$AR,$B:$B,'20.01'!$D:$D)*1.2</f>
        <v>0</v>
      </c>
      <c r="CH44" s="179">
        <f t="shared" si="9"/>
        <v>7620.8177214460311</v>
      </c>
      <c r="CI44" s="179">
        <f>SUMIF('20.01'!$AT:$AT,$B:$B,'20.01'!$D:$D)*1.2</f>
        <v>0</v>
      </c>
      <c r="CJ44" s="179">
        <f>SUMIF('20.01'!$AU:$AU,$B:$B,'20.01'!$D:$D)*1.2</f>
        <v>0</v>
      </c>
      <c r="CK44" s="179">
        <f>SUMIF('20.01'!$AV:$AV,$B:$B,'20.01'!$D:$D)*1.2</f>
        <v>0</v>
      </c>
      <c r="CL44" s="179">
        <f t="shared" si="10"/>
        <v>7544.3647939355797</v>
      </c>
      <c r="CM44" s="179">
        <f>SUMIF('20.01'!$AW:$AW,$B:$B,'20.01'!$D:$D)*1.2</f>
        <v>0</v>
      </c>
      <c r="CN44" s="179">
        <f>SUMIF('20.01'!$AX:$AX,$B:$B,'20.01'!$D:$D)*1.2</f>
        <v>0</v>
      </c>
      <c r="CO44" s="110">
        <f t="shared" si="56"/>
        <v>2530843.3329114211</v>
      </c>
      <c r="CP44" s="17">
        <f t="shared" si="57"/>
        <v>1996433.9415111998</v>
      </c>
      <c r="CQ44" s="17">
        <f t="shared" si="11"/>
        <v>615927.34117028629</v>
      </c>
      <c r="CR44" s="17">
        <f t="shared" si="12"/>
        <v>1380506.6003409135</v>
      </c>
      <c r="CS44" s="17">
        <f t="shared" si="58"/>
        <v>534409.39140022139</v>
      </c>
      <c r="CT44" s="17">
        <f t="shared" si="13"/>
        <v>19469.002926423724</v>
      </c>
      <c r="CU44" s="17">
        <f t="shared" si="14"/>
        <v>18831.071793253213</v>
      </c>
      <c r="CV44" s="17">
        <f t="shared" si="15"/>
        <v>19462.324271181897</v>
      </c>
      <c r="CW44" s="17">
        <f t="shared" si="16"/>
        <v>204.08389887220451</v>
      </c>
      <c r="CX44" s="17">
        <f t="shared" si="17"/>
        <v>287370.64750878466</v>
      </c>
      <c r="CY44" s="17">
        <f t="shared" si="18"/>
        <v>189072.26100170569</v>
      </c>
      <c r="CZ44" s="110">
        <f t="shared" si="59"/>
        <v>628221.57058496564</v>
      </c>
      <c r="DA44" s="17">
        <f t="shared" si="60"/>
        <v>23730.685915372622</v>
      </c>
      <c r="DB44" s="17">
        <f t="shared" si="19"/>
        <v>22519.550430058549</v>
      </c>
      <c r="DC44" s="17">
        <f t="shared" si="20"/>
        <v>1211.1354853140731</v>
      </c>
      <c r="DD44" s="17">
        <f t="shared" si="21"/>
        <v>41816.190693996425</v>
      </c>
      <c r="DE44" s="17">
        <f t="shared" si="22"/>
        <v>14427.687634655193</v>
      </c>
      <c r="DF44" s="17">
        <f t="shared" si="23"/>
        <v>17510.008941320706</v>
      </c>
      <c r="DG44" s="17">
        <f t="shared" si="61"/>
        <v>530736.99739962071</v>
      </c>
      <c r="DH44" s="110">
        <f t="shared" si="62"/>
        <v>392059.33497228514</v>
      </c>
      <c r="DI44" s="17">
        <f t="shared" si="24"/>
        <v>351693.20861913392</v>
      </c>
      <c r="DJ44" s="17">
        <f t="shared" si="25"/>
        <v>38895.202306237312</v>
      </c>
      <c r="DK44" s="17">
        <f t="shared" si="26"/>
        <v>1470.9240469139415</v>
      </c>
      <c r="DL44" s="110">
        <f t="shared" si="63"/>
        <v>2966767.9128460474</v>
      </c>
      <c r="DM44" s="17">
        <f t="shared" si="27"/>
        <v>1235327.7443864185</v>
      </c>
      <c r="DN44" s="17">
        <f t="shared" si="28"/>
        <v>1095479.3204936164</v>
      </c>
      <c r="DO44" s="17">
        <f t="shared" si="29"/>
        <v>635960.84796601254</v>
      </c>
      <c r="DP44" s="110">
        <f t="shared" si="64"/>
        <v>1002216.0083629002</v>
      </c>
      <c r="DQ44" s="17">
        <f>SUMIF('20.01'!$BB:$BB,$B:$B,'20.01'!$D:$D)*1.2</f>
        <v>48921.192000000003</v>
      </c>
      <c r="DR44" s="17">
        <f t="shared" si="30"/>
        <v>946279.96767613292</v>
      </c>
      <c r="DS44" s="17">
        <f t="shared" si="31"/>
        <v>7014.8486867672436</v>
      </c>
      <c r="DT44" s="110">
        <f t="shared" si="65"/>
        <v>0</v>
      </c>
      <c r="DU44" s="17">
        <f>SUMIF('20.01'!$BD:$BD,$B:$B,'20.01'!$D:$D)*1.2</f>
        <v>0</v>
      </c>
      <c r="DV44" s="17">
        <f t="shared" si="32"/>
        <v>0</v>
      </c>
      <c r="DW44" s="17">
        <f t="shared" si="33"/>
        <v>0</v>
      </c>
      <c r="DX44" s="110">
        <f t="shared" si="34"/>
        <v>10722558.66943622</v>
      </c>
      <c r="DY44" s="110"/>
      <c r="DZ44" s="110">
        <f t="shared" si="66"/>
        <v>10722558.66943622</v>
      </c>
      <c r="EA44" s="257"/>
      <c r="EB44" s="110">
        <f t="shared" si="35"/>
        <v>7092.4337349397583</v>
      </c>
      <c r="EC44" s="110">
        <f>SUMIF(еирц!$B:$B,$B:$B,еирц!$K:$K)</f>
        <v>9777131.6699999999</v>
      </c>
      <c r="ED44" s="110">
        <f>SUMIF(еирц!$B:$B,$B:$B,еирц!$P:$P)</f>
        <v>9625418.1600000001</v>
      </c>
      <c r="EE44" s="110">
        <f>SUMIF(еирц!$B:$B,$B:$B,еирц!$S:$S)</f>
        <v>1827237.3900000001</v>
      </c>
      <c r="EF44" s="177">
        <f t="shared" si="67"/>
        <v>-938334.56570127979</v>
      </c>
      <c r="EG44" s="181">
        <f t="shared" si="68"/>
        <v>0</v>
      </c>
      <c r="EH44" s="177">
        <f t="shared" si="69"/>
        <v>-938334.56570127979</v>
      </c>
    </row>
    <row r="45" spans="1:138" ht="12" customHeight="1" x14ac:dyDescent="0.25">
      <c r="A45" s="5">
        <f t="shared" si="70"/>
        <v>41</v>
      </c>
      <c r="B45" s="6" t="s">
        <v>122</v>
      </c>
      <c r="C45" s="7">
        <f t="shared" si="0"/>
        <v>644.9</v>
      </c>
      <c r="D45" s="8">
        <v>644.9</v>
      </c>
      <c r="E45" s="8">
        <v>0</v>
      </c>
      <c r="F45" s="8">
        <v>62.2</v>
      </c>
      <c r="G45" s="87">
        <f t="shared" si="1"/>
        <v>644.9</v>
      </c>
      <c r="H45" s="87">
        <f t="shared" si="2"/>
        <v>644.9</v>
      </c>
      <c r="I45" s="91">
        <v>0</v>
      </c>
      <c r="J45" s="112">
        <v>0</v>
      </c>
      <c r="K45" s="17">
        <v>0</v>
      </c>
      <c r="L45" s="112">
        <f t="shared" si="36"/>
        <v>0</v>
      </c>
      <c r="M45" s="116">
        <v>3.4064203442394176</v>
      </c>
      <c r="N45" s="120">
        <f t="shared" si="37"/>
        <v>644.9</v>
      </c>
      <c r="O45" s="116">
        <v>3.0862367498837031</v>
      </c>
      <c r="P45" s="120">
        <f t="shared" si="38"/>
        <v>644.9</v>
      </c>
      <c r="Q45" s="116">
        <v>0</v>
      </c>
      <c r="R45" s="120">
        <f t="shared" si="39"/>
        <v>0</v>
      </c>
      <c r="S45" s="5" t="s">
        <v>73</v>
      </c>
      <c r="T45" s="87">
        <v>28.44</v>
      </c>
      <c r="U45" s="88">
        <v>4.68</v>
      </c>
      <c r="V45" s="88">
        <v>6.05</v>
      </c>
      <c r="W45" s="88">
        <v>8.24</v>
      </c>
      <c r="X45" s="88">
        <v>6.34</v>
      </c>
      <c r="Y45" s="88">
        <v>2.89</v>
      </c>
      <c r="Z45" s="88">
        <v>0</v>
      </c>
      <c r="AA45" s="88">
        <v>0</v>
      </c>
      <c r="AB45" s="88">
        <v>0.24</v>
      </c>
      <c r="AC45" s="257"/>
      <c r="AD45" s="110">
        <f t="shared" si="40"/>
        <v>77841.171191844871</v>
      </c>
      <c r="AE45" s="110">
        <f t="shared" si="41"/>
        <v>77660.01100479353</v>
      </c>
      <c r="AF45" s="16">
        <f>SUMIF('20.01'!$I:$I,$B:$B,'20.01'!$D:$D)*1.2</f>
        <v>64159.284</v>
      </c>
      <c r="AG45" s="17">
        <f t="shared" si="75"/>
        <v>4126.2722357449411</v>
      </c>
      <c r="AH45" s="17">
        <f t="shared" si="43"/>
        <v>492.44499302949174</v>
      </c>
      <c r="AI45" s="16">
        <f>SUMIF('20.01'!$J:$J,$B:$B,'20.01'!$D:$D)*1.2</f>
        <v>0</v>
      </c>
      <c r="AJ45" s="17">
        <f>$AJ$244/$G$244*G45</f>
        <v>200.11857395929326</v>
      </c>
      <c r="AK45" s="17">
        <f t="shared" si="45"/>
        <v>486.8440331595516</v>
      </c>
      <c r="AL45" s="17">
        <f t="shared" si="46"/>
        <v>8195.0471689002607</v>
      </c>
      <c r="AM45" s="110">
        <f t="shared" si="47"/>
        <v>0</v>
      </c>
      <c r="AN45" s="17">
        <f>SUMIF('20.01'!$K:$K,$B:$B,'20.01'!$D:$D)*1.2</f>
        <v>0</v>
      </c>
      <c r="AO45" s="17">
        <f>SUMIF('20.01'!$L:$L,$B:$B,'20.01'!$D:$D)*1.2</f>
        <v>0</v>
      </c>
      <c r="AP45" s="17">
        <f>SUMIF('20.01'!$M:$M,$B:$B,'20.01'!$D:$D)*1.2</f>
        <v>0</v>
      </c>
      <c r="AQ45" s="110">
        <f t="shared" si="48"/>
        <v>181.16018705134098</v>
      </c>
      <c r="AR45" s="17">
        <f t="shared" si="49"/>
        <v>181.16018705134098</v>
      </c>
      <c r="AS45" s="17">
        <f>(SUMIF('20.01'!$N:$N,$B:$B,'20.01'!$D:$D)+SUMIF('20.01'!$O:$O,$B:$B,'20.01'!$D:$D))*1.2</f>
        <v>0</v>
      </c>
      <c r="AT45" s="110">
        <f>SUMIF('20.01'!$P:$P,$B:$B,'20.01'!$D:$D)*1.2</f>
        <v>0</v>
      </c>
      <c r="AU45" s="110">
        <f t="shared" si="50"/>
        <v>0</v>
      </c>
      <c r="AV45" s="17">
        <f>SUMIF('20.01'!$Q:$Q,$B:$B,'20.01'!$D:$D)*1.2</f>
        <v>0</v>
      </c>
      <c r="AW45" s="17">
        <f>SUMIF('20.01'!$R:$R,$B:$B,'20.01'!$D:$D)*1.2</f>
        <v>0</v>
      </c>
      <c r="AX45" s="110">
        <f t="shared" si="51"/>
        <v>0</v>
      </c>
      <c r="AY45" s="17">
        <f>SUMIF('20.01'!$S:$S,$B:$B,'20.01'!$D:$D)*1.2</f>
        <v>0</v>
      </c>
      <c r="AZ45" s="17">
        <f>SUMIF('20.01'!$T:$T,$B:$B,'20.01'!$D:$D)*1.2</f>
        <v>0</v>
      </c>
      <c r="BA45" s="110">
        <f t="shared" si="52"/>
        <v>0</v>
      </c>
      <c r="BB45" s="17">
        <f>SUMIF('20.01'!$U:$U,$B:$B,'20.01'!$D:$D)*1.2</f>
        <v>0</v>
      </c>
      <c r="BC45" s="17">
        <f>SUMIF('20.01'!$V:$V,$B:$B,'20.01'!$D:$D)*1.2</f>
        <v>0</v>
      </c>
      <c r="BD45" s="17">
        <f>SUMIF('20.01'!$W:$W,$B:$B,'20.01'!$D:$D)*1.2</f>
        <v>0</v>
      </c>
      <c r="BE45" s="110">
        <f>SUMIF('20.01'!$X:$X,$B:$B,'20.01'!$D:$D)*1.2</f>
        <v>0</v>
      </c>
      <c r="BF45" s="110">
        <f t="shared" si="53"/>
        <v>0</v>
      </c>
      <c r="BG45" s="17">
        <f>SUMIF('20.01'!$Y:$Y,$B:$B,'20.01'!$D:$D)*1.2</f>
        <v>0</v>
      </c>
      <c r="BH45" s="17">
        <f>SUMIF('20.01'!$Z:$Z,$B:$B,'20.01'!$D:$D)*1.2</f>
        <v>0</v>
      </c>
      <c r="BI45" s="17">
        <f>SUMIF('20.01'!$AA:$AA,$B:$B,'20.01'!$D:$D)*1.2</f>
        <v>0</v>
      </c>
      <c r="BJ45" s="17">
        <f>SUMIF('20.01'!$AB:$AB,$B:$B,'20.01'!$D:$D)*1.2</f>
        <v>0</v>
      </c>
      <c r="BK45" s="17">
        <f>SUMIF('20.01'!$AC:$AC,$B:$B,'20.01'!$D:$D)*1.2</f>
        <v>0</v>
      </c>
      <c r="BL45" s="17">
        <f>SUMIF('20.01'!$AD:$AD,$B:$B,'20.01'!$D:$D)*1.2</f>
        <v>0</v>
      </c>
      <c r="BM45" s="110">
        <f t="shared" si="54"/>
        <v>0</v>
      </c>
      <c r="BN45" s="17">
        <f>SUMIF('20.01'!$AE:$AE,$B:$B,'20.01'!$D:$D)*1.2</f>
        <v>0</v>
      </c>
      <c r="BO45" s="17">
        <f>SUMIF('20.01'!$AF:$AF,$B:$B,'20.01'!$D:$D)*1.2</f>
        <v>0</v>
      </c>
      <c r="BP45" s="110">
        <f>SUMIF('20.01'!$AG:$AG,$B:$B,'20.01'!$D:$D)*1.2</f>
        <v>0</v>
      </c>
      <c r="BQ45" s="110">
        <f>SUMIF('20.01'!$AH:$AH,$B:$B,'20.01'!$D:$D)*1.2</f>
        <v>0</v>
      </c>
      <c r="BR45" s="110">
        <f>SUMIF('20.01'!$AI:$AI,$B:$B,'20.01'!$D:$D)*1.2</f>
        <v>0</v>
      </c>
      <c r="BS45" s="110">
        <f t="shared" si="55"/>
        <v>0</v>
      </c>
      <c r="BT45" s="17">
        <f>SUMIF('20.01'!$AJ:$AJ,$B:$B,'20.01'!$D:$D)*1.2</f>
        <v>0</v>
      </c>
      <c r="BU45" s="17">
        <f>SUMIF('20.01'!$AK:$AK,$B:$B,'20.01'!$D:$D)*1.2</f>
        <v>0</v>
      </c>
      <c r="BV45" s="110">
        <f>SUMIF('20.01'!$AL:$AL,$B:$B,'20.01'!$D:$D)*1.2</f>
        <v>0</v>
      </c>
      <c r="BW45" s="110">
        <f>SUMIF('20.01'!$AM:$AM,$B:$B,'20.01'!$D:$D)*1.2</f>
        <v>0</v>
      </c>
      <c r="BX45" s="110">
        <f>SUMIF('20.01'!$AN:$AN,$B:$B,'20.01'!$D:$D)*1.2</f>
        <v>0</v>
      </c>
      <c r="BY45" s="110">
        <f t="shared" si="3"/>
        <v>79050.861620750511</v>
      </c>
      <c r="BZ45" s="17">
        <f t="shared" si="76"/>
        <v>56003.593659900311</v>
      </c>
      <c r="CA45" s="17">
        <f t="shared" si="5"/>
        <v>3999.8508987654245</v>
      </c>
      <c r="CB45" s="17">
        <f t="shared" si="6"/>
        <v>265.88960204186486</v>
      </c>
      <c r="CC45" s="17">
        <f>SUMIF('20.01'!$AO:$AO,$B:$B,'20.01'!$D:$D)*1.2</f>
        <v>0</v>
      </c>
      <c r="CD45" s="17">
        <f t="shared" si="7"/>
        <v>4174.1967010304215</v>
      </c>
      <c r="CE45" s="17">
        <f>SUMIF('20.01'!$AQ:$AQ,$B:$B,'20.01'!$D:$D)*1.2</f>
        <v>0</v>
      </c>
      <c r="CF45" s="17">
        <f t="shared" si="8"/>
        <v>379.78591423024113</v>
      </c>
      <c r="CG45" s="17">
        <f>SUMIF('20.01'!$AR:$AR,$B:$B,'20.01'!$D:$D)*1.2</f>
        <v>13782.455999999998</v>
      </c>
      <c r="CH45" s="17">
        <f t="shared" si="9"/>
        <v>223.66634575576361</v>
      </c>
      <c r="CI45" s="17">
        <f>SUMIF('20.01'!$AT:$AT,$B:$B,'20.01'!$D:$D)*1.2</f>
        <v>0</v>
      </c>
      <c r="CJ45" s="17">
        <f>SUMIF('20.01'!$AU:$AU,$B:$B,'20.01'!$D:$D)*1.2</f>
        <v>0</v>
      </c>
      <c r="CK45" s="17">
        <f>SUMIF('20.01'!$AV:$AV,$B:$B,'20.01'!$D:$D)*1.2</f>
        <v>0</v>
      </c>
      <c r="CL45" s="17">
        <f t="shared" si="10"/>
        <v>221.42249902649843</v>
      </c>
      <c r="CM45" s="17">
        <f>SUMIF('20.01'!$AW:$AW,$B:$B,'20.01'!$D:$D)*1.2</f>
        <v>0</v>
      </c>
      <c r="CN45" s="17">
        <f>SUMIF('20.01'!$AX:$AX,$B:$B,'20.01'!$D:$D)*1.2</f>
        <v>0</v>
      </c>
      <c r="CO45" s="110">
        <f t="shared" si="56"/>
        <v>74278.706123576689</v>
      </c>
      <c r="CP45" s="17">
        <f t="shared" si="57"/>
        <v>58594.116873308056</v>
      </c>
      <c r="CQ45" s="17">
        <f t="shared" si="11"/>
        <v>18077.091289421551</v>
      </c>
      <c r="CR45" s="17">
        <f t="shared" si="12"/>
        <v>40517.025583886505</v>
      </c>
      <c r="CS45" s="17">
        <f t="shared" si="58"/>
        <v>15684.589250268637</v>
      </c>
      <c r="CT45" s="17">
        <f t="shared" si="13"/>
        <v>571.40334531386679</v>
      </c>
      <c r="CU45" s="17">
        <f t="shared" si="14"/>
        <v>552.68045616792267</v>
      </c>
      <c r="CV45" s="17">
        <f t="shared" si="15"/>
        <v>571.20733086146788</v>
      </c>
      <c r="CW45" s="17">
        <f t="shared" si="16"/>
        <v>5.9897377888830343</v>
      </c>
      <c r="CX45" s="17">
        <f t="shared" si="17"/>
        <v>8434.1529944848826</v>
      </c>
      <c r="CY45" s="17">
        <f t="shared" si="18"/>
        <v>5549.1553856516121</v>
      </c>
      <c r="CZ45" s="110">
        <f t="shared" si="59"/>
        <v>18437.919414115575</v>
      </c>
      <c r="DA45" s="17">
        <f t="shared" si="60"/>
        <v>696.48113824221332</v>
      </c>
      <c r="DB45" s="17">
        <f t="shared" si="19"/>
        <v>660.93505144197275</v>
      </c>
      <c r="DC45" s="17">
        <f t="shared" si="20"/>
        <v>35.546086800240552</v>
      </c>
      <c r="DD45" s="17">
        <f t="shared" si="21"/>
        <v>1227.2796578813416</v>
      </c>
      <c r="DE45" s="17">
        <f t="shared" si="22"/>
        <v>423.44382045351301</v>
      </c>
      <c r="DF45" s="17">
        <f t="shared" si="23"/>
        <v>513.90806829491021</v>
      </c>
      <c r="DG45" s="17">
        <f t="shared" si="61"/>
        <v>15576.806729243595</v>
      </c>
      <c r="DH45" s="110">
        <f t="shared" si="62"/>
        <v>11506.702033551175</v>
      </c>
      <c r="DI45" s="17">
        <f t="shared" si="24"/>
        <v>10321.980878455548</v>
      </c>
      <c r="DJ45" s="17">
        <f t="shared" si="25"/>
        <v>1141.5504326767352</v>
      </c>
      <c r="DK45" s="17">
        <f t="shared" si="26"/>
        <v>43.170722418892147</v>
      </c>
      <c r="DL45" s="110">
        <f t="shared" si="63"/>
        <v>68407.763827805436</v>
      </c>
      <c r="DM45" s="17">
        <f t="shared" si="27"/>
        <v>36256.114828736885</v>
      </c>
      <c r="DN45" s="17">
        <f t="shared" si="28"/>
        <v>32151.648999068559</v>
      </c>
      <c r="DO45" s="17">
        <f t="shared" si="29"/>
        <v>0</v>
      </c>
      <c r="DP45" s="110">
        <f t="shared" si="64"/>
        <v>0</v>
      </c>
      <c r="DQ45" s="17">
        <f>SUMIF('20.01'!$BB:$BB,$B:$B,'20.01'!$D:$D)*1.2</f>
        <v>0</v>
      </c>
      <c r="DR45" s="17">
        <f t="shared" si="30"/>
        <v>0</v>
      </c>
      <c r="DS45" s="17">
        <f t="shared" si="31"/>
        <v>0</v>
      </c>
      <c r="DT45" s="110">
        <f t="shared" si="65"/>
        <v>1517.1959999999999</v>
      </c>
      <c r="DU45" s="17">
        <f>SUMIF('20.01'!$BD:$BD,$B:$B,'20.01'!$D:$D)*1.2</f>
        <v>1517.1959999999999</v>
      </c>
      <c r="DV45" s="17">
        <f t="shared" si="32"/>
        <v>0</v>
      </c>
      <c r="DW45" s="17">
        <f t="shared" si="33"/>
        <v>0</v>
      </c>
      <c r="DX45" s="110">
        <f t="shared" si="34"/>
        <v>331040.32021164423</v>
      </c>
      <c r="DY45" s="110"/>
      <c r="DZ45" s="110">
        <f t="shared" si="66"/>
        <v>331040.32021164423</v>
      </c>
      <c r="EA45" s="257"/>
      <c r="EB45" s="110">
        <f t="shared" si="35"/>
        <v>0</v>
      </c>
      <c r="EC45" s="110">
        <f>SUMIF(еирц!$B:$B,$B:$B,еирц!$K:$K)</f>
        <v>215874</v>
      </c>
      <c r="ED45" s="110">
        <f>SUMIF(еирц!$B:$B,$B:$B,еирц!$P:$P)</f>
        <v>218547.79</v>
      </c>
      <c r="EE45" s="110">
        <f>SUMIF(еирц!$B:$B,$B:$B,еирц!$S:$S)</f>
        <v>9608.2799999999988</v>
      </c>
      <c r="EF45" s="177">
        <f t="shared" si="67"/>
        <v>-115166.32021164423</v>
      </c>
      <c r="EG45" s="181">
        <f t="shared" si="68"/>
        <v>0</v>
      </c>
      <c r="EH45" s="177">
        <f t="shared" si="69"/>
        <v>-115166.32021164423</v>
      </c>
    </row>
    <row r="46" spans="1:138" ht="12" customHeight="1" x14ac:dyDescent="0.25">
      <c r="A46" s="5">
        <f t="shared" si="70"/>
        <v>42</v>
      </c>
      <c r="B46" s="6" t="s">
        <v>123</v>
      </c>
      <c r="C46" s="7">
        <f t="shared" si="0"/>
        <v>1486.2</v>
      </c>
      <c r="D46" s="8">
        <v>1376.2</v>
      </c>
      <c r="E46" s="8">
        <v>110</v>
      </c>
      <c r="F46" s="8">
        <v>88.8</v>
      </c>
      <c r="G46" s="87">
        <f t="shared" si="1"/>
        <v>1486.2</v>
      </c>
      <c r="H46" s="87">
        <f t="shared" si="2"/>
        <v>1486.2</v>
      </c>
      <c r="I46" s="91">
        <v>0</v>
      </c>
      <c r="J46" s="112">
        <v>0</v>
      </c>
      <c r="K46" s="17">
        <v>0</v>
      </c>
      <c r="L46" s="112">
        <f t="shared" si="36"/>
        <v>0</v>
      </c>
      <c r="M46" s="116">
        <v>3.4064170461147669</v>
      </c>
      <c r="N46" s="120">
        <f t="shared" si="37"/>
        <v>1486.2</v>
      </c>
      <c r="O46" s="116">
        <v>3.0862326951399117</v>
      </c>
      <c r="P46" s="120">
        <f t="shared" si="38"/>
        <v>1486.2</v>
      </c>
      <c r="Q46" s="116">
        <v>0</v>
      </c>
      <c r="R46" s="120">
        <f t="shared" si="39"/>
        <v>0</v>
      </c>
      <c r="S46" s="5" t="s">
        <v>102</v>
      </c>
      <c r="T46" s="87">
        <v>20.440000000000001</v>
      </c>
      <c r="U46" s="88">
        <v>3.11</v>
      </c>
      <c r="V46" s="88">
        <v>4.0599999999999996</v>
      </c>
      <c r="W46" s="88">
        <v>7</v>
      </c>
      <c r="X46" s="88">
        <v>4</v>
      </c>
      <c r="Y46" s="88">
        <v>2.0499999999999998</v>
      </c>
      <c r="Z46" s="88">
        <v>0</v>
      </c>
      <c r="AA46" s="88">
        <v>0</v>
      </c>
      <c r="AB46" s="88">
        <v>0.22</v>
      </c>
      <c r="AC46" s="257"/>
      <c r="AD46" s="110">
        <f t="shared" si="40"/>
        <v>36004.597790025786</v>
      </c>
      <c r="AE46" s="110">
        <f t="shared" si="41"/>
        <v>29917.106287473915</v>
      </c>
      <c r="AF46" s="16">
        <f>SUMIF('20.01'!$I:$I,$B:$B,'20.01'!$D:$D)*1.2</f>
        <v>2785.8959999999997</v>
      </c>
      <c r="AG46" s="17">
        <f t="shared" ref="AG46:AG53" si="77">IF(S46=$S$250,$AG$250,0)/$G$250*G46</f>
        <v>5527.3729828374935</v>
      </c>
      <c r="AH46" s="17">
        <f t="shared" si="43"/>
        <v>1134.860829028424</v>
      </c>
      <c r="AI46" s="16">
        <f>SUMIF('20.01'!$J:$J,$B:$B,'20.01'!$D:$D)*1.2</f>
        <v>0</v>
      </c>
      <c r="AJ46" s="17">
        <f t="shared" si="44"/>
        <v>461.18192683873724</v>
      </c>
      <c r="AK46" s="17">
        <f t="shared" si="45"/>
        <v>1121.953174262251</v>
      </c>
      <c r="AL46" s="17">
        <f t="shared" si="46"/>
        <v>18885.841374507007</v>
      </c>
      <c r="AM46" s="110">
        <f t="shared" si="47"/>
        <v>0</v>
      </c>
      <c r="AN46" s="17">
        <f>SUMIF('20.01'!$K:$K,$B:$B,'20.01'!$D:$D)*1.2</f>
        <v>0</v>
      </c>
      <c r="AO46" s="17">
        <f>SUMIF('20.01'!$L:$L,$B:$B,'20.01'!$D:$D)*1.2</f>
        <v>0</v>
      </c>
      <c r="AP46" s="17">
        <f>SUMIF('20.01'!$M:$M,$B:$B,'20.01'!$D:$D)*1.2</f>
        <v>0</v>
      </c>
      <c r="AQ46" s="110">
        <f t="shared" si="48"/>
        <v>417.49150255187311</v>
      </c>
      <c r="AR46" s="17">
        <f t="shared" si="49"/>
        <v>417.49150255187311</v>
      </c>
      <c r="AS46" s="17">
        <f>(SUMIF('20.01'!$N:$N,$B:$B,'20.01'!$D:$D)+SUMIF('20.01'!$O:$O,$B:$B,'20.01'!$D:$D))*1.2</f>
        <v>0</v>
      </c>
      <c r="AT46" s="110">
        <f>SUMIF('20.01'!$P:$P,$B:$B,'20.01'!$D:$D)*1.2</f>
        <v>0</v>
      </c>
      <c r="AU46" s="110">
        <f t="shared" si="50"/>
        <v>0</v>
      </c>
      <c r="AV46" s="17">
        <f>SUMIF('20.01'!$Q:$Q,$B:$B,'20.01'!$D:$D)*1.2</f>
        <v>0</v>
      </c>
      <c r="AW46" s="17">
        <f>SUMIF('20.01'!$R:$R,$B:$B,'20.01'!$D:$D)*1.2</f>
        <v>0</v>
      </c>
      <c r="AX46" s="110">
        <f t="shared" si="51"/>
        <v>5670</v>
      </c>
      <c r="AY46" s="17">
        <f>SUMIF('20.01'!$S:$S,$B:$B,'20.01'!$D:$D)*1.2</f>
        <v>5670</v>
      </c>
      <c r="AZ46" s="17">
        <f>SUMIF('20.01'!$T:$T,$B:$B,'20.01'!$D:$D)*1.2</f>
        <v>0</v>
      </c>
      <c r="BA46" s="110">
        <f t="shared" si="52"/>
        <v>0</v>
      </c>
      <c r="BB46" s="17">
        <f>SUMIF('20.01'!$U:$U,$B:$B,'20.01'!$D:$D)*1.2</f>
        <v>0</v>
      </c>
      <c r="BC46" s="17">
        <f>SUMIF('20.01'!$V:$V,$B:$B,'20.01'!$D:$D)*1.2</f>
        <v>0</v>
      </c>
      <c r="BD46" s="17">
        <f>SUMIF('20.01'!$W:$W,$B:$B,'20.01'!$D:$D)*1.2</f>
        <v>0</v>
      </c>
      <c r="BE46" s="110">
        <f>SUMIF('20.01'!$X:$X,$B:$B,'20.01'!$D:$D)*1.2</f>
        <v>0</v>
      </c>
      <c r="BF46" s="110">
        <f t="shared" si="53"/>
        <v>0</v>
      </c>
      <c r="BG46" s="17">
        <f>SUMIF('20.01'!$Y:$Y,$B:$B,'20.01'!$D:$D)*1.2</f>
        <v>0</v>
      </c>
      <c r="BH46" s="17">
        <f>SUMIF('20.01'!$Z:$Z,$B:$B,'20.01'!$D:$D)*1.2</f>
        <v>0</v>
      </c>
      <c r="BI46" s="17">
        <f>SUMIF('20.01'!$AA:$AA,$B:$B,'20.01'!$D:$D)*1.2</f>
        <v>0</v>
      </c>
      <c r="BJ46" s="17">
        <f>SUMIF('20.01'!$AB:$AB,$B:$B,'20.01'!$D:$D)*1.2</f>
        <v>0</v>
      </c>
      <c r="BK46" s="17">
        <f>SUMIF('20.01'!$AC:$AC,$B:$B,'20.01'!$D:$D)*1.2</f>
        <v>0</v>
      </c>
      <c r="BL46" s="17">
        <f>SUMIF('20.01'!$AD:$AD,$B:$B,'20.01'!$D:$D)*1.2</f>
        <v>0</v>
      </c>
      <c r="BM46" s="110">
        <f t="shared" si="54"/>
        <v>0</v>
      </c>
      <c r="BN46" s="17">
        <f>SUMIF('20.01'!$AE:$AE,$B:$B,'20.01'!$D:$D)*1.2</f>
        <v>0</v>
      </c>
      <c r="BO46" s="17">
        <f>SUMIF('20.01'!$AF:$AF,$B:$B,'20.01'!$D:$D)*1.2</f>
        <v>0</v>
      </c>
      <c r="BP46" s="110">
        <f>SUMIF('20.01'!$AG:$AG,$B:$B,'20.01'!$D:$D)*1.2</f>
        <v>0</v>
      </c>
      <c r="BQ46" s="110">
        <f>SUMIF('20.01'!$AH:$AH,$B:$B,'20.01'!$D:$D)*1.2</f>
        <v>0</v>
      </c>
      <c r="BR46" s="110">
        <f>SUMIF('20.01'!$AI:$AI,$B:$B,'20.01'!$D:$D)*1.2</f>
        <v>0</v>
      </c>
      <c r="BS46" s="110">
        <f t="shared" si="55"/>
        <v>0</v>
      </c>
      <c r="BT46" s="17">
        <f>SUMIF('20.01'!$AJ:$AJ,$B:$B,'20.01'!$D:$D)*1.2</f>
        <v>0</v>
      </c>
      <c r="BU46" s="17">
        <f>SUMIF('20.01'!$AK:$AK,$B:$B,'20.01'!$D:$D)*1.2</f>
        <v>0</v>
      </c>
      <c r="BV46" s="110">
        <f>SUMIF('20.01'!$AL:$AL,$B:$B,'20.01'!$D:$D)*1.2</f>
        <v>0</v>
      </c>
      <c r="BW46" s="110">
        <f>SUMIF('20.01'!$AM:$AM,$B:$B,'20.01'!$D:$D)*1.2</f>
        <v>0</v>
      </c>
      <c r="BX46" s="110">
        <f>SUMIF('20.01'!$AN:$AN,$B:$B,'20.01'!$D:$D)*1.2</f>
        <v>0</v>
      </c>
      <c r="BY46" s="110">
        <f t="shared" si="3"/>
        <v>325235.52208917518</v>
      </c>
      <c r="BZ46" s="17">
        <f t="shared" ref="BZ46:BZ53" si="78">IF(S46=$S$250,$BZ$250,0)/$G$250*G46</f>
        <v>207157.80938795698</v>
      </c>
      <c r="CA46" s="17">
        <f t="shared" si="5"/>
        <v>9217.8297499537512</v>
      </c>
      <c r="CB46" s="17">
        <f t="shared" si="6"/>
        <v>612.75411157484814</v>
      </c>
      <c r="CC46" s="17">
        <f>SUMIF('20.01'!$AO:$AO,$B:$B,'20.01'!$D:$D)*1.2</f>
        <v>0</v>
      </c>
      <c r="CD46" s="17">
        <f t="shared" si="7"/>
        <v>9619.6172074296992</v>
      </c>
      <c r="CE46" s="17">
        <f>SUMIF('20.01'!$AQ:$AQ,$B:$B,'20.01'!$D:$D)*1.2</f>
        <v>0</v>
      </c>
      <c r="CF46" s="17">
        <f t="shared" si="8"/>
        <v>875.23309928513629</v>
      </c>
      <c r="CG46" s="17">
        <f>SUMIF('20.01'!$AR:$AR,$B:$B,'20.01'!$D:$D)*1.2</f>
        <v>96726.552000000011</v>
      </c>
      <c r="CH46" s="17">
        <f t="shared" si="9"/>
        <v>515.4487875053743</v>
      </c>
      <c r="CI46" s="17">
        <f>SUMIF('20.01'!$AT:$AT,$B:$B,'20.01'!$D:$D)*1.2</f>
        <v>0</v>
      </c>
      <c r="CJ46" s="17">
        <f>SUMIF('20.01'!$AU:$AU,$B:$B,'20.01'!$D:$D)*1.2</f>
        <v>0</v>
      </c>
      <c r="CK46" s="17">
        <f>SUMIF('20.01'!$AV:$AV,$B:$B,'20.01'!$D:$D)*1.2</f>
        <v>0</v>
      </c>
      <c r="CL46" s="17">
        <f t="shared" si="10"/>
        <v>510.27774546934717</v>
      </c>
      <c r="CM46" s="17">
        <f>SUMIF('20.01'!$AW:$AW,$B:$B,'20.01'!$D:$D)*1.2</f>
        <v>0</v>
      </c>
      <c r="CN46" s="17">
        <f>SUMIF('20.01'!$AX:$AX,$B:$B,'20.01'!$D:$D)*1.2</f>
        <v>0</v>
      </c>
      <c r="CO46" s="110">
        <f t="shared" si="56"/>
        <v>171178.49750482195</v>
      </c>
      <c r="CP46" s="17">
        <f t="shared" si="57"/>
        <v>135032.68180665286</v>
      </c>
      <c r="CQ46" s="17">
        <f t="shared" si="11"/>
        <v>41659.440338561493</v>
      </c>
      <c r="CR46" s="17">
        <f t="shared" si="12"/>
        <v>93373.241468091379</v>
      </c>
      <c r="CS46" s="17">
        <f t="shared" si="58"/>
        <v>36145.815698169084</v>
      </c>
      <c r="CT46" s="17">
        <f t="shared" si="13"/>
        <v>1316.8237739269173</v>
      </c>
      <c r="CU46" s="17">
        <f t="shared" si="14"/>
        <v>1273.6760644390861</v>
      </c>
      <c r="CV46" s="17">
        <f t="shared" si="15"/>
        <v>1316.3720501260871</v>
      </c>
      <c r="CW46" s="17">
        <f t="shared" si="16"/>
        <v>13.803610330032511</v>
      </c>
      <c r="CX46" s="17">
        <f t="shared" si="17"/>
        <v>19436.871112425852</v>
      </c>
      <c r="CY46" s="17">
        <f t="shared" si="18"/>
        <v>12788.269086921113</v>
      </c>
      <c r="CZ46" s="110">
        <f t="shared" si="59"/>
        <v>42490.984390228819</v>
      </c>
      <c r="DA46" s="17">
        <f t="shared" si="60"/>
        <v>1605.0709686084317</v>
      </c>
      <c r="DB46" s="17">
        <f t="shared" si="19"/>
        <v>1523.1534710080014</v>
      </c>
      <c r="DC46" s="17">
        <f t="shared" si="20"/>
        <v>81.917497600430323</v>
      </c>
      <c r="DD46" s="17">
        <f t="shared" si="21"/>
        <v>2828.3191619526283</v>
      </c>
      <c r="DE46" s="17">
        <f t="shared" si="22"/>
        <v>975.84463631262383</v>
      </c>
      <c r="DF46" s="17">
        <f t="shared" si="23"/>
        <v>1184.3234161883945</v>
      </c>
      <c r="DG46" s="17">
        <f t="shared" si="61"/>
        <v>35897.42620716674</v>
      </c>
      <c r="DH46" s="110">
        <f t="shared" si="62"/>
        <v>26517.693537391468</v>
      </c>
      <c r="DI46" s="17">
        <f t="shared" si="24"/>
        <v>23787.452289596273</v>
      </c>
      <c r="DJ46" s="17">
        <f t="shared" si="25"/>
        <v>2630.7524469594728</v>
      </c>
      <c r="DK46" s="17">
        <f t="shared" si="26"/>
        <v>99.488800835722614</v>
      </c>
      <c r="DL46" s="110">
        <f t="shared" si="63"/>
        <v>157648.65653726849</v>
      </c>
      <c r="DM46" s="17">
        <f t="shared" si="27"/>
        <v>83553.787964752293</v>
      </c>
      <c r="DN46" s="17">
        <f t="shared" si="28"/>
        <v>74094.868572516192</v>
      </c>
      <c r="DO46" s="17">
        <f t="shared" si="29"/>
        <v>0</v>
      </c>
      <c r="DP46" s="110">
        <f t="shared" si="64"/>
        <v>0</v>
      </c>
      <c r="DQ46" s="17">
        <f>SUMIF('20.01'!$BB:$BB,$B:$B,'20.01'!$D:$D)*1.2</f>
        <v>0</v>
      </c>
      <c r="DR46" s="17">
        <f t="shared" si="30"/>
        <v>0</v>
      </c>
      <c r="DS46" s="17">
        <f t="shared" si="31"/>
        <v>0</v>
      </c>
      <c r="DT46" s="110">
        <f t="shared" si="65"/>
        <v>2560.2840000000001</v>
      </c>
      <c r="DU46" s="17">
        <f>SUMIF('20.01'!$BD:$BD,$B:$B,'20.01'!$D:$D)*1.2</f>
        <v>2560.2840000000001</v>
      </c>
      <c r="DV46" s="17">
        <f t="shared" si="32"/>
        <v>0</v>
      </c>
      <c r="DW46" s="17">
        <f t="shared" si="33"/>
        <v>0</v>
      </c>
      <c r="DX46" s="110">
        <f t="shared" si="34"/>
        <v>761636.23584891181</v>
      </c>
      <c r="DY46" s="110"/>
      <c r="DZ46" s="110">
        <f t="shared" si="66"/>
        <v>761636.23584891181</v>
      </c>
      <c r="EA46" s="257"/>
      <c r="EB46" s="110">
        <f t="shared" si="35"/>
        <v>0</v>
      </c>
      <c r="EC46" s="110">
        <f>SUMIF(еирц!$B:$B,$B:$B,еирц!$K:$K)</f>
        <v>337554.24</v>
      </c>
      <c r="ED46" s="110">
        <f>SUMIF(еирц!$B:$B,$B:$B,еирц!$P:$P)</f>
        <v>339757.08</v>
      </c>
      <c r="EE46" s="110">
        <f>SUMIF(еирц!$B:$B,$B:$B,еирц!$S:$S)</f>
        <v>23432.86</v>
      </c>
      <c r="EF46" s="177">
        <f t="shared" si="67"/>
        <v>-424081.99584891181</v>
      </c>
      <c r="EG46" s="181">
        <f t="shared" si="68"/>
        <v>0</v>
      </c>
      <c r="EH46" s="177">
        <f t="shared" si="69"/>
        <v>-424081.99584891181</v>
      </c>
    </row>
    <row r="47" spans="1:138" ht="12" customHeight="1" x14ac:dyDescent="0.25">
      <c r="A47" s="5">
        <f t="shared" si="70"/>
        <v>43</v>
      </c>
      <c r="B47" s="6" t="s">
        <v>124</v>
      </c>
      <c r="C47" s="7">
        <f t="shared" si="0"/>
        <v>879.9</v>
      </c>
      <c r="D47" s="8">
        <v>879.9</v>
      </c>
      <c r="E47" s="8">
        <v>0</v>
      </c>
      <c r="F47" s="8">
        <v>88.8</v>
      </c>
      <c r="G47" s="87">
        <f t="shared" si="1"/>
        <v>879.9</v>
      </c>
      <c r="H47" s="87">
        <f t="shared" si="2"/>
        <v>879.9</v>
      </c>
      <c r="I47" s="91">
        <v>0</v>
      </c>
      <c r="J47" s="112">
        <v>0</v>
      </c>
      <c r="K47" s="17">
        <v>0</v>
      </c>
      <c r="L47" s="112">
        <f t="shared" si="36"/>
        <v>0</v>
      </c>
      <c r="M47" s="116">
        <v>3.4064170461147669</v>
      </c>
      <c r="N47" s="120">
        <f t="shared" si="37"/>
        <v>879.9</v>
      </c>
      <c r="O47" s="116">
        <v>3.0862326951399117</v>
      </c>
      <c r="P47" s="120">
        <f t="shared" si="38"/>
        <v>879.9</v>
      </c>
      <c r="Q47" s="116">
        <v>0</v>
      </c>
      <c r="R47" s="120">
        <f t="shared" si="39"/>
        <v>0</v>
      </c>
      <c r="S47" s="11" t="s">
        <v>102</v>
      </c>
      <c r="T47" s="87">
        <v>20.440000000000001</v>
      </c>
      <c r="U47" s="88">
        <v>3.11</v>
      </c>
      <c r="V47" s="88">
        <v>4.0599999999999996</v>
      </c>
      <c r="W47" s="88">
        <v>7</v>
      </c>
      <c r="X47" s="88">
        <v>4</v>
      </c>
      <c r="Y47" s="88">
        <v>2.0499999999999998</v>
      </c>
      <c r="Z47" s="88">
        <v>0</v>
      </c>
      <c r="AA47" s="88">
        <v>0</v>
      </c>
      <c r="AB47" s="88">
        <v>0.22</v>
      </c>
      <c r="AC47" s="257"/>
      <c r="AD47" s="110">
        <f t="shared" si="40"/>
        <v>690572.51758864464</v>
      </c>
      <c r="AE47" s="110">
        <f t="shared" si="41"/>
        <v>150384.2270676546</v>
      </c>
      <c r="AF47" s="16">
        <f>SUMIF('20.01'!$I:$I,$B:$B,'20.01'!$D:$D)*1.2</f>
        <v>131217.27599999998</v>
      </c>
      <c r="AG47" s="17">
        <f t="shared" si="77"/>
        <v>3272.4636573803732</v>
      </c>
      <c r="AH47" s="17">
        <f t="shared" si="43"/>
        <v>671.89075727500347</v>
      </c>
      <c r="AI47" s="16">
        <f>SUMIF('20.01'!$J:$J,$B:$B,'20.01'!$D:$D)*1.2</f>
        <v>3104.0039999999999</v>
      </c>
      <c r="AJ47" s="17">
        <f t="shared" si="44"/>
        <v>273.04129822729436</v>
      </c>
      <c r="AK47" s="17">
        <f t="shared" si="45"/>
        <v>664.24882117706534</v>
      </c>
      <c r="AL47" s="17">
        <f t="shared" si="46"/>
        <v>11181.302533594881</v>
      </c>
      <c r="AM47" s="110">
        <f t="shared" si="47"/>
        <v>0</v>
      </c>
      <c r="AN47" s="17">
        <f>SUMIF('20.01'!$K:$K,$B:$B,'20.01'!$D:$D)*1.2</f>
        <v>0</v>
      </c>
      <c r="AO47" s="17">
        <f>SUMIF('20.01'!$L:$L,$B:$B,'20.01'!$D:$D)*1.2</f>
        <v>0</v>
      </c>
      <c r="AP47" s="17">
        <f>SUMIF('20.01'!$M:$M,$B:$B,'20.01'!$D:$D)*1.2</f>
        <v>0</v>
      </c>
      <c r="AQ47" s="110">
        <f t="shared" si="48"/>
        <v>247.17452099003711</v>
      </c>
      <c r="AR47" s="17">
        <f t="shared" si="49"/>
        <v>247.17452099003711</v>
      </c>
      <c r="AS47" s="17">
        <f>(SUMIF('20.01'!$N:$N,$B:$B,'20.01'!$D:$D)+SUMIF('20.01'!$O:$O,$B:$B,'20.01'!$D:$D))*1.2</f>
        <v>0</v>
      </c>
      <c r="AT47" s="110">
        <f>SUMIF('20.01'!$P:$P,$B:$B,'20.01'!$D:$D)*1.2</f>
        <v>0</v>
      </c>
      <c r="AU47" s="110">
        <f t="shared" si="50"/>
        <v>0</v>
      </c>
      <c r="AV47" s="17">
        <f>SUMIF('20.01'!$Q:$Q,$B:$B,'20.01'!$D:$D)*1.2</f>
        <v>0</v>
      </c>
      <c r="AW47" s="17">
        <f>SUMIF('20.01'!$R:$R,$B:$B,'20.01'!$D:$D)*1.2</f>
        <v>0</v>
      </c>
      <c r="AX47" s="110">
        <f t="shared" si="51"/>
        <v>0</v>
      </c>
      <c r="AY47" s="17">
        <f>SUMIF('20.01'!$S:$S,$B:$B,'20.01'!$D:$D)*1.2</f>
        <v>0</v>
      </c>
      <c r="AZ47" s="17">
        <f>SUMIF('20.01'!$T:$T,$B:$B,'20.01'!$D:$D)*1.2</f>
        <v>0</v>
      </c>
      <c r="BA47" s="110">
        <f t="shared" si="52"/>
        <v>0</v>
      </c>
      <c r="BB47" s="17">
        <f>SUMIF('20.01'!$U:$U,$B:$B,'20.01'!$D:$D)*1.2</f>
        <v>0</v>
      </c>
      <c r="BC47" s="17">
        <f>SUMIF('20.01'!$V:$V,$B:$B,'20.01'!$D:$D)*1.2</f>
        <v>0</v>
      </c>
      <c r="BD47" s="17">
        <f>SUMIF('20.01'!$W:$W,$B:$B,'20.01'!$D:$D)*1.2</f>
        <v>0</v>
      </c>
      <c r="BE47" s="110">
        <f>SUMIF('20.01'!$X:$X,$B:$B,'20.01'!$D:$D)*1.2</f>
        <v>160140</v>
      </c>
      <c r="BF47" s="110">
        <f t="shared" si="53"/>
        <v>372110.31599999999</v>
      </c>
      <c r="BG47" s="17">
        <f>SUMIF('20.01'!$Y:$Y,$B:$B,'20.01'!$D:$D)*1.2</f>
        <v>0</v>
      </c>
      <c r="BH47" s="17">
        <f>SUMIF('20.01'!$Z:$Z,$B:$B,'20.01'!$D:$D)*1.2</f>
        <v>372110.31599999999</v>
      </c>
      <c r="BI47" s="17">
        <f>SUMIF('20.01'!$AA:$AA,$B:$B,'20.01'!$D:$D)*1.2</f>
        <v>0</v>
      </c>
      <c r="BJ47" s="17">
        <f>SUMIF('20.01'!$AB:$AB,$B:$B,'20.01'!$D:$D)*1.2</f>
        <v>0</v>
      </c>
      <c r="BK47" s="17">
        <f>SUMIF('20.01'!$AC:$AC,$B:$B,'20.01'!$D:$D)*1.2</f>
        <v>0</v>
      </c>
      <c r="BL47" s="17">
        <f>SUMIF('20.01'!$AD:$AD,$B:$B,'20.01'!$D:$D)*1.2</f>
        <v>0</v>
      </c>
      <c r="BM47" s="110">
        <f t="shared" si="54"/>
        <v>0</v>
      </c>
      <c r="BN47" s="17">
        <f>SUMIF('20.01'!$AE:$AE,$B:$B,'20.01'!$D:$D)*1.2</f>
        <v>0</v>
      </c>
      <c r="BO47" s="17">
        <f>SUMIF('20.01'!$AF:$AF,$B:$B,'20.01'!$D:$D)*1.2</f>
        <v>0</v>
      </c>
      <c r="BP47" s="110">
        <f>SUMIF('20.01'!$AG:$AG,$B:$B,'20.01'!$D:$D)*1.2</f>
        <v>0</v>
      </c>
      <c r="BQ47" s="110">
        <f>SUMIF('20.01'!$AH:$AH,$B:$B,'20.01'!$D:$D)*1.2</f>
        <v>0</v>
      </c>
      <c r="BR47" s="110">
        <f>SUMIF('20.01'!$AI:$AI,$B:$B,'20.01'!$D:$D)*1.2</f>
        <v>0</v>
      </c>
      <c r="BS47" s="110">
        <f t="shared" si="55"/>
        <v>7690.7999999999993</v>
      </c>
      <c r="BT47" s="17">
        <f>SUMIF('20.01'!$AJ:$AJ,$B:$B,'20.01'!$D:$D)*1.2</f>
        <v>7690.7999999999993</v>
      </c>
      <c r="BU47" s="17">
        <f>SUMIF('20.01'!$AK:$AK,$B:$B,'20.01'!$D:$D)*1.2</f>
        <v>0</v>
      </c>
      <c r="BV47" s="110">
        <f>SUMIF('20.01'!$AL:$AL,$B:$B,'20.01'!$D:$D)*1.2</f>
        <v>0</v>
      </c>
      <c r="BW47" s="110">
        <f>SUMIF('20.01'!$AM:$AM,$B:$B,'20.01'!$D:$D)*1.2</f>
        <v>0</v>
      </c>
      <c r="BX47" s="110">
        <f>SUMIF('20.01'!$AN:$AN,$B:$B,'20.01'!$D:$D)*1.2</f>
        <v>0</v>
      </c>
      <c r="BY47" s="110">
        <f t="shared" si="3"/>
        <v>183286.63156066829</v>
      </c>
      <c r="BZ47" s="17">
        <f t="shared" si="78"/>
        <v>122647.12453267619</v>
      </c>
      <c r="CA47" s="17">
        <f t="shared" si="5"/>
        <v>5457.386890717471</v>
      </c>
      <c r="CB47" s="17">
        <f t="shared" si="6"/>
        <v>362.77912984437415</v>
      </c>
      <c r="CC47" s="17">
        <f>SUMIF('20.01'!$AO:$AO,$B:$B,'20.01'!$D:$D)*1.2</f>
        <v>0</v>
      </c>
      <c r="CD47" s="17">
        <f t="shared" si="7"/>
        <v>5695.2638815888795</v>
      </c>
      <c r="CE47" s="17">
        <f>SUMIF('20.01'!$AQ:$AQ,$B:$B,'20.01'!$D:$D)*1.2</f>
        <v>0</v>
      </c>
      <c r="CF47" s="17">
        <f t="shared" si="8"/>
        <v>518.1789826813291</v>
      </c>
      <c r="CG47" s="17">
        <f>SUMIF('20.01'!$AR:$AR,$B:$B,'20.01'!$D:$D)*1.2</f>
        <v>47998.619999999995</v>
      </c>
      <c r="CH47" s="17">
        <f t="shared" si="9"/>
        <v>305.16982110481689</v>
      </c>
      <c r="CI47" s="17">
        <f>SUMIF('20.01'!$AT:$AT,$B:$B,'20.01'!$D:$D)*1.2</f>
        <v>0</v>
      </c>
      <c r="CJ47" s="17">
        <f>SUMIF('20.01'!$AU:$AU,$B:$B,'20.01'!$D:$D)*1.2</f>
        <v>0</v>
      </c>
      <c r="CK47" s="17">
        <f>SUMIF('20.01'!$AV:$AV,$B:$B,'20.01'!$D:$D)*1.2</f>
        <v>0</v>
      </c>
      <c r="CL47" s="17">
        <f t="shared" si="10"/>
        <v>302.10832205522712</v>
      </c>
      <c r="CM47" s="17">
        <f>SUMIF('20.01'!$AW:$AW,$B:$B,'20.01'!$D:$D)*1.2</f>
        <v>0</v>
      </c>
      <c r="CN47" s="17">
        <f>SUMIF('20.01'!$AX:$AX,$B:$B,'20.01'!$D:$D)*1.2</f>
        <v>0</v>
      </c>
      <c r="CO47" s="110">
        <f t="shared" si="56"/>
        <v>101345.68695632677</v>
      </c>
      <c r="CP47" s="17">
        <f t="shared" si="57"/>
        <v>79945.671323963034</v>
      </c>
      <c r="CQ47" s="17">
        <f t="shared" si="11"/>
        <v>24664.339627170139</v>
      </c>
      <c r="CR47" s="17">
        <f t="shared" si="12"/>
        <v>55281.331696792899</v>
      </c>
      <c r="CS47" s="17">
        <f t="shared" si="58"/>
        <v>21400.015632363731</v>
      </c>
      <c r="CT47" s="17">
        <f t="shared" si="13"/>
        <v>779.6213421331546</v>
      </c>
      <c r="CU47" s="17">
        <f t="shared" si="14"/>
        <v>754.07587747271691</v>
      </c>
      <c r="CV47" s="17">
        <f t="shared" si="15"/>
        <v>779.35390048845647</v>
      </c>
      <c r="CW47" s="17">
        <f t="shared" si="16"/>
        <v>8.1723837500979712</v>
      </c>
      <c r="CX47" s="17">
        <f t="shared" si="17"/>
        <v>11507.537943630405</v>
      </c>
      <c r="CY47" s="17">
        <f t="shared" si="18"/>
        <v>7571.2541848889023</v>
      </c>
      <c r="CZ47" s="110">
        <f t="shared" si="59"/>
        <v>25156.652647666757</v>
      </c>
      <c r="DA47" s="17">
        <f t="shared" si="60"/>
        <v>950.27718024395028</v>
      </c>
      <c r="DB47" s="17">
        <f t="shared" si="19"/>
        <v>901.77818539896396</v>
      </c>
      <c r="DC47" s="17">
        <f t="shared" si="20"/>
        <v>48.498994844986292</v>
      </c>
      <c r="DD47" s="17">
        <f t="shared" si="21"/>
        <v>1674.4973964487399</v>
      </c>
      <c r="DE47" s="17">
        <f t="shared" si="22"/>
        <v>577.74572432477305</v>
      </c>
      <c r="DF47" s="17">
        <f t="shared" si="23"/>
        <v>701.17492524839747</v>
      </c>
      <c r="DG47" s="17">
        <f t="shared" si="61"/>
        <v>21252.957421400897</v>
      </c>
      <c r="DH47" s="110">
        <f t="shared" si="62"/>
        <v>15699.716420098744</v>
      </c>
      <c r="DI47" s="17">
        <f t="shared" si="24"/>
        <v>14083.285741902679</v>
      </c>
      <c r="DJ47" s="17">
        <f t="shared" si="25"/>
        <v>1557.5286489568296</v>
      </c>
      <c r="DK47" s="17">
        <f t="shared" si="26"/>
        <v>58.902029239235851</v>
      </c>
      <c r="DL47" s="110">
        <f t="shared" si="63"/>
        <v>93335.387489666624</v>
      </c>
      <c r="DM47" s="17">
        <f t="shared" si="27"/>
        <v>49467.755369523307</v>
      </c>
      <c r="DN47" s="17">
        <f t="shared" si="28"/>
        <v>43867.632120143317</v>
      </c>
      <c r="DO47" s="17">
        <f t="shared" si="29"/>
        <v>0</v>
      </c>
      <c r="DP47" s="110">
        <f t="shared" si="64"/>
        <v>0</v>
      </c>
      <c r="DQ47" s="17">
        <f>SUMIF('20.01'!$BB:$BB,$B:$B,'20.01'!$D:$D)*1.2</f>
        <v>0</v>
      </c>
      <c r="DR47" s="17">
        <f t="shared" si="30"/>
        <v>0</v>
      </c>
      <c r="DS47" s="17">
        <f t="shared" si="31"/>
        <v>0</v>
      </c>
      <c r="DT47" s="110">
        <f t="shared" si="65"/>
        <v>1706.8439999999998</v>
      </c>
      <c r="DU47" s="17">
        <f>SUMIF('20.01'!$BD:$BD,$B:$B,'20.01'!$D:$D)*1.2</f>
        <v>1706.8439999999998</v>
      </c>
      <c r="DV47" s="17">
        <f t="shared" si="32"/>
        <v>0</v>
      </c>
      <c r="DW47" s="17">
        <f t="shared" si="33"/>
        <v>0</v>
      </c>
      <c r="DX47" s="110">
        <f t="shared" si="34"/>
        <v>1111103.4366630719</v>
      </c>
      <c r="DY47" s="110"/>
      <c r="DZ47" s="110">
        <f t="shared" si="66"/>
        <v>1111103.4366630719</v>
      </c>
      <c r="EA47" s="257"/>
      <c r="EB47" s="110">
        <f t="shared" si="35"/>
        <v>0</v>
      </c>
      <c r="EC47" s="110">
        <f>SUMIF(еирц!$B:$B,$B:$B,еирц!$K:$K)</f>
        <v>215821.68</v>
      </c>
      <c r="ED47" s="110">
        <f>SUMIF(еирц!$B:$B,$B:$B,еирц!$P:$P)</f>
        <v>212341.8</v>
      </c>
      <c r="EE47" s="110">
        <f>SUMIF(еирц!$B:$B,$B:$B,еирц!$S:$S)</f>
        <v>18960.98</v>
      </c>
      <c r="EF47" s="177">
        <f t="shared" si="67"/>
        <v>-895281.75666307192</v>
      </c>
      <c r="EG47" s="181">
        <f t="shared" si="68"/>
        <v>0</v>
      </c>
      <c r="EH47" s="177">
        <f t="shared" si="69"/>
        <v>-895281.75666307192</v>
      </c>
    </row>
    <row r="48" spans="1:138" ht="12" customHeight="1" x14ac:dyDescent="0.25">
      <c r="A48" s="5">
        <f t="shared" si="70"/>
        <v>44</v>
      </c>
      <c r="B48" s="6" t="s">
        <v>125</v>
      </c>
      <c r="C48" s="7">
        <f t="shared" si="0"/>
        <v>886.63</v>
      </c>
      <c r="D48" s="8">
        <v>886.63</v>
      </c>
      <c r="E48" s="8">
        <v>0</v>
      </c>
      <c r="F48" s="8">
        <v>89.5</v>
      </c>
      <c r="G48" s="87">
        <f t="shared" si="1"/>
        <v>886.63</v>
      </c>
      <c r="H48" s="87">
        <f t="shared" si="2"/>
        <v>886.63</v>
      </c>
      <c r="I48" s="91">
        <v>0</v>
      </c>
      <c r="J48" s="112">
        <v>0</v>
      </c>
      <c r="K48" s="17">
        <v>0</v>
      </c>
      <c r="L48" s="112">
        <f t="shared" si="36"/>
        <v>0</v>
      </c>
      <c r="M48" s="116">
        <v>3.4064170461147669</v>
      </c>
      <c r="N48" s="120">
        <f t="shared" si="37"/>
        <v>886.63</v>
      </c>
      <c r="O48" s="116">
        <v>3.0862326951399117</v>
      </c>
      <c r="P48" s="120">
        <f t="shared" si="38"/>
        <v>886.63</v>
      </c>
      <c r="Q48" s="116">
        <v>0</v>
      </c>
      <c r="R48" s="120">
        <f t="shared" si="39"/>
        <v>0</v>
      </c>
      <c r="S48" s="11" t="s">
        <v>102</v>
      </c>
      <c r="T48" s="87">
        <v>20.440000000000001</v>
      </c>
      <c r="U48" s="88">
        <v>3.11</v>
      </c>
      <c r="V48" s="88">
        <v>4.0599999999999996</v>
      </c>
      <c r="W48" s="88">
        <v>7</v>
      </c>
      <c r="X48" s="88">
        <v>4</v>
      </c>
      <c r="Y48" s="88">
        <v>2.0499999999999998</v>
      </c>
      <c r="Z48" s="88">
        <v>0</v>
      </c>
      <c r="AA48" s="88">
        <v>0</v>
      </c>
      <c r="AB48" s="88">
        <v>0.22</v>
      </c>
      <c r="AC48" s="257"/>
      <c r="AD48" s="110">
        <f t="shared" si="40"/>
        <v>41212.975126423466</v>
      </c>
      <c r="AE48" s="110">
        <f t="shared" si="41"/>
        <v>19524.710067274253</v>
      </c>
      <c r="AF48" s="16">
        <f>SUMIF('20.01'!$I:$I,$B:$B,'20.01'!$D:$D)*1.2</f>
        <v>82.908000000000001</v>
      </c>
      <c r="AG48" s="17">
        <f t="shared" si="77"/>
        <v>3297.4934112321403</v>
      </c>
      <c r="AH48" s="17">
        <f t="shared" si="43"/>
        <v>677.02977852339632</v>
      </c>
      <c r="AI48" s="16">
        <f>SUMIF('20.01'!$J:$J,$B:$B,'20.01'!$D:$D)*1.2</f>
        <v>3255.9959999999996</v>
      </c>
      <c r="AJ48" s="17">
        <f t="shared" si="44"/>
        <v>275.12968092654393</v>
      </c>
      <c r="AK48" s="17">
        <f t="shared" si="45"/>
        <v>669.32939234029038</v>
      </c>
      <c r="AL48" s="17">
        <f t="shared" si="46"/>
        <v>11266.823804251881</v>
      </c>
      <c r="AM48" s="110">
        <f t="shared" si="47"/>
        <v>0</v>
      </c>
      <c r="AN48" s="17">
        <f>SUMIF('20.01'!$K:$K,$B:$B,'20.01'!$D:$D)*1.2</f>
        <v>0</v>
      </c>
      <c r="AO48" s="17">
        <f>SUMIF('20.01'!$L:$L,$B:$B,'20.01'!$D:$D)*1.2</f>
        <v>0</v>
      </c>
      <c r="AP48" s="17">
        <f>SUMIF('20.01'!$M:$M,$B:$B,'20.01'!$D:$D)*1.2</f>
        <v>0</v>
      </c>
      <c r="AQ48" s="110">
        <f t="shared" si="48"/>
        <v>249.06505914921763</v>
      </c>
      <c r="AR48" s="17">
        <f t="shared" si="49"/>
        <v>249.06505914921763</v>
      </c>
      <c r="AS48" s="17">
        <f>(SUMIF('20.01'!$N:$N,$B:$B,'20.01'!$D:$D)+SUMIF('20.01'!$O:$O,$B:$B,'20.01'!$D:$D))*1.2</f>
        <v>0</v>
      </c>
      <c r="AT48" s="110">
        <f>SUMIF('20.01'!$P:$P,$B:$B,'20.01'!$D:$D)*1.2</f>
        <v>0</v>
      </c>
      <c r="AU48" s="110">
        <f t="shared" si="50"/>
        <v>21439.200000000001</v>
      </c>
      <c r="AV48" s="17">
        <f>SUMIF('20.01'!$Q:$Q,$B:$B,'20.01'!$D:$D)*1.2</f>
        <v>21439.200000000001</v>
      </c>
      <c r="AW48" s="17">
        <f>SUMIF('20.01'!$R:$R,$B:$B,'20.01'!$D:$D)*1.2</f>
        <v>0</v>
      </c>
      <c r="AX48" s="110">
        <f t="shared" si="51"/>
        <v>0</v>
      </c>
      <c r="AY48" s="17">
        <f>SUMIF('20.01'!$S:$S,$B:$B,'20.01'!$D:$D)*1.2</f>
        <v>0</v>
      </c>
      <c r="AZ48" s="17">
        <f>SUMIF('20.01'!$T:$T,$B:$B,'20.01'!$D:$D)*1.2</f>
        <v>0</v>
      </c>
      <c r="BA48" s="110">
        <f t="shared" si="52"/>
        <v>0</v>
      </c>
      <c r="BB48" s="17">
        <f>SUMIF('20.01'!$U:$U,$B:$B,'20.01'!$D:$D)*1.2</f>
        <v>0</v>
      </c>
      <c r="BC48" s="17">
        <f>SUMIF('20.01'!$V:$V,$B:$B,'20.01'!$D:$D)*1.2</f>
        <v>0</v>
      </c>
      <c r="BD48" s="17">
        <f>SUMIF('20.01'!$W:$W,$B:$B,'20.01'!$D:$D)*1.2</f>
        <v>0</v>
      </c>
      <c r="BE48" s="110">
        <f>SUMIF('20.01'!$X:$X,$B:$B,'20.01'!$D:$D)*1.2</f>
        <v>0</v>
      </c>
      <c r="BF48" s="110">
        <f t="shared" si="53"/>
        <v>0</v>
      </c>
      <c r="BG48" s="17">
        <f>SUMIF('20.01'!$Y:$Y,$B:$B,'20.01'!$D:$D)*1.2</f>
        <v>0</v>
      </c>
      <c r="BH48" s="17">
        <f>SUMIF('20.01'!$Z:$Z,$B:$B,'20.01'!$D:$D)*1.2</f>
        <v>0</v>
      </c>
      <c r="BI48" s="17">
        <f>SUMIF('20.01'!$AA:$AA,$B:$B,'20.01'!$D:$D)*1.2</f>
        <v>0</v>
      </c>
      <c r="BJ48" s="17">
        <f>SUMIF('20.01'!$AB:$AB,$B:$B,'20.01'!$D:$D)*1.2</f>
        <v>0</v>
      </c>
      <c r="BK48" s="17">
        <f>SUMIF('20.01'!$AC:$AC,$B:$B,'20.01'!$D:$D)*1.2</f>
        <v>0</v>
      </c>
      <c r="BL48" s="17">
        <f>SUMIF('20.01'!$AD:$AD,$B:$B,'20.01'!$D:$D)*1.2</f>
        <v>0</v>
      </c>
      <c r="BM48" s="110">
        <f t="shared" si="54"/>
        <v>0</v>
      </c>
      <c r="BN48" s="17">
        <f>SUMIF('20.01'!$AE:$AE,$B:$B,'20.01'!$D:$D)*1.2</f>
        <v>0</v>
      </c>
      <c r="BO48" s="17">
        <f>SUMIF('20.01'!$AF:$AF,$B:$B,'20.01'!$D:$D)*1.2</f>
        <v>0</v>
      </c>
      <c r="BP48" s="110">
        <f>SUMIF('20.01'!$AG:$AG,$B:$B,'20.01'!$D:$D)*1.2</f>
        <v>0</v>
      </c>
      <c r="BQ48" s="110">
        <f>SUMIF('20.01'!$AH:$AH,$B:$B,'20.01'!$D:$D)*1.2</f>
        <v>0</v>
      </c>
      <c r="BR48" s="110">
        <f>SUMIF('20.01'!$AI:$AI,$B:$B,'20.01'!$D:$D)*1.2</f>
        <v>0</v>
      </c>
      <c r="BS48" s="110">
        <f t="shared" si="55"/>
        <v>0</v>
      </c>
      <c r="BT48" s="17">
        <f>SUMIF('20.01'!$AJ:$AJ,$B:$B,'20.01'!$D:$D)*1.2</f>
        <v>0</v>
      </c>
      <c r="BU48" s="17">
        <f>SUMIF('20.01'!$AK:$AK,$B:$B,'20.01'!$D:$D)*1.2</f>
        <v>0</v>
      </c>
      <c r="BV48" s="110">
        <f>SUMIF('20.01'!$AL:$AL,$B:$B,'20.01'!$D:$D)*1.2</f>
        <v>0</v>
      </c>
      <c r="BW48" s="110">
        <f>SUMIF('20.01'!$AM:$AM,$B:$B,'20.01'!$D:$D)*1.2</f>
        <v>0</v>
      </c>
      <c r="BX48" s="110">
        <f>SUMIF('20.01'!$AN:$AN,$B:$B,'20.01'!$D:$D)*1.2</f>
        <v>0</v>
      </c>
      <c r="BY48" s="110">
        <f t="shared" si="3"/>
        <v>203426.52296310413</v>
      </c>
      <c r="BZ48" s="17">
        <f t="shared" si="78"/>
        <v>123585.20289169984</v>
      </c>
      <c r="CA48" s="17">
        <f t="shared" si="5"/>
        <v>5499.1282406146511</v>
      </c>
      <c r="CB48" s="17">
        <f t="shared" si="6"/>
        <v>365.55388100229283</v>
      </c>
      <c r="CC48" s="17">
        <f>SUMIF('20.01'!$AO:$AO,$B:$B,'20.01'!$D:$D)*1.2</f>
        <v>0</v>
      </c>
      <c r="CD48" s="17">
        <f t="shared" si="7"/>
        <v>5738.8246565895533</v>
      </c>
      <c r="CE48" s="17">
        <f>SUMIF('20.01'!$AQ:$AQ,$B:$B,'20.01'!$D:$D)*1.2</f>
        <v>0</v>
      </c>
      <c r="CF48" s="17">
        <f t="shared" si="8"/>
        <v>522.14232459909863</v>
      </c>
      <c r="CG48" s="17">
        <f>SUMIF('20.01'!$AR:$AR,$B:$B,'20.01'!$D:$D)*1.2</f>
        <v>67103.747999999992</v>
      </c>
      <c r="CH48" s="17">
        <f t="shared" si="9"/>
        <v>307.50394190949402</v>
      </c>
      <c r="CI48" s="17">
        <f>SUMIF('20.01'!$AT:$AT,$B:$B,'20.01'!$D:$D)*1.2</f>
        <v>0</v>
      </c>
      <c r="CJ48" s="17">
        <f>SUMIF('20.01'!$AU:$AU,$B:$B,'20.01'!$D:$D)*1.2</f>
        <v>0</v>
      </c>
      <c r="CK48" s="17">
        <f>SUMIF('20.01'!$AV:$AV,$B:$B,'20.01'!$D:$D)*1.2</f>
        <v>0</v>
      </c>
      <c r="CL48" s="17">
        <f t="shared" si="10"/>
        <v>304.4190266891988</v>
      </c>
      <c r="CM48" s="17">
        <f>SUMIF('20.01'!$AW:$AW,$B:$B,'20.01'!$D:$D)*1.2</f>
        <v>0</v>
      </c>
      <c r="CN48" s="17">
        <f>SUMIF('20.01'!$AX:$AX,$B:$B,'20.01'!$D:$D)*1.2</f>
        <v>0</v>
      </c>
      <c r="CO48" s="110">
        <f t="shared" si="56"/>
        <v>102120.83921592</v>
      </c>
      <c r="CP48" s="17">
        <f t="shared" si="57"/>
        <v>80557.14350035839</v>
      </c>
      <c r="CQ48" s="17">
        <f t="shared" si="11"/>
        <v>24852.987207225662</v>
      </c>
      <c r="CR48" s="17">
        <f t="shared" si="12"/>
        <v>55704.156293132728</v>
      </c>
      <c r="CS48" s="17">
        <f t="shared" si="58"/>
        <v>21563.695715561607</v>
      </c>
      <c r="CT48" s="17">
        <f t="shared" si="13"/>
        <v>785.58435114844747</v>
      </c>
      <c r="CU48" s="17">
        <f t="shared" si="14"/>
        <v>759.84349953816911</v>
      </c>
      <c r="CV48" s="17">
        <f t="shared" si="15"/>
        <v>785.31486395054003</v>
      </c>
      <c r="CW48" s="17">
        <f t="shared" si="16"/>
        <v>8.2348910152851058</v>
      </c>
      <c r="CX48" s="17">
        <f t="shared" si="17"/>
        <v>11595.554457280403</v>
      </c>
      <c r="CY48" s="17">
        <f t="shared" si="18"/>
        <v>7629.1636526287621</v>
      </c>
      <c r="CZ48" s="110">
        <f t="shared" si="59"/>
        <v>25349.065731333991</v>
      </c>
      <c r="DA48" s="17">
        <f t="shared" si="60"/>
        <v>957.54546689361712</v>
      </c>
      <c r="DB48" s="17">
        <f t="shared" si="19"/>
        <v>908.67552280973234</v>
      </c>
      <c r="DC48" s="17">
        <f t="shared" si="20"/>
        <v>48.869944083884761</v>
      </c>
      <c r="DD48" s="17">
        <f t="shared" si="21"/>
        <v>1687.3049512596276</v>
      </c>
      <c r="DE48" s="17">
        <f t="shared" si="22"/>
        <v>582.16466821010738</v>
      </c>
      <c r="DF48" s="17">
        <f t="shared" si="23"/>
        <v>706.53792927944846</v>
      </c>
      <c r="DG48" s="17">
        <f t="shared" si="61"/>
        <v>21415.512715691191</v>
      </c>
      <c r="DH48" s="110">
        <f t="shared" si="62"/>
        <v>15819.797215083701</v>
      </c>
      <c r="DI48" s="17">
        <f t="shared" si="24"/>
        <v>14191.00311097076</v>
      </c>
      <c r="DJ48" s="17">
        <f t="shared" si="25"/>
        <v>1569.4415570230638</v>
      </c>
      <c r="DK48" s="17">
        <f t="shared" si="26"/>
        <v>59.352547089878037</v>
      </c>
      <c r="DL48" s="110">
        <f t="shared" si="63"/>
        <v>94049.272201344604</v>
      </c>
      <c r="DM48" s="17">
        <f t="shared" si="27"/>
        <v>49846.114266712641</v>
      </c>
      <c r="DN48" s="17">
        <f t="shared" si="28"/>
        <v>44203.15793463197</v>
      </c>
      <c r="DO48" s="17">
        <f t="shared" si="29"/>
        <v>0</v>
      </c>
      <c r="DP48" s="110">
        <f t="shared" si="64"/>
        <v>0</v>
      </c>
      <c r="DQ48" s="17">
        <f>SUMIF('20.01'!$BB:$BB,$B:$B,'20.01'!$D:$D)*1.2</f>
        <v>0</v>
      </c>
      <c r="DR48" s="17">
        <f t="shared" si="30"/>
        <v>0</v>
      </c>
      <c r="DS48" s="17">
        <f t="shared" si="31"/>
        <v>0</v>
      </c>
      <c r="DT48" s="110">
        <f t="shared" si="65"/>
        <v>1706.8439999999998</v>
      </c>
      <c r="DU48" s="17">
        <f>SUMIF('20.01'!$BD:$BD,$B:$B,'20.01'!$D:$D)*1.2</f>
        <v>1706.8439999999998</v>
      </c>
      <c r="DV48" s="17">
        <f t="shared" si="32"/>
        <v>0</v>
      </c>
      <c r="DW48" s="17">
        <f t="shared" si="33"/>
        <v>0</v>
      </c>
      <c r="DX48" s="110">
        <f t="shared" si="34"/>
        <v>483685.3164532099</v>
      </c>
      <c r="DY48" s="110"/>
      <c r="DZ48" s="110">
        <f t="shared" si="66"/>
        <v>483685.3164532099</v>
      </c>
      <c r="EA48" s="257"/>
      <c r="EB48" s="110">
        <f t="shared" si="35"/>
        <v>0</v>
      </c>
      <c r="EC48" s="110">
        <f>SUMIF(еирц!$B:$B,$B:$B,еирц!$K:$K)</f>
        <v>217472.88</v>
      </c>
      <c r="ED48" s="110">
        <f>SUMIF(еирц!$B:$B,$B:$B,еирц!$P:$P)</f>
        <v>200307.28999999998</v>
      </c>
      <c r="EE48" s="110">
        <f>SUMIF(еирц!$B:$B,$B:$B,еирц!$S:$S)</f>
        <v>48582.97</v>
      </c>
      <c r="EF48" s="177">
        <f t="shared" si="67"/>
        <v>-266212.4364532099</v>
      </c>
      <c r="EG48" s="181">
        <f t="shared" si="68"/>
        <v>0</v>
      </c>
      <c r="EH48" s="177">
        <f t="shared" si="69"/>
        <v>-266212.4364532099</v>
      </c>
    </row>
    <row r="49" spans="1:138" ht="12" customHeight="1" x14ac:dyDescent="0.25">
      <c r="A49" s="5">
        <f t="shared" si="70"/>
        <v>45</v>
      </c>
      <c r="B49" s="6" t="s">
        <v>126</v>
      </c>
      <c r="C49" s="7">
        <f t="shared" si="0"/>
        <v>885.3</v>
      </c>
      <c r="D49" s="8">
        <v>885.3</v>
      </c>
      <c r="E49" s="8">
        <v>0</v>
      </c>
      <c r="F49" s="8">
        <v>88.8</v>
      </c>
      <c r="G49" s="87">
        <f t="shared" si="1"/>
        <v>885.3</v>
      </c>
      <c r="H49" s="87">
        <f t="shared" si="2"/>
        <v>885.3</v>
      </c>
      <c r="I49" s="91">
        <v>0</v>
      </c>
      <c r="J49" s="112">
        <v>0</v>
      </c>
      <c r="K49" s="17">
        <v>0</v>
      </c>
      <c r="L49" s="112">
        <f t="shared" si="36"/>
        <v>0</v>
      </c>
      <c r="M49" s="116">
        <v>3.4064206755837683</v>
      </c>
      <c r="N49" s="120">
        <f t="shared" si="37"/>
        <v>885.3</v>
      </c>
      <c r="O49" s="116">
        <v>3.0862425753797327</v>
      </c>
      <c r="P49" s="120">
        <f t="shared" si="38"/>
        <v>885.3</v>
      </c>
      <c r="Q49" s="116">
        <v>0</v>
      </c>
      <c r="R49" s="120">
        <f t="shared" si="39"/>
        <v>0</v>
      </c>
      <c r="S49" s="11" t="s">
        <v>102</v>
      </c>
      <c r="T49" s="87">
        <v>20.440000000000001</v>
      </c>
      <c r="U49" s="88">
        <v>3.11</v>
      </c>
      <c r="V49" s="88">
        <v>4.0599999999999996</v>
      </c>
      <c r="W49" s="88">
        <v>7</v>
      </c>
      <c r="X49" s="88">
        <v>4</v>
      </c>
      <c r="Y49" s="88">
        <v>2.0499999999999998</v>
      </c>
      <c r="Z49" s="88">
        <v>0</v>
      </c>
      <c r="AA49" s="88">
        <v>0</v>
      </c>
      <c r="AB49" s="88">
        <v>0.22</v>
      </c>
      <c r="AC49" s="257"/>
      <c r="AD49" s="110">
        <f t="shared" si="40"/>
        <v>127122.12180023536</v>
      </c>
      <c r="AE49" s="110">
        <f t="shared" si="41"/>
        <v>92051.830354125035</v>
      </c>
      <c r="AF49" s="16">
        <f>SUMIF('20.01'!$I:$I,$B:$B,'20.01'!$D:$D)*1.2</f>
        <v>75890.303999999989</v>
      </c>
      <c r="AG49" s="17">
        <f t="shared" si="77"/>
        <v>3292.546966563069</v>
      </c>
      <c r="AH49" s="17">
        <f t="shared" si="43"/>
        <v>676.01419185766633</v>
      </c>
      <c r="AI49" s="16">
        <f>SUMIF('20.01'!$J:$J,$B:$B,'20.01'!$D:$D)*1.2</f>
        <v>0</v>
      </c>
      <c r="AJ49" s="17">
        <f t="shared" si="44"/>
        <v>274.71696933813354</v>
      </c>
      <c r="AK49" s="17">
        <f t="shared" si="45"/>
        <v>668.3253567315104</v>
      </c>
      <c r="AL49" s="17">
        <f t="shared" si="46"/>
        <v>11249.922869634673</v>
      </c>
      <c r="AM49" s="110">
        <f t="shared" si="47"/>
        <v>0</v>
      </c>
      <c r="AN49" s="17">
        <f>SUMIF('20.01'!$K:$K,$B:$B,'20.01'!$D:$D)*1.2</f>
        <v>0</v>
      </c>
      <c r="AO49" s="17">
        <f>SUMIF('20.01'!$L:$L,$B:$B,'20.01'!$D:$D)*1.2</f>
        <v>0</v>
      </c>
      <c r="AP49" s="17">
        <f>SUMIF('20.01'!$M:$M,$B:$B,'20.01'!$D:$D)*1.2</f>
        <v>0</v>
      </c>
      <c r="AQ49" s="110">
        <f t="shared" si="48"/>
        <v>248.69144611033053</v>
      </c>
      <c r="AR49" s="17">
        <f t="shared" si="49"/>
        <v>248.69144611033053</v>
      </c>
      <c r="AS49" s="17">
        <f>(SUMIF('20.01'!$N:$N,$B:$B,'20.01'!$D:$D)+SUMIF('20.01'!$O:$O,$B:$B,'20.01'!$D:$D))*1.2</f>
        <v>0</v>
      </c>
      <c r="AT49" s="110">
        <f>SUMIF('20.01'!$P:$P,$B:$B,'20.01'!$D:$D)*1.2</f>
        <v>0</v>
      </c>
      <c r="AU49" s="110">
        <f t="shared" si="50"/>
        <v>34821.599999999999</v>
      </c>
      <c r="AV49" s="17">
        <f>SUMIF('20.01'!$Q:$Q,$B:$B,'20.01'!$D:$D)*1.2</f>
        <v>34821.599999999999</v>
      </c>
      <c r="AW49" s="17">
        <f>SUMIF('20.01'!$R:$R,$B:$B,'20.01'!$D:$D)*1.2</f>
        <v>0</v>
      </c>
      <c r="AX49" s="110">
        <f t="shared" si="51"/>
        <v>0</v>
      </c>
      <c r="AY49" s="17">
        <f>SUMIF('20.01'!$S:$S,$B:$B,'20.01'!$D:$D)*1.2</f>
        <v>0</v>
      </c>
      <c r="AZ49" s="17">
        <f>SUMIF('20.01'!$T:$T,$B:$B,'20.01'!$D:$D)*1.2</f>
        <v>0</v>
      </c>
      <c r="BA49" s="110">
        <f t="shared" si="52"/>
        <v>0</v>
      </c>
      <c r="BB49" s="17">
        <f>SUMIF('20.01'!$U:$U,$B:$B,'20.01'!$D:$D)*1.2</f>
        <v>0</v>
      </c>
      <c r="BC49" s="17">
        <f>SUMIF('20.01'!$V:$V,$B:$B,'20.01'!$D:$D)*1.2</f>
        <v>0</v>
      </c>
      <c r="BD49" s="17">
        <f>SUMIF('20.01'!$W:$W,$B:$B,'20.01'!$D:$D)*1.2</f>
        <v>0</v>
      </c>
      <c r="BE49" s="110">
        <f>SUMIF('20.01'!$X:$X,$B:$B,'20.01'!$D:$D)*1.2</f>
        <v>0</v>
      </c>
      <c r="BF49" s="110">
        <f t="shared" si="53"/>
        <v>0</v>
      </c>
      <c r="BG49" s="17">
        <f>SUMIF('20.01'!$Y:$Y,$B:$B,'20.01'!$D:$D)*1.2</f>
        <v>0</v>
      </c>
      <c r="BH49" s="17">
        <f>SUMIF('20.01'!$Z:$Z,$B:$B,'20.01'!$D:$D)*1.2</f>
        <v>0</v>
      </c>
      <c r="BI49" s="17">
        <f>SUMIF('20.01'!$AA:$AA,$B:$B,'20.01'!$D:$D)*1.2</f>
        <v>0</v>
      </c>
      <c r="BJ49" s="17">
        <f>SUMIF('20.01'!$AB:$AB,$B:$B,'20.01'!$D:$D)*1.2</f>
        <v>0</v>
      </c>
      <c r="BK49" s="17">
        <f>SUMIF('20.01'!$AC:$AC,$B:$B,'20.01'!$D:$D)*1.2</f>
        <v>0</v>
      </c>
      <c r="BL49" s="17">
        <f>SUMIF('20.01'!$AD:$AD,$B:$B,'20.01'!$D:$D)*1.2</f>
        <v>0</v>
      </c>
      <c r="BM49" s="110">
        <f t="shared" si="54"/>
        <v>0</v>
      </c>
      <c r="BN49" s="17">
        <f>SUMIF('20.01'!$AE:$AE,$B:$B,'20.01'!$D:$D)*1.2</f>
        <v>0</v>
      </c>
      <c r="BO49" s="17">
        <f>SUMIF('20.01'!$AF:$AF,$B:$B,'20.01'!$D:$D)*1.2</f>
        <v>0</v>
      </c>
      <c r="BP49" s="110">
        <f>SUMIF('20.01'!$AG:$AG,$B:$B,'20.01'!$D:$D)*1.2</f>
        <v>0</v>
      </c>
      <c r="BQ49" s="110">
        <f>SUMIF('20.01'!$AH:$AH,$B:$B,'20.01'!$D:$D)*1.2</f>
        <v>0</v>
      </c>
      <c r="BR49" s="110">
        <f>SUMIF('20.01'!$AI:$AI,$B:$B,'20.01'!$D:$D)*1.2</f>
        <v>0</v>
      </c>
      <c r="BS49" s="110">
        <f t="shared" si="55"/>
        <v>0</v>
      </c>
      <c r="BT49" s="17">
        <f>SUMIF('20.01'!$AJ:$AJ,$B:$B,'20.01'!$D:$D)*1.2</f>
        <v>0</v>
      </c>
      <c r="BU49" s="17">
        <f>SUMIF('20.01'!$AK:$AK,$B:$B,'20.01'!$D:$D)*1.2</f>
        <v>0</v>
      </c>
      <c r="BV49" s="110">
        <f>SUMIF('20.01'!$AL:$AL,$B:$B,'20.01'!$D:$D)*1.2</f>
        <v>0</v>
      </c>
      <c r="BW49" s="110">
        <f>SUMIF('20.01'!$AM:$AM,$B:$B,'20.01'!$D:$D)*1.2</f>
        <v>0</v>
      </c>
      <c r="BX49" s="110">
        <f>SUMIF('20.01'!$AN:$AN,$B:$B,'20.01'!$D:$D)*1.2</f>
        <v>0</v>
      </c>
      <c r="BY49" s="110">
        <f t="shared" si="3"/>
        <v>151459.37034419776</v>
      </c>
      <c r="BZ49" s="17">
        <f t="shared" si="78"/>
        <v>123399.81742104582</v>
      </c>
      <c r="CA49" s="17">
        <f t="shared" si="5"/>
        <v>5490.8792071282842</v>
      </c>
      <c r="CB49" s="17">
        <f t="shared" si="6"/>
        <v>365.00552750451692</v>
      </c>
      <c r="CC49" s="17">
        <f>SUMIF('20.01'!$AO:$AO,$B:$B,'20.01'!$D:$D)*1.2</f>
        <v>0</v>
      </c>
      <c r="CD49" s="17">
        <f t="shared" si="7"/>
        <v>5730.2160636102226</v>
      </c>
      <c r="CE49" s="17">
        <f>SUMIF('20.01'!$AQ:$AQ,$B:$B,'20.01'!$D:$D)*1.2</f>
        <v>0</v>
      </c>
      <c r="CF49" s="17">
        <f t="shared" si="8"/>
        <v>521.35907872233281</v>
      </c>
      <c r="CG49" s="17">
        <f>SUMIF('20.01'!$AR:$AR,$B:$B,'20.01'!$D:$D)*1.2</f>
        <v>15341.088</v>
      </c>
      <c r="CH49" s="17">
        <f t="shared" si="9"/>
        <v>307.04266692134831</v>
      </c>
      <c r="CI49" s="17">
        <f>SUMIF('20.01'!$AT:$AT,$B:$B,'20.01'!$D:$D)*1.2</f>
        <v>0</v>
      </c>
      <c r="CJ49" s="17">
        <f>SUMIF('20.01'!$AU:$AU,$B:$B,'20.01'!$D:$D)*1.2</f>
        <v>0</v>
      </c>
      <c r="CK49" s="17">
        <f>SUMIF('20.01'!$AV:$AV,$B:$B,'20.01'!$D:$D)*1.2</f>
        <v>0</v>
      </c>
      <c r="CL49" s="17">
        <f t="shared" si="10"/>
        <v>303.96237926524896</v>
      </c>
      <c r="CM49" s="17">
        <f>SUMIF('20.01'!$AW:$AW,$B:$B,'20.01'!$D:$D)*1.2</f>
        <v>0</v>
      </c>
      <c r="CN49" s="17">
        <f>SUMIF('20.01'!$AX:$AX,$B:$B,'20.01'!$D:$D)*1.2</f>
        <v>0</v>
      </c>
      <c r="CO49" s="110">
        <f t="shared" si="56"/>
        <v>101967.65162227082</v>
      </c>
      <c r="CP49" s="17">
        <f t="shared" si="57"/>
        <v>80436.302787935536</v>
      </c>
      <c r="CQ49" s="17">
        <f t="shared" si="11"/>
        <v>24815.706184718401</v>
      </c>
      <c r="CR49" s="17">
        <f t="shared" si="12"/>
        <v>55620.596603217127</v>
      </c>
      <c r="CS49" s="17">
        <f t="shared" si="58"/>
        <v>21531.34883433528</v>
      </c>
      <c r="CT49" s="17">
        <f t="shared" si="13"/>
        <v>784.40592588985317</v>
      </c>
      <c r="CU49" s="17">
        <f t="shared" si="14"/>
        <v>758.70368715376321</v>
      </c>
      <c r="CV49" s="17">
        <f t="shared" si="15"/>
        <v>784.1368429394596</v>
      </c>
      <c r="CW49" s="17">
        <f t="shared" si="16"/>
        <v>8.2225381679301446</v>
      </c>
      <c r="CX49" s="17">
        <f t="shared" si="17"/>
        <v>11578.160406291621</v>
      </c>
      <c r="CY49" s="17">
        <f t="shared" si="18"/>
        <v>7617.7194338926529</v>
      </c>
      <c r="CZ49" s="110">
        <f t="shared" si="59"/>
        <v>25311.040560267509</v>
      </c>
      <c r="DA49" s="17">
        <f t="shared" si="60"/>
        <v>956.10908929420293</v>
      </c>
      <c r="DB49" s="17">
        <f t="shared" si="19"/>
        <v>907.31245315797571</v>
      </c>
      <c r="DC49" s="17">
        <f t="shared" si="20"/>
        <v>48.796636136227264</v>
      </c>
      <c r="DD49" s="17">
        <f t="shared" si="21"/>
        <v>1684.7738891647566</v>
      </c>
      <c r="DE49" s="17">
        <f t="shared" si="22"/>
        <v>581.29138509458073</v>
      </c>
      <c r="DF49" s="17">
        <f t="shared" si="23"/>
        <v>705.47807855711585</v>
      </c>
      <c r="DG49" s="17">
        <f t="shared" si="61"/>
        <v>21383.388118156854</v>
      </c>
      <c r="DH49" s="110">
        <f t="shared" si="62"/>
        <v>15796.066537917282</v>
      </c>
      <c r="DI49" s="17">
        <f t="shared" si="24"/>
        <v>14169.715725998909</v>
      </c>
      <c r="DJ49" s="17">
        <f t="shared" si="25"/>
        <v>1567.0872973309254</v>
      </c>
      <c r="DK49" s="17">
        <f t="shared" si="26"/>
        <v>59.263514587448</v>
      </c>
      <c r="DL49" s="110">
        <f t="shared" si="63"/>
        <v>93908.192458917896</v>
      </c>
      <c r="DM49" s="17">
        <f t="shared" si="27"/>
        <v>49771.342003226484</v>
      </c>
      <c r="DN49" s="17">
        <f t="shared" si="28"/>
        <v>44136.850455691412</v>
      </c>
      <c r="DO49" s="17">
        <f t="shared" si="29"/>
        <v>0</v>
      </c>
      <c r="DP49" s="110">
        <f t="shared" si="64"/>
        <v>0</v>
      </c>
      <c r="DQ49" s="17">
        <f>SUMIF('20.01'!$BB:$BB,$B:$B,'20.01'!$D:$D)*1.2</f>
        <v>0</v>
      </c>
      <c r="DR49" s="17">
        <f t="shared" si="30"/>
        <v>0</v>
      </c>
      <c r="DS49" s="17">
        <f t="shared" si="31"/>
        <v>0</v>
      </c>
      <c r="DT49" s="110">
        <f t="shared" si="65"/>
        <v>1706.8439999999998</v>
      </c>
      <c r="DU49" s="17">
        <f>SUMIF('20.01'!$BD:$BD,$B:$B,'20.01'!$D:$D)*1.2</f>
        <v>1706.8439999999998</v>
      </c>
      <c r="DV49" s="17">
        <f t="shared" si="32"/>
        <v>0</v>
      </c>
      <c r="DW49" s="17">
        <f t="shared" si="33"/>
        <v>0</v>
      </c>
      <c r="DX49" s="110">
        <f t="shared" si="34"/>
        <v>517271.28732380661</v>
      </c>
      <c r="DY49" s="110"/>
      <c r="DZ49" s="110">
        <f t="shared" si="66"/>
        <v>517271.28732380661</v>
      </c>
      <c r="EA49" s="257"/>
      <c r="EB49" s="110">
        <f t="shared" si="35"/>
        <v>0</v>
      </c>
      <c r="EC49" s="110">
        <f>SUMIF(еирц!$B:$B,$B:$B,еирц!$K:$K)</f>
        <v>217420.11</v>
      </c>
      <c r="ED49" s="110">
        <f>SUMIF(еирц!$B:$B,$B:$B,еирц!$P:$P)</f>
        <v>208745.28</v>
      </c>
      <c r="EE49" s="110">
        <f>SUMIF(еирц!$B:$B,$B:$B,еирц!$S:$S)</f>
        <v>28383.119999999999</v>
      </c>
      <c r="EF49" s="177">
        <f t="shared" si="67"/>
        <v>-299851.17732380662</v>
      </c>
      <c r="EG49" s="181">
        <f t="shared" si="68"/>
        <v>0</v>
      </c>
      <c r="EH49" s="177">
        <f t="shared" si="69"/>
        <v>-299851.17732380662</v>
      </c>
    </row>
    <row r="50" spans="1:138" ht="12" customHeight="1" x14ac:dyDescent="0.25">
      <c r="A50" s="5">
        <f t="shared" si="70"/>
        <v>46</v>
      </c>
      <c r="B50" s="6" t="s">
        <v>127</v>
      </c>
      <c r="C50" s="7">
        <f t="shared" si="0"/>
        <v>1380.65</v>
      </c>
      <c r="D50" s="8">
        <v>1380.65</v>
      </c>
      <c r="E50" s="8">
        <v>0</v>
      </c>
      <c r="F50" s="8">
        <v>142.19999999999999</v>
      </c>
      <c r="G50" s="87">
        <f t="shared" si="1"/>
        <v>1380.65</v>
      </c>
      <c r="H50" s="87">
        <f t="shared" si="2"/>
        <v>1380.65</v>
      </c>
      <c r="I50" s="91">
        <v>0</v>
      </c>
      <c r="J50" s="112">
        <v>0</v>
      </c>
      <c r="K50" s="17">
        <v>0</v>
      </c>
      <c r="L50" s="112">
        <f t="shared" si="36"/>
        <v>0</v>
      </c>
      <c r="M50" s="116">
        <v>3.4064182841664201</v>
      </c>
      <c r="N50" s="120">
        <f t="shared" si="37"/>
        <v>1380.65</v>
      </c>
      <c r="O50" s="116">
        <v>2.6059537309010881</v>
      </c>
      <c r="P50" s="120">
        <f t="shared" si="38"/>
        <v>1380.65</v>
      </c>
      <c r="Q50" s="116">
        <v>0</v>
      </c>
      <c r="R50" s="120">
        <f t="shared" si="39"/>
        <v>0</v>
      </c>
      <c r="S50" s="11" t="s">
        <v>102</v>
      </c>
      <c r="T50" s="87">
        <v>20.440000000000001</v>
      </c>
      <c r="U50" s="88">
        <v>3.11</v>
      </c>
      <c r="V50" s="88">
        <v>4.0599999999999996</v>
      </c>
      <c r="W50" s="88">
        <v>7</v>
      </c>
      <c r="X50" s="88">
        <v>4</v>
      </c>
      <c r="Y50" s="88">
        <v>2.0499999999999998</v>
      </c>
      <c r="Z50" s="88">
        <v>0</v>
      </c>
      <c r="AA50" s="88">
        <v>0</v>
      </c>
      <c r="AB50" s="88">
        <v>0.22</v>
      </c>
      <c r="AC50" s="257"/>
      <c r="AD50" s="110">
        <f t="shared" si="40"/>
        <v>111537.71558013666</v>
      </c>
      <c r="AE50" s="110">
        <f t="shared" si="41"/>
        <v>105793.07434544533</v>
      </c>
      <c r="AF50" s="16">
        <f>SUMIF('20.01'!$I:$I,$B:$B,'20.01'!$D:$D)*1.2</f>
        <v>80588.724000000002</v>
      </c>
      <c r="AG50" s="17">
        <f t="shared" si="77"/>
        <v>5134.8186709423944</v>
      </c>
      <c r="AH50" s="17">
        <f t="shared" si="43"/>
        <v>1054.2629549173016</v>
      </c>
      <c r="AI50" s="16">
        <f>SUMIF('20.01'!$J:$J,$B:$B,'20.01'!$D:$D)*1.2</f>
        <v>0</v>
      </c>
      <c r="AJ50" s="17">
        <f t="shared" si="44"/>
        <v>428.42876281113081</v>
      </c>
      <c r="AK50" s="17">
        <f t="shared" si="45"/>
        <v>1042.2720024526825</v>
      </c>
      <c r="AL50" s="17">
        <f t="shared" si="46"/>
        <v>17544.567954321825</v>
      </c>
      <c r="AM50" s="110">
        <f t="shared" si="47"/>
        <v>0</v>
      </c>
      <c r="AN50" s="17">
        <f>SUMIF('20.01'!$K:$K,$B:$B,'20.01'!$D:$D)*1.2</f>
        <v>0</v>
      </c>
      <c r="AO50" s="17">
        <f>SUMIF('20.01'!$L:$L,$B:$B,'20.01'!$D:$D)*1.2</f>
        <v>0</v>
      </c>
      <c r="AP50" s="17">
        <f>SUMIF('20.01'!$M:$M,$B:$B,'20.01'!$D:$D)*1.2</f>
        <v>0</v>
      </c>
      <c r="AQ50" s="110">
        <f t="shared" si="48"/>
        <v>387.8412346913226</v>
      </c>
      <c r="AR50" s="17">
        <f t="shared" si="49"/>
        <v>387.8412346913226</v>
      </c>
      <c r="AS50" s="17">
        <f>(SUMIF('20.01'!$N:$N,$B:$B,'20.01'!$D:$D)+SUMIF('20.01'!$O:$O,$B:$B,'20.01'!$D:$D))*1.2</f>
        <v>0</v>
      </c>
      <c r="AT50" s="110">
        <f>SUMIF('20.01'!$P:$P,$B:$B,'20.01'!$D:$D)*1.2</f>
        <v>0</v>
      </c>
      <c r="AU50" s="110">
        <f t="shared" si="50"/>
        <v>0</v>
      </c>
      <c r="AV50" s="17">
        <f>SUMIF('20.01'!$Q:$Q,$B:$B,'20.01'!$D:$D)*1.2</f>
        <v>0</v>
      </c>
      <c r="AW50" s="17">
        <f>SUMIF('20.01'!$R:$R,$B:$B,'20.01'!$D:$D)*1.2</f>
        <v>0</v>
      </c>
      <c r="AX50" s="110">
        <f t="shared" si="51"/>
        <v>0</v>
      </c>
      <c r="AY50" s="17">
        <f>SUMIF('20.01'!$S:$S,$B:$B,'20.01'!$D:$D)*1.2</f>
        <v>0</v>
      </c>
      <c r="AZ50" s="17">
        <f>SUMIF('20.01'!$T:$T,$B:$B,'20.01'!$D:$D)*1.2</f>
        <v>0</v>
      </c>
      <c r="BA50" s="110">
        <f t="shared" si="52"/>
        <v>0</v>
      </c>
      <c r="BB50" s="17">
        <f>SUMIF('20.01'!$U:$U,$B:$B,'20.01'!$D:$D)*1.2</f>
        <v>0</v>
      </c>
      <c r="BC50" s="17">
        <f>SUMIF('20.01'!$V:$V,$B:$B,'20.01'!$D:$D)*1.2</f>
        <v>0</v>
      </c>
      <c r="BD50" s="17">
        <f>SUMIF('20.01'!$W:$W,$B:$B,'20.01'!$D:$D)*1.2</f>
        <v>0</v>
      </c>
      <c r="BE50" s="110">
        <f>SUMIF('20.01'!$X:$X,$B:$B,'20.01'!$D:$D)*1.2</f>
        <v>0</v>
      </c>
      <c r="BF50" s="110">
        <f t="shared" si="53"/>
        <v>0</v>
      </c>
      <c r="BG50" s="17">
        <f>SUMIF('20.01'!$Y:$Y,$B:$B,'20.01'!$D:$D)*1.2</f>
        <v>0</v>
      </c>
      <c r="BH50" s="17">
        <f>SUMIF('20.01'!$Z:$Z,$B:$B,'20.01'!$D:$D)*1.2</f>
        <v>0</v>
      </c>
      <c r="BI50" s="17">
        <f>SUMIF('20.01'!$AA:$AA,$B:$B,'20.01'!$D:$D)*1.2</f>
        <v>0</v>
      </c>
      <c r="BJ50" s="17">
        <f>SUMIF('20.01'!$AB:$AB,$B:$B,'20.01'!$D:$D)*1.2</f>
        <v>0</v>
      </c>
      <c r="BK50" s="17">
        <f>SUMIF('20.01'!$AC:$AC,$B:$B,'20.01'!$D:$D)*1.2</f>
        <v>0</v>
      </c>
      <c r="BL50" s="17">
        <f>SUMIF('20.01'!$AD:$AD,$B:$B,'20.01'!$D:$D)*1.2</f>
        <v>0</v>
      </c>
      <c r="BM50" s="110">
        <f t="shared" si="54"/>
        <v>0</v>
      </c>
      <c r="BN50" s="17">
        <f>SUMIF('20.01'!$AE:$AE,$B:$B,'20.01'!$D:$D)*1.2</f>
        <v>0</v>
      </c>
      <c r="BO50" s="17">
        <f>SUMIF('20.01'!$AF:$AF,$B:$B,'20.01'!$D:$D)*1.2</f>
        <v>0</v>
      </c>
      <c r="BP50" s="110">
        <f>SUMIF('20.01'!$AG:$AG,$B:$B,'20.01'!$D:$D)*1.2</f>
        <v>0</v>
      </c>
      <c r="BQ50" s="110">
        <f>SUMIF('20.01'!$AH:$AH,$B:$B,'20.01'!$D:$D)*1.2</f>
        <v>0</v>
      </c>
      <c r="BR50" s="110">
        <f>SUMIF('20.01'!$AI:$AI,$B:$B,'20.01'!$D:$D)*1.2</f>
        <v>0</v>
      </c>
      <c r="BS50" s="110">
        <f t="shared" si="55"/>
        <v>5356.8</v>
      </c>
      <c r="BT50" s="17">
        <f>SUMIF('20.01'!$AJ:$AJ,$B:$B,'20.01'!$D:$D)*1.2</f>
        <v>5356.8</v>
      </c>
      <c r="BU50" s="17">
        <f>SUMIF('20.01'!$AK:$AK,$B:$B,'20.01'!$D:$D)*1.2</f>
        <v>0</v>
      </c>
      <c r="BV50" s="110">
        <f>SUMIF('20.01'!$AL:$AL,$B:$B,'20.01'!$D:$D)*1.2</f>
        <v>0</v>
      </c>
      <c r="BW50" s="110">
        <f>SUMIF('20.01'!$AM:$AM,$B:$B,'20.01'!$D:$D)*1.2</f>
        <v>0</v>
      </c>
      <c r="BX50" s="110">
        <f>SUMIF('20.01'!$AN:$AN,$B:$B,'20.01'!$D:$D)*1.2</f>
        <v>0</v>
      </c>
      <c r="BY50" s="110">
        <f t="shared" si="3"/>
        <v>310852.95534814941</v>
      </c>
      <c r="BZ50" s="17">
        <f t="shared" si="78"/>
        <v>192445.45117176883</v>
      </c>
      <c r="CA50" s="17">
        <f t="shared" si="5"/>
        <v>8563.1790097386947</v>
      </c>
      <c r="CB50" s="17">
        <f t="shared" si="6"/>
        <v>569.23628323631681</v>
      </c>
      <c r="CC50" s="17">
        <f>SUMIF('20.01'!$AO:$AO,$B:$B,'20.01'!$D:$D)*1.2</f>
        <v>0</v>
      </c>
      <c r="CD50" s="17">
        <f t="shared" si="7"/>
        <v>8936.4315014384447</v>
      </c>
      <c r="CE50" s="17">
        <f>SUMIF('20.01'!$AQ:$AQ,$B:$B,'20.01'!$D:$D)*1.2</f>
        <v>0</v>
      </c>
      <c r="CF50" s="17">
        <f t="shared" si="8"/>
        <v>813.07399981699871</v>
      </c>
      <c r="CG50" s="17">
        <f>SUMIF('20.01'!$AR:$AR,$B:$B,'20.01'!$D:$D)*1.2</f>
        <v>98572.703999999998</v>
      </c>
      <c r="CH50" s="17">
        <f t="shared" si="9"/>
        <v>478.8415882581719</v>
      </c>
      <c r="CI50" s="17">
        <f>SUMIF('20.01'!$AT:$AT,$B:$B,'20.01'!$D:$D)*1.2</f>
        <v>0</v>
      </c>
      <c r="CJ50" s="17">
        <f>SUMIF('20.01'!$AU:$AU,$B:$B,'20.01'!$D:$D)*1.2</f>
        <v>0</v>
      </c>
      <c r="CK50" s="17">
        <f>SUMIF('20.01'!$AV:$AV,$B:$B,'20.01'!$D:$D)*1.2</f>
        <v>0</v>
      </c>
      <c r="CL50" s="17">
        <f t="shared" si="10"/>
        <v>474.03779389197564</v>
      </c>
      <c r="CM50" s="17">
        <f>SUMIF('20.01'!$AW:$AW,$B:$B,'20.01'!$D:$D)*1.2</f>
        <v>0</v>
      </c>
      <c r="CN50" s="17">
        <f>SUMIF('20.01'!$AX:$AX,$B:$B,'20.01'!$D:$D)*1.2</f>
        <v>0</v>
      </c>
      <c r="CO50" s="110">
        <f t="shared" si="56"/>
        <v>159021.39185845276</v>
      </c>
      <c r="CP50" s="17">
        <f t="shared" si="57"/>
        <v>125442.65383956084</v>
      </c>
      <c r="CQ50" s="17">
        <f t="shared" si="11"/>
        <v>38700.784755372719</v>
      </c>
      <c r="CR50" s="17">
        <f t="shared" si="12"/>
        <v>86741.869084188118</v>
      </c>
      <c r="CS50" s="17">
        <f t="shared" si="58"/>
        <v>33578.738018891905</v>
      </c>
      <c r="CT50" s="17">
        <f t="shared" si="13"/>
        <v>1223.3028821640414</v>
      </c>
      <c r="CU50" s="17">
        <f t="shared" si="14"/>
        <v>1183.2195252104862</v>
      </c>
      <c r="CV50" s="17">
        <f t="shared" si="15"/>
        <v>1222.883239810646</v>
      </c>
      <c r="CW50" s="17">
        <f t="shared" si="16"/>
        <v>12.82327721851661</v>
      </c>
      <c r="CX50" s="17">
        <f t="shared" si="17"/>
        <v>18056.463532075599</v>
      </c>
      <c r="CY50" s="17">
        <f t="shared" si="18"/>
        <v>11880.045562412619</v>
      </c>
      <c r="CZ50" s="110">
        <f t="shared" si="59"/>
        <v>39473.272505967856</v>
      </c>
      <c r="DA50" s="17">
        <f t="shared" si="60"/>
        <v>1491.0787463391409</v>
      </c>
      <c r="DB50" s="17">
        <f t="shared" si="19"/>
        <v>1414.9790336073188</v>
      </c>
      <c r="DC50" s="17">
        <f t="shared" si="20"/>
        <v>76.09971273182218</v>
      </c>
      <c r="DD50" s="17">
        <f t="shared" si="21"/>
        <v>2627.451790438633</v>
      </c>
      <c r="DE50" s="17">
        <f t="shared" si="22"/>
        <v>906.54010033980899</v>
      </c>
      <c r="DF50" s="17">
        <f t="shared" si="23"/>
        <v>1100.2127066077965</v>
      </c>
      <c r="DG50" s="17">
        <f t="shared" si="61"/>
        <v>33347.989162242477</v>
      </c>
      <c r="DH50" s="110">
        <f t="shared" si="62"/>
        <v>24634.405586327233</v>
      </c>
      <c r="DI50" s="17">
        <f t="shared" si="24"/>
        <v>22098.066211567148</v>
      </c>
      <c r="DJ50" s="17">
        <f t="shared" si="25"/>
        <v>2443.9162736472858</v>
      </c>
      <c r="DK50" s="17">
        <f t="shared" si="26"/>
        <v>92.423101112798022</v>
      </c>
      <c r="DL50" s="110">
        <f t="shared" si="63"/>
        <v>146452.44088829213</v>
      </c>
      <c r="DM50" s="17">
        <f t="shared" si="27"/>
        <v>77619.793670794825</v>
      </c>
      <c r="DN50" s="17">
        <f t="shared" si="28"/>
        <v>68832.647217497302</v>
      </c>
      <c r="DO50" s="17">
        <f t="shared" si="29"/>
        <v>0</v>
      </c>
      <c r="DP50" s="110">
        <f t="shared" si="64"/>
        <v>0</v>
      </c>
      <c r="DQ50" s="17">
        <f>SUMIF('20.01'!$BB:$BB,$B:$B,'20.01'!$D:$D)*1.2</f>
        <v>0</v>
      </c>
      <c r="DR50" s="17">
        <f t="shared" si="30"/>
        <v>0</v>
      </c>
      <c r="DS50" s="17">
        <f t="shared" si="31"/>
        <v>0</v>
      </c>
      <c r="DT50" s="110">
        <f t="shared" si="65"/>
        <v>2560.2840000000001</v>
      </c>
      <c r="DU50" s="17">
        <f>SUMIF('20.01'!$BD:$BD,$B:$B,'20.01'!$D:$D)*1.2</f>
        <v>2560.2840000000001</v>
      </c>
      <c r="DV50" s="17">
        <f t="shared" si="32"/>
        <v>0</v>
      </c>
      <c r="DW50" s="17">
        <f t="shared" si="33"/>
        <v>0</v>
      </c>
      <c r="DX50" s="110">
        <f t="shared" si="34"/>
        <v>794532.46576732607</v>
      </c>
      <c r="DY50" s="110"/>
      <c r="DZ50" s="110">
        <f t="shared" si="66"/>
        <v>794532.46576732607</v>
      </c>
      <c r="EA50" s="257"/>
      <c r="EB50" s="110">
        <f t="shared" si="35"/>
        <v>0</v>
      </c>
      <c r="EC50" s="110">
        <f>SUMIF(еирц!$B:$B,$B:$B,еирц!$K:$K)</f>
        <v>338645.88</v>
      </c>
      <c r="ED50" s="110">
        <f>SUMIF(еирц!$B:$B,$B:$B,еирц!$P:$P)</f>
        <v>345549.79</v>
      </c>
      <c r="EE50" s="110">
        <f>SUMIF(еирц!$B:$B,$B:$B,еирц!$S:$S)</f>
        <v>59648.45</v>
      </c>
      <c r="EF50" s="177">
        <f t="shared" si="67"/>
        <v>-455886.58576732606</v>
      </c>
      <c r="EG50" s="181">
        <f t="shared" si="68"/>
        <v>0</v>
      </c>
      <c r="EH50" s="177">
        <f t="shared" si="69"/>
        <v>-455886.58576732606</v>
      </c>
    </row>
    <row r="51" spans="1:138" ht="12" customHeight="1" x14ac:dyDescent="0.25">
      <c r="A51" s="5">
        <f t="shared" si="70"/>
        <v>47</v>
      </c>
      <c r="B51" s="6" t="s">
        <v>128</v>
      </c>
      <c r="C51" s="7">
        <f t="shared" si="0"/>
        <v>379.15</v>
      </c>
      <c r="D51" s="8">
        <v>379.15</v>
      </c>
      <c r="E51" s="8">
        <v>0</v>
      </c>
      <c r="F51" s="8">
        <v>160.9</v>
      </c>
      <c r="G51" s="87">
        <f t="shared" si="1"/>
        <v>379.15</v>
      </c>
      <c r="H51" s="87">
        <f t="shared" si="2"/>
        <v>379.15</v>
      </c>
      <c r="I51" s="91">
        <v>0</v>
      </c>
      <c r="J51" s="112">
        <v>0</v>
      </c>
      <c r="K51" s="17">
        <v>0</v>
      </c>
      <c r="L51" s="112">
        <f t="shared" si="36"/>
        <v>0</v>
      </c>
      <c r="M51" s="116">
        <v>3.4064021099828574</v>
      </c>
      <c r="N51" s="120">
        <f t="shared" si="37"/>
        <v>379.15</v>
      </c>
      <c r="O51" s="116">
        <v>3.086230779374918</v>
      </c>
      <c r="P51" s="120">
        <f t="shared" si="38"/>
        <v>379.15</v>
      </c>
      <c r="Q51" s="116">
        <v>0</v>
      </c>
      <c r="R51" s="120">
        <f t="shared" si="39"/>
        <v>0</v>
      </c>
      <c r="S51" s="11" t="s">
        <v>102</v>
      </c>
      <c r="T51" s="87">
        <v>25.29</v>
      </c>
      <c r="U51" s="88">
        <v>4.32</v>
      </c>
      <c r="V51" s="88">
        <v>5.61</v>
      </c>
      <c r="W51" s="88">
        <v>7.16</v>
      </c>
      <c r="X51" s="88">
        <v>5.31</v>
      </c>
      <c r="Y51" s="88">
        <v>2.67</v>
      </c>
      <c r="Z51" s="88">
        <v>0</v>
      </c>
      <c r="AA51" s="88">
        <v>0</v>
      </c>
      <c r="AB51" s="88">
        <v>0.22</v>
      </c>
      <c r="AC51" s="257"/>
      <c r="AD51" s="110">
        <f t="shared" si="40"/>
        <v>249062.03959715265</v>
      </c>
      <c r="AE51" s="110">
        <f t="shared" si="41"/>
        <v>16441.167789863903</v>
      </c>
      <c r="AF51" s="16">
        <f>SUMIF('20.01'!$I:$I,$B:$B,'20.01'!$D:$D)*1.2</f>
        <v>9519.6239999999998</v>
      </c>
      <c r="AG51" s="17">
        <f t="shared" si="77"/>
        <v>1410.1086438183524</v>
      </c>
      <c r="AH51" s="17">
        <f t="shared" si="43"/>
        <v>289.51855963270549</v>
      </c>
      <c r="AI51" s="16">
        <f>SUMIF('20.01'!$J:$J,$B:$B,'20.01'!$D:$D)*1.2</f>
        <v>0</v>
      </c>
      <c r="AJ51" s="17">
        <f t="shared" si="44"/>
        <v>117.65383364345796</v>
      </c>
      <c r="AK51" s="17">
        <f t="shared" si="45"/>
        <v>286.22563990144829</v>
      </c>
      <c r="AL51" s="17">
        <f t="shared" si="46"/>
        <v>4818.037112867938</v>
      </c>
      <c r="AM51" s="110">
        <f t="shared" si="47"/>
        <v>0</v>
      </c>
      <c r="AN51" s="17">
        <f>SUMIF('20.01'!$K:$K,$B:$B,'20.01'!$D:$D)*1.2</f>
        <v>0</v>
      </c>
      <c r="AO51" s="17">
        <f>SUMIF('20.01'!$L:$L,$B:$B,'20.01'!$D:$D)*1.2</f>
        <v>0</v>
      </c>
      <c r="AP51" s="17">
        <f>SUMIF('20.01'!$M:$M,$B:$B,'20.01'!$D:$D)*1.2</f>
        <v>0</v>
      </c>
      <c r="AQ51" s="110">
        <f t="shared" si="48"/>
        <v>106.50780728875164</v>
      </c>
      <c r="AR51" s="17">
        <f t="shared" si="49"/>
        <v>106.50780728875164</v>
      </c>
      <c r="AS51" s="17">
        <f>(SUMIF('20.01'!$N:$N,$B:$B,'20.01'!$D:$D)+SUMIF('20.01'!$O:$O,$B:$B,'20.01'!$D:$D))*1.2</f>
        <v>0</v>
      </c>
      <c r="AT51" s="110">
        <f>SUMIF('20.01'!$P:$P,$B:$B,'20.01'!$D:$D)*1.2</f>
        <v>0</v>
      </c>
      <c r="AU51" s="110">
        <f t="shared" si="50"/>
        <v>0</v>
      </c>
      <c r="AV51" s="17">
        <f>SUMIF('20.01'!$Q:$Q,$B:$B,'20.01'!$D:$D)*1.2</f>
        <v>0</v>
      </c>
      <c r="AW51" s="17">
        <f>SUMIF('20.01'!$R:$R,$B:$B,'20.01'!$D:$D)*1.2</f>
        <v>0</v>
      </c>
      <c r="AX51" s="110">
        <f t="shared" si="51"/>
        <v>0</v>
      </c>
      <c r="AY51" s="17">
        <f>SUMIF('20.01'!$S:$S,$B:$B,'20.01'!$D:$D)*1.2</f>
        <v>0</v>
      </c>
      <c r="AZ51" s="17">
        <f>SUMIF('20.01'!$T:$T,$B:$B,'20.01'!$D:$D)*1.2</f>
        <v>0</v>
      </c>
      <c r="BA51" s="110">
        <f t="shared" si="52"/>
        <v>0</v>
      </c>
      <c r="BB51" s="17">
        <f>SUMIF('20.01'!$U:$U,$B:$B,'20.01'!$D:$D)*1.2</f>
        <v>0</v>
      </c>
      <c r="BC51" s="17">
        <f>SUMIF('20.01'!$V:$V,$B:$B,'20.01'!$D:$D)*1.2</f>
        <v>0</v>
      </c>
      <c r="BD51" s="17">
        <f>SUMIF('20.01'!$W:$W,$B:$B,'20.01'!$D:$D)*1.2</f>
        <v>0</v>
      </c>
      <c r="BE51" s="110">
        <f>SUMIF('20.01'!$X:$X,$B:$B,'20.01'!$D:$D)*1.2</f>
        <v>21500.003999999997</v>
      </c>
      <c r="BF51" s="110">
        <f t="shared" si="53"/>
        <v>205349.15999999997</v>
      </c>
      <c r="BG51" s="17">
        <f>SUMIF('20.01'!$Y:$Y,$B:$B,'20.01'!$D:$D)*1.2</f>
        <v>0</v>
      </c>
      <c r="BH51" s="17">
        <f>SUMIF('20.01'!$Z:$Z,$B:$B,'20.01'!$D:$D)*1.2</f>
        <v>205349.15999999997</v>
      </c>
      <c r="BI51" s="17">
        <f>SUMIF('20.01'!$AA:$AA,$B:$B,'20.01'!$D:$D)*1.2</f>
        <v>0</v>
      </c>
      <c r="BJ51" s="17">
        <f>SUMIF('20.01'!$AB:$AB,$B:$B,'20.01'!$D:$D)*1.2</f>
        <v>0</v>
      </c>
      <c r="BK51" s="17">
        <f>SUMIF('20.01'!$AC:$AC,$B:$B,'20.01'!$D:$D)*1.2</f>
        <v>0</v>
      </c>
      <c r="BL51" s="17">
        <f>SUMIF('20.01'!$AD:$AD,$B:$B,'20.01'!$D:$D)*1.2</f>
        <v>0</v>
      </c>
      <c r="BM51" s="110">
        <f t="shared" si="54"/>
        <v>0</v>
      </c>
      <c r="BN51" s="17">
        <f>SUMIF('20.01'!$AE:$AE,$B:$B,'20.01'!$D:$D)*1.2</f>
        <v>0</v>
      </c>
      <c r="BO51" s="17">
        <f>SUMIF('20.01'!$AF:$AF,$B:$B,'20.01'!$D:$D)*1.2</f>
        <v>0</v>
      </c>
      <c r="BP51" s="110">
        <f>SUMIF('20.01'!$AG:$AG,$B:$B,'20.01'!$D:$D)*1.2</f>
        <v>0</v>
      </c>
      <c r="BQ51" s="110">
        <f>SUMIF('20.01'!$AH:$AH,$B:$B,'20.01'!$D:$D)*1.2</f>
        <v>0</v>
      </c>
      <c r="BR51" s="110">
        <f>SUMIF('20.01'!$AI:$AI,$B:$B,'20.01'!$D:$D)*1.2</f>
        <v>0</v>
      </c>
      <c r="BS51" s="110">
        <f t="shared" si="55"/>
        <v>5665.2</v>
      </c>
      <c r="BT51" s="17">
        <f>SUMIF('20.01'!$AJ:$AJ,$B:$B,'20.01'!$D:$D)*1.2</f>
        <v>5665.2</v>
      </c>
      <c r="BU51" s="17">
        <f>SUMIF('20.01'!$AK:$AK,$B:$B,'20.01'!$D:$D)*1.2</f>
        <v>0</v>
      </c>
      <c r="BV51" s="110">
        <f>SUMIF('20.01'!$AL:$AL,$B:$B,'20.01'!$D:$D)*1.2</f>
        <v>0</v>
      </c>
      <c r="BW51" s="110">
        <f>SUMIF('20.01'!$AM:$AM,$B:$B,'20.01'!$D:$D)*1.2</f>
        <v>0</v>
      </c>
      <c r="BX51" s="110">
        <f>SUMIF('20.01'!$AN:$AN,$B:$B,'20.01'!$D:$D)*1.2</f>
        <v>0</v>
      </c>
      <c r="BY51" s="110">
        <f t="shared" si="3"/>
        <v>161242.58377318713</v>
      </c>
      <c r="BZ51" s="17">
        <f t="shared" si="78"/>
        <v>52848.797893583556</v>
      </c>
      <c r="CA51" s="17">
        <f t="shared" si="5"/>
        <v>2351.5947716962487</v>
      </c>
      <c r="CB51" s="17">
        <f t="shared" si="6"/>
        <v>156.32197645243147</v>
      </c>
      <c r="CC51" s="17">
        <f>SUMIF('20.01'!$AO:$AO,$B:$B,'20.01'!$D:$D)*1.2</f>
        <v>0</v>
      </c>
      <c r="CD51" s="17">
        <f t="shared" si="7"/>
        <v>2454.0962617393152</v>
      </c>
      <c r="CE51" s="17">
        <f>SUMIF('20.01'!$AQ:$AQ,$B:$B,'20.01'!$D:$D)*1.2</f>
        <v>0</v>
      </c>
      <c r="CF51" s="17">
        <f t="shared" si="8"/>
        <v>223.28396554565967</v>
      </c>
      <c r="CG51" s="17">
        <f>SUMIF('20.01'!$AR:$AR,$B:$B,'20.01'!$D:$D)*1.2</f>
        <v>102946.81199999999</v>
      </c>
      <c r="CH51" s="17">
        <f t="shared" si="9"/>
        <v>131.49805395146188</v>
      </c>
      <c r="CI51" s="17">
        <f>SUMIF('20.01'!$AT:$AT,$B:$B,'20.01'!$D:$D)*1.2</f>
        <v>0</v>
      </c>
      <c r="CJ51" s="17">
        <f>SUMIF('20.01'!$AU:$AU,$B:$B,'20.01'!$D:$D)*1.2</f>
        <v>0</v>
      </c>
      <c r="CK51" s="17">
        <f>SUMIF('20.01'!$AV:$AV,$B:$B,'20.01'!$D:$D)*1.2</f>
        <v>0</v>
      </c>
      <c r="CL51" s="17">
        <f t="shared" si="10"/>
        <v>130.17885021847863</v>
      </c>
      <c r="CM51" s="17">
        <f>SUMIF('20.01'!$AW:$AW,$B:$B,'20.01'!$D:$D)*1.2</f>
        <v>0</v>
      </c>
      <c r="CN51" s="17">
        <f>SUMIF('20.01'!$AX:$AX,$B:$B,'20.01'!$D:$D)*1.2</f>
        <v>0</v>
      </c>
      <c r="CO51" s="110">
        <f t="shared" si="56"/>
        <v>43669.982054200802</v>
      </c>
      <c r="CP51" s="17">
        <f t="shared" si="57"/>
        <v>34448.688808365245</v>
      </c>
      <c r="CQ51" s="17">
        <f t="shared" si="11"/>
        <v>10627.894498967562</v>
      </c>
      <c r="CR51" s="17">
        <f t="shared" si="12"/>
        <v>23820.794309397686</v>
      </c>
      <c r="CS51" s="17">
        <f t="shared" si="58"/>
        <v>9221.293245835559</v>
      </c>
      <c r="CT51" s="17">
        <f t="shared" si="13"/>
        <v>335.93980210226795</v>
      </c>
      <c r="CU51" s="17">
        <f t="shared" si="14"/>
        <v>324.93222973494784</v>
      </c>
      <c r="CV51" s="17">
        <f t="shared" si="15"/>
        <v>335.8245611662669</v>
      </c>
      <c r="CW51" s="17">
        <f t="shared" si="16"/>
        <v>3.5214902816793336</v>
      </c>
      <c r="CX51" s="17">
        <f t="shared" si="17"/>
        <v>4958.6123551852115</v>
      </c>
      <c r="CY51" s="17">
        <f t="shared" si="18"/>
        <v>3262.4628073651861</v>
      </c>
      <c r="CZ51" s="110">
        <f t="shared" si="59"/>
        <v>10840.032789365669</v>
      </c>
      <c r="DA51" s="17">
        <f t="shared" si="60"/>
        <v>409.47561414875975</v>
      </c>
      <c r="DB51" s="17">
        <f t="shared" si="19"/>
        <v>388.57733719060934</v>
      </c>
      <c r="DC51" s="17">
        <f t="shared" si="20"/>
        <v>20.898276958150419</v>
      </c>
      <c r="DD51" s="17">
        <f t="shared" si="21"/>
        <v>721.54300245884724</v>
      </c>
      <c r="DE51" s="17">
        <f t="shared" si="22"/>
        <v>248.95134830973711</v>
      </c>
      <c r="DF51" s="17">
        <f t="shared" si="23"/>
        <v>302.13714388899865</v>
      </c>
      <c r="DG51" s="17">
        <f t="shared" si="61"/>
        <v>9157.925680559325</v>
      </c>
      <c r="DH51" s="110">
        <f t="shared" si="62"/>
        <v>6765.0272538702557</v>
      </c>
      <c r="DI51" s="17">
        <f t="shared" si="24"/>
        <v>6068.5052722382088</v>
      </c>
      <c r="DJ51" s="17">
        <f t="shared" si="25"/>
        <v>671.14102426637339</v>
      </c>
      <c r="DK51" s="17">
        <f t="shared" si="26"/>
        <v>25.38095736567368</v>
      </c>
      <c r="DL51" s="110">
        <f t="shared" si="63"/>
        <v>40218.334091041143</v>
      </c>
      <c r="DM51" s="17">
        <f t="shared" si="27"/>
        <v>21315.717068251804</v>
      </c>
      <c r="DN51" s="17">
        <f t="shared" si="28"/>
        <v>18902.617022789338</v>
      </c>
      <c r="DO51" s="17">
        <f t="shared" si="29"/>
        <v>0</v>
      </c>
      <c r="DP51" s="110">
        <f t="shared" si="64"/>
        <v>0</v>
      </c>
      <c r="DQ51" s="17">
        <f>SUMIF('20.01'!$BB:$BB,$B:$B,'20.01'!$D:$D)*1.2</f>
        <v>0</v>
      </c>
      <c r="DR51" s="17">
        <f t="shared" si="30"/>
        <v>0</v>
      </c>
      <c r="DS51" s="17">
        <f t="shared" si="31"/>
        <v>0</v>
      </c>
      <c r="DT51" s="110">
        <f t="shared" si="65"/>
        <v>568.94399999999996</v>
      </c>
      <c r="DU51" s="17">
        <f>SUMIF('20.01'!$BD:$BD,$B:$B,'20.01'!$D:$D)*1.2</f>
        <v>568.94399999999996</v>
      </c>
      <c r="DV51" s="17">
        <f t="shared" si="32"/>
        <v>0</v>
      </c>
      <c r="DW51" s="17">
        <f t="shared" si="33"/>
        <v>0</v>
      </c>
      <c r="DX51" s="110">
        <f t="shared" si="34"/>
        <v>512366.94355881761</v>
      </c>
      <c r="DY51" s="110"/>
      <c r="DZ51" s="110">
        <f t="shared" si="66"/>
        <v>512366.94355881761</v>
      </c>
      <c r="EA51" s="257"/>
      <c r="EB51" s="110">
        <f t="shared" si="35"/>
        <v>0</v>
      </c>
      <c r="EC51" s="110">
        <f>SUMIF(еирц!$B:$B,$B:$B,еирц!$K:$K)</f>
        <v>115064.40000000001</v>
      </c>
      <c r="ED51" s="110">
        <f>SUMIF(еирц!$B:$B,$B:$B,еирц!$P:$P)</f>
        <v>107916.36000000002</v>
      </c>
      <c r="EE51" s="110">
        <f>SUMIF(еирц!$B:$B,$B:$B,еирц!$S:$S)</f>
        <v>23741.699999999997</v>
      </c>
      <c r="EF51" s="177">
        <f t="shared" si="67"/>
        <v>-397302.54355881759</v>
      </c>
      <c r="EG51" s="181">
        <f t="shared" si="68"/>
        <v>0</v>
      </c>
      <c r="EH51" s="177">
        <f t="shared" si="69"/>
        <v>-397302.54355881759</v>
      </c>
    </row>
    <row r="52" spans="1:138" ht="12" customHeight="1" x14ac:dyDescent="0.25">
      <c r="A52" s="5">
        <f t="shared" si="70"/>
        <v>48</v>
      </c>
      <c r="B52" s="6" t="s">
        <v>129</v>
      </c>
      <c r="C52" s="7">
        <f t="shared" si="0"/>
        <v>502.68</v>
      </c>
      <c r="D52" s="8">
        <v>502.68</v>
      </c>
      <c r="E52" s="8">
        <v>0</v>
      </c>
      <c r="F52" s="8">
        <v>65.2</v>
      </c>
      <c r="G52" s="87">
        <f t="shared" si="1"/>
        <v>502.68</v>
      </c>
      <c r="H52" s="87">
        <f t="shared" si="2"/>
        <v>502.68</v>
      </c>
      <c r="I52" s="91">
        <v>0</v>
      </c>
      <c r="J52" s="112">
        <v>0</v>
      </c>
      <c r="K52" s="17">
        <v>0</v>
      </c>
      <c r="L52" s="112">
        <f t="shared" si="36"/>
        <v>0</v>
      </c>
      <c r="M52" s="116">
        <v>3.4064170461147669</v>
      </c>
      <c r="N52" s="120">
        <f t="shared" si="37"/>
        <v>502.68</v>
      </c>
      <c r="O52" s="116">
        <v>3.0862326951399117</v>
      </c>
      <c r="P52" s="120">
        <f t="shared" si="38"/>
        <v>502.68</v>
      </c>
      <c r="Q52" s="116">
        <v>0</v>
      </c>
      <c r="R52" s="120">
        <f t="shared" si="39"/>
        <v>0</v>
      </c>
      <c r="S52" s="11" t="s">
        <v>102</v>
      </c>
      <c r="T52" s="87">
        <v>20.440000000000001</v>
      </c>
      <c r="U52" s="88">
        <v>3.11</v>
      </c>
      <c r="V52" s="88">
        <v>4.0599999999999996</v>
      </c>
      <c r="W52" s="88">
        <v>7</v>
      </c>
      <c r="X52" s="88">
        <v>4</v>
      </c>
      <c r="Y52" s="88">
        <v>2.0499999999999998</v>
      </c>
      <c r="Z52" s="88">
        <v>0</v>
      </c>
      <c r="AA52" s="88">
        <v>0</v>
      </c>
      <c r="AB52" s="88">
        <v>0.22</v>
      </c>
      <c r="AC52" s="257"/>
      <c r="AD52" s="110">
        <f t="shared" si="40"/>
        <v>9400.7411189679442</v>
      </c>
      <c r="AE52" s="110">
        <f t="shared" si="41"/>
        <v>9259.5322449921841</v>
      </c>
      <c r="AF52" s="16">
        <f>SUMIF('20.01'!$I:$I,$B:$B,'20.01'!$D:$D)*1.2</f>
        <v>82.896000000000001</v>
      </c>
      <c r="AG52" s="17">
        <f t="shared" si="77"/>
        <v>1869.5329370291693</v>
      </c>
      <c r="AH52" s="17">
        <f t="shared" si="43"/>
        <v>383.84594370610159</v>
      </c>
      <c r="AI52" s="16">
        <f>SUMIF('20.01'!$J:$J,$B:$B,'20.01'!$D:$D)*1.2</f>
        <v>0</v>
      </c>
      <c r="AJ52" s="17">
        <f t="shared" si="44"/>
        <v>155.98636185122893</v>
      </c>
      <c r="AK52" s="17">
        <f t="shared" si="45"/>
        <v>379.48016527933544</v>
      </c>
      <c r="AL52" s="17">
        <f t="shared" si="46"/>
        <v>6387.7908371263493</v>
      </c>
      <c r="AM52" s="110">
        <f t="shared" si="47"/>
        <v>0</v>
      </c>
      <c r="AN52" s="17">
        <f>SUMIF('20.01'!$K:$K,$B:$B,'20.01'!$D:$D)*1.2</f>
        <v>0</v>
      </c>
      <c r="AO52" s="17">
        <f>SUMIF('20.01'!$L:$L,$B:$B,'20.01'!$D:$D)*1.2</f>
        <v>0</v>
      </c>
      <c r="AP52" s="17">
        <f>SUMIF('20.01'!$M:$M,$B:$B,'20.01'!$D:$D)*1.2</f>
        <v>0</v>
      </c>
      <c r="AQ52" s="110">
        <f t="shared" si="48"/>
        <v>141.20887397576072</v>
      </c>
      <c r="AR52" s="17">
        <f t="shared" si="49"/>
        <v>141.20887397576072</v>
      </c>
      <c r="AS52" s="17">
        <f>(SUMIF('20.01'!$N:$N,$B:$B,'20.01'!$D:$D)+SUMIF('20.01'!$O:$O,$B:$B,'20.01'!$D:$D))*1.2</f>
        <v>0</v>
      </c>
      <c r="AT52" s="110">
        <f>SUMIF('20.01'!$P:$P,$B:$B,'20.01'!$D:$D)*1.2</f>
        <v>0</v>
      </c>
      <c r="AU52" s="110">
        <f t="shared" si="50"/>
        <v>0</v>
      </c>
      <c r="AV52" s="17">
        <f>SUMIF('20.01'!$Q:$Q,$B:$B,'20.01'!$D:$D)*1.2</f>
        <v>0</v>
      </c>
      <c r="AW52" s="17">
        <f>SUMIF('20.01'!$R:$R,$B:$B,'20.01'!$D:$D)*1.2</f>
        <v>0</v>
      </c>
      <c r="AX52" s="110">
        <f t="shared" si="51"/>
        <v>0</v>
      </c>
      <c r="AY52" s="17">
        <f>SUMIF('20.01'!$S:$S,$B:$B,'20.01'!$D:$D)*1.2</f>
        <v>0</v>
      </c>
      <c r="AZ52" s="17">
        <f>SUMIF('20.01'!$T:$T,$B:$B,'20.01'!$D:$D)*1.2</f>
        <v>0</v>
      </c>
      <c r="BA52" s="110">
        <f t="shared" si="52"/>
        <v>0</v>
      </c>
      <c r="BB52" s="17">
        <f>SUMIF('20.01'!$U:$U,$B:$B,'20.01'!$D:$D)*1.2</f>
        <v>0</v>
      </c>
      <c r="BC52" s="17">
        <f>SUMIF('20.01'!$V:$V,$B:$B,'20.01'!$D:$D)*1.2</f>
        <v>0</v>
      </c>
      <c r="BD52" s="17">
        <f>SUMIF('20.01'!$W:$W,$B:$B,'20.01'!$D:$D)*1.2</f>
        <v>0</v>
      </c>
      <c r="BE52" s="110">
        <f>SUMIF('20.01'!$X:$X,$B:$B,'20.01'!$D:$D)*1.2</f>
        <v>0</v>
      </c>
      <c r="BF52" s="110">
        <f t="shared" si="53"/>
        <v>0</v>
      </c>
      <c r="BG52" s="17">
        <f>SUMIF('20.01'!$Y:$Y,$B:$B,'20.01'!$D:$D)*1.2</f>
        <v>0</v>
      </c>
      <c r="BH52" s="17">
        <f>SUMIF('20.01'!$Z:$Z,$B:$B,'20.01'!$D:$D)*1.2</f>
        <v>0</v>
      </c>
      <c r="BI52" s="17">
        <f>SUMIF('20.01'!$AA:$AA,$B:$B,'20.01'!$D:$D)*1.2</f>
        <v>0</v>
      </c>
      <c r="BJ52" s="17">
        <f>SUMIF('20.01'!$AB:$AB,$B:$B,'20.01'!$D:$D)*1.2</f>
        <v>0</v>
      </c>
      <c r="BK52" s="17">
        <f>SUMIF('20.01'!$AC:$AC,$B:$B,'20.01'!$D:$D)*1.2</f>
        <v>0</v>
      </c>
      <c r="BL52" s="17">
        <f>SUMIF('20.01'!$AD:$AD,$B:$B,'20.01'!$D:$D)*1.2</f>
        <v>0</v>
      </c>
      <c r="BM52" s="110">
        <f t="shared" si="54"/>
        <v>0</v>
      </c>
      <c r="BN52" s="17">
        <f>SUMIF('20.01'!$AE:$AE,$B:$B,'20.01'!$D:$D)*1.2</f>
        <v>0</v>
      </c>
      <c r="BO52" s="17">
        <f>SUMIF('20.01'!$AF:$AF,$B:$B,'20.01'!$D:$D)*1.2</f>
        <v>0</v>
      </c>
      <c r="BP52" s="110">
        <f>SUMIF('20.01'!$AG:$AG,$B:$B,'20.01'!$D:$D)*1.2</f>
        <v>0</v>
      </c>
      <c r="BQ52" s="110">
        <f>SUMIF('20.01'!$AH:$AH,$B:$B,'20.01'!$D:$D)*1.2</f>
        <v>0</v>
      </c>
      <c r="BR52" s="110">
        <f>SUMIF('20.01'!$AI:$AI,$B:$B,'20.01'!$D:$D)*1.2</f>
        <v>0</v>
      </c>
      <c r="BS52" s="110">
        <f t="shared" si="55"/>
        <v>0</v>
      </c>
      <c r="BT52" s="17">
        <f>SUMIF('20.01'!$AJ:$AJ,$B:$B,'20.01'!$D:$D)*1.2</f>
        <v>0</v>
      </c>
      <c r="BU52" s="17">
        <f>SUMIF('20.01'!$AK:$AK,$B:$B,'20.01'!$D:$D)*1.2</f>
        <v>0</v>
      </c>
      <c r="BV52" s="110">
        <f>SUMIF('20.01'!$AL:$AL,$B:$B,'20.01'!$D:$D)*1.2</f>
        <v>0</v>
      </c>
      <c r="BW52" s="110">
        <f>SUMIF('20.01'!$AM:$AM,$B:$B,'20.01'!$D:$D)*1.2</f>
        <v>0</v>
      </c>
      <c r="BX52" s="110">
        <f>SUMIF('20.01'!$AN:$AN,$B:$B,'20.01'!$D:$D)*1.2</f>
        <v>0</v>
      </c>
      <c r="BY52" s="110">
        <f t="shared" si="3"/>
        <v>95821.532715668523</v>
      </c>
      <c r="BZ52" s="17">
        <f t="shared" si="78"/>
        <v>70067.344652898813</v>
      </c>
      <c r="CA52" s="17">
        <f t="shared" si="5"/>
        <v>3117.76252099768</v>
      </c>
      <c r="CB52" s="17">
        <f t="shared" si="6"/>
        <v>207.25288440751223</v>
      </c>
      <c r="CC52" s="17">
        <f>SUMIF('20.01'!$AO:$AO,$B:$B,'20.01'!$D:$D)*1.2</f>
        <v>0</v>
      </c>
      <c r="CD52" s="17">
        <f t="shared" si="7"/>
        <v>3253.659788609044</v>
      </c>
      <c r="CE52" s="17">
        <f>SUMIF('20.01'!$AQ:$AQ,$B:$B,'20.01'!$D:$D)*1.2</f>
        <v>0</v>
      </c>
      <c r="CF52" s="17">
        <f t="shared" si="8"/>
        <v>296.03160701699119</v>
      </c>
      <c r="CG52" s="17">
        <f>SUMIF('20.01'!$AR:$AR,$B:$B,'20.01'!$D:$D)*1.2</f>
        <v>18532.547999999999</v>
      </c>
      <c r="CH52" s="17">
        <f t="shared" si="9"/>
        <v>174.34113612111531</v>
      </c>
      <c r="CI52" s="17">
        <f>SUMIF('20.01'!$AT:$AT,$B:$B,'20.01'!$D:$D)*1.2</f>
        <v>0</v>
      </c>
      <c r="CJ52" s="17">
        <f>SUMIF('20.01'!$AU:$AU,$B:$B,'20.01'!$D:$D)*1.2</f>
        <v>0</v>
      </c>
      <c r="CK52" s="17">
        <f>SUMIF('20.01'!$AV:$AV,$B:$B,'20.01'!$D:$D)*1.2</f>
        <v>0</v>
      </c>
      <c r="CL52" s="17">
        <f t="shared" si="10"/>
        <v>172.5921256173674</v>
      </c>
      <c r="CM52" s="17">
        <f>SUMIF('20.01'!$AW:$AW,$B:$B,'20.01'!$D:$D)*1.2</f>
        <v>0</v>
      </c>
      <c r="CN52" s="17">
        <f>SUMIF('20.01'!$AX:$AX,$B:$B,'20.01'!$D:$D)*1.2</f>
        <v>0</v>
      </c>
      <c r="CO52" s="110">
        <f t="shared" si="56"/>
        <v>57897.999680880035</v>
      </c>
      <c r="CP52" s="17">
        <f t="shared" si="57"/>
        <v>45672.337835128696</v>
      </c>
      <c r="CQ52" s="17">
        <f t="shared" si="11"/>
        <v>14090.544657104087</v>
      </c>
      <c r="CR52" s="17">
        <f t="shared" si="12"/>
        <v>31581.793178024611</v>
      </c>
      <c r="CS52" s="17">
        <f t="shared" si="58"/>
        <v>12225.661845751338</v>
      </c>
      <c r="CT52" s="17">
        <f t="shared" si="13"/>
        <v>445.39158570689193</v>
      </c>
      <c r="CU52" s="17">
        <f t="shared" si="14"/>
        <v>430.79766119784671</v>
      </c>
      <c r="CV52" s="17">
        <f t="shared" si="15"/>
        <v>445.23879838338144</v>
      </c>
      <c r="CW52" s="17">
        <f t="shared" si="16"/>
        <v>4.6688190288660625</v>
      </c>
      <c r="CX52" s="17">
        <f t="shared" si="17"/>
        <v>6574.1665797296646</v>
      </c>
      <c r="CY52" s="17">
        <f t="shared" si="18"/>
        <v>4325.3984017046869</v>
      </c>
      <c r="CZ52" s="110">
        <f t="shared" si="59"/>
        <v>14371.799241878765</v>
      </c>
      <c r="DA52" s="17">
        <f t="shared" si="60"/>
        <v>542.88593358907701</v>
      </c>
      <c r="DB52" s="17">
        <f t="shared" si="19"/>
        <v>515.17883650000135</v>
      </c>
      <c r="DC52" s="17">
        <f t="shared" si="20"/>
        <v>27.707097089075702</v>
      </c>
      <c r="DD52" s="17">
        <f t="shared" si="21"/>
        <v>956.6272886087653</v>
      </c>
      <c r="DE52" s="17">
        <f t="shared" si="22"/>
        <v>330.06162143831904</v>
      </c>
      <c r="DF52" s="17">
        <f t="shared" si="23"/>
        <v>400.57576022714449</v>
      </c>
      <c r="DG52" s="17">
        <f t="shared" si="61"/>
        <v>12141.64863801546</v>
      </c>
      <c r="DH52" s="110">
        <f t="shared" si="62"/>
        <v>8969.1254120414105</v>
      </c>
      <c r="DI52" s="17">
        <f t="shared" si="24"/>
        <v>8045.6711862025668</v>
      </c>
      <c r="DJ52" s="17">
        <f t="shared" si="25"/>
        <v>889.80395642416079</v>
      </c>
      <c r="DK52" s="17">
        <f t="shared" si="26"/>
        <v>33.650269414682441</v>
      </c>
      <c r="DL52" s="110">
        <f t="shared" si="63"/>
        <v>53321.778137635665</v>
      </c>
      <c r="DM52" s="17">
        <f t="shared" si="27"/>
        <v>28260.542412946903</v>
      </c>
      <c r="DN52" s="17">
        <f t="shared" si="28"/>
        <v>25061.235724688762</v>
      </c>
      <c r="DO52" s="17">
        <f t="shared" si="29"/>
        <v>0</v>
      </c>
      <c r="DP52" s="110">
        <f t="shared" si="64"/>
        <v>0</v>
      </c>
      <c r="DQ52" s="17">
        <f>SUMIF('20.01'!$BB:$BB,$B:$B,'20.01'!$D:$D)*1.2</f>
        <v>0</v>
      </c>
      <c r="DR52" s="17">
        <f t="shared" si="30"/>
        <v>0</v>
      </c>
      <c r="DS52" s="17">
        <f t="shared" si="31"/>
        <v>0</v>
      </c>
      <c r="DT52" s="110">
        <f t="shared" si="65"/>
        <v>758.60399999999993</v>
      </c>
      <c r="DU52" s="17">
        <f>SUMIF('20.01'!$BD:$BD,$B:$B,'20.01'!$D:$D)*1.2</f>
        <v>758.60399999999993</v>
      </c>
      <c r="DV52" s="17">
        <f t="shared" si="32"/>
        <v>0</v>
      </c>
      <c r="DW52" s="17">
        <f t="shared" si="33"/>
        <v>0</v>
      </c>
      <c r="DX52" s="110">
        <f t="shared" si="34"/>
        <v>240541.58030707232</v>
      </c>
      <c r="DY52" s="110"/>
      <c r="DZ52" s="110">
        <f t="shared" si="66"/>
        <v>240541.58030707232</v>
      </c>
      <c r="EA52" s="257"/>
      <c r="EB52" s="110">
        <f t="shared" si="35"/>
        <v>0</v>
      </c>
      <c r="EC52" s="110">
        <f>SUMIF(еирц!$B:$B,$B:$B,еирц!$K:$K)</f>
        <v>123297.24</v>
      </c>
      <c r="ED52" s="110">
        <f>SUMIF(еирц!$B:$B,$B:$B,еирц!$P:$P)</f>
        <v>118248.64000000001</v>
      </c>
      <c r="EE52" s="110">
        <f>SUMIF(еирц!$B:$B,$B:$B,еирц!$S:$S)</f>
        <v>19496.489999999998</v>
      </c>
      <c r="EF52" s="177">
        <f t="shared" si="67"/>
        <v>-117244.34030707231</v>
      </c>
      <c r="EG52" s="181">
        <f t="shared" si="68"/>
        <v>0</v>
      </c>
      <c r="EH52" s="177">
        <f t="shared" si="69"/>
        <v>-117244.34030707231</v>
      </c>
    </row>
    <row r="53" spans="1:138" ht="12" customHeight="1" x14ac:dyDescent="0.25">
      <c r="A53" s="5">
        <f t="shared" si="70"/>
        <v>49</v>
      </c>
      <c r="B53" s="6" t="s">
        <v>130</v>
      </c>
      <c r="C53" s="7">
        <f t="shared" si="0"/>
        <v>758.99</v>
      </c>
      <c r="D53" s="8">
        <v>758.99</v>
      </c>
      <c r="E53" s="8">
        <v>0</v>
      </c>
      <c r="F53" s="8">
        <v>99.8</v>
      </c>
      <c r="G53" s="87">
        <f t="shared" si="1"/>
        <v>758.99</v>
      </c>
      <c r="H53" s="87">
        <f t="shared" si="2"/>
        <v>758.99</v>
      </c>
      <c r="I53" s="91">
        <v>0</v>
      </c>
      <c r="J53" s="112">
        <v>0</v>
      </c>
      <c r="K53" s="17">
        <v>0</v>
      </c>
      <c r="L53" s="112">
        <f t="shared" si="36"/>
        <v>0</v>
      </c>
      <c r="M53" s="116">
        <v>3.3618795905293575</v>
      </c>
      <c r="N53" s="120">
        <f t="shared" si="37"/>
        <v>758.99</v>
      </c>
      <c r="O53" s="116">
        <v>3.045885290695395</v>
      </c>
      <c r="P53" s="120">
        <f t="shared" si="38"/>
        <v>758.99</v>
      </c>
      <c r="Q53" s="116">
        <v>0</v>
      </c>
      <c r="R53" s="120">
        <f t="shared" si="39"/>
        <v>0</v>
      </c>
      <c r="S53" s="5" t="s">
        <v>102</v>
      </c>
      <c r="T53" s="87">
        <v>20.440000000000001</v>
      </c>
      <c r="U53" s="88">
        <v>3.11</v>
      </c>
      <c r="V53" s="88">
        <v>4.0599999999999996</v>
      </c>
      <c r="W53" s="88">
        <v>7</v>
      </c>
      <c r="X53" s="88">
        <v>4</v>
      </c>
      <c r="Y53" s="88">
        <v>2.0499999999999998</v>
      </c>
      <c r="Z53" s="88">
        <v>0</v>
      </c>
      <c r="AA53" s="88">
        <v>0</v>
      </c>
      <c r="AB53" s="88">
        <v>0.22</v>
      </c>
      <c r="AC53" s="257"/>
      <c r="AD53" s="110">
        <f t="shared" si="40"/>
        <v>45109.701265786345</v>
      </c>
      <c r="AE53" s="110">
        <f t="shared" si="41"/>
        <v>40313.691821887915</v>
      </c>
      <c r="AF53" s="16">
        <f>SUMIF('20.01'!$I:$I,$B:$B,'20.01'!$D:$D)*1.2</f>
        <v>26458.007999999998</v>
      </c>
      <c r="AG53" s="17">
        <f t="shared" si="77"/>
        <v>2822.7834882544944</v>
      </c>
      <c r="AH53" s="17">
        <f t="shared" si="43"/>
        <v>579.56400257319569</v>
      </c>
      <c r="AI53" s="16">
        <f>SUMIF('20.01'!$J:$J,$B:$B,'20.01'!$D:$D)*1.2</f>
        <v>0</v>
      </c>
      <c r="AJ53" s="17">
        <f t="shared" si="44"/>
        <v>235.52178081774539</v>
      </c>
      <c r="AK53" s="17">
        <f t="shared" si="45"/>
        <v>572.97217045707566</v>
      </c>
      <c r="AL53" s="17">
        <f t="shared" si="46"/>
        <v>9644.8423797854066</v>
      </c>
      <c r="AM53" s="110">
        <f t="shared" si="47"/>
        <v>0</v>
      </c>
      <c r="AN53" s="17">
        <f>SUMIF('20.01'!$K:$K,$B:$B,'20.01'!$D:$D)*1.2</f>
        <v>0</v>
      </c>
      <c r="AO53" s="17">
        <f>SUMIF('20.01'!$L:$L,$B:$B,'20.01'!$D:$D)*1.2</f>
        <v>0</v>
      </c>
      <c r="AP53" s="17">
        <f>SUMIF('20.01'!$M:$M,$B:$B,'20.01'!$D:$D)*1.2</f>
        <v>0</v>
      </c>
      <c r="AQ53" s="110">
        <f t="shared" si="48"/>
        <v>213.20944389842967</v>
      </c>
      <c r="AR53" s="17">
        <f t="shared" si="49"/>
        <v>213.20944389842967</v>
      </c>
      <c r="AS53" s="17">
        <f>(SUMIF('20.01'!$N:$N,$B:$B,'20.01'!$D:$D)+SUMIF('20.01'!$O:$O,$B:$B,'20.01'!$D:$D))*1.2</f>
        <v>0</v>
      </c>
      <c r="AT53" s="110">
        <f>SUMIF('20.01'!$P:$P,$B:$B,'20.01'!$D:$D)*1.2</f>
        <v>0</v>
      </c>
      <c r="AU53" s="110">
        <f t="shared" si="50"/>
        <v>0</v>
      </c>
      <c r="AV53" s="17">
        <f>SUMIF('20.01'!$Q:$Q,$B:$B,'20.01'!$D:$D)*1.2</f>
        <v>0</v>
      </c>
      <c r="AW53" s="17">
        <f>SUMIF('20.01'!$R:$R,$B:$B,'20.01'!$D:$D)*1.2</f>
        <v>0</v>
      </c>
      <c r="AX53" s="110">
        <f t="shared" si="51"/>
        <v>4582.8</v>
      </c>
      <c r="AY53" s="17">
        <f>SUMIF('20.01'!$S:$S,$B:$B,'20.01'!$D:$D)*1.2</f>
        <v>4582.8</v>
      </c>
      <c r="AZ53" s="17">
        <f>SUMIF('20.01'!$T:$T,$B:$B,'20.01'!$D:$D)*1.2</f>
        <v>0</v>
      </c>
      <c r="BA53" s="110">
        <f t="shared" si="52"/>
        <v>0</v>
      </c>
      <c r="BB53" s="17">
        <f>SUMIF('20.01'!$U:$U,$B:$B,'20.01'!$D:$D)*1.2</f>
        <v>0</v>
      </c>
      <c r="BC53" s="17">
        <f>SUMIF('20.01'!$V:$V,$B:$B,'20.01'!$D:$D)*1.2</f>
        <v>0</v>
      </c>
      <c r="BD53" s="17">
        <f>SUMIF('20.01'!$W:$W,$B:$B,'20.01'!$D:$D)*1.2</f>
        <v>0</v>
      </c>
      <c r="BE53" s="110">
        <f>SUMIF('20.01'!$X:$X,$B:$B,'20.01'!$D:$D)*1.2</f>
        <v>0</v>
      </c>
      <c r="BF53" s="110">
        <f t="shared" si="53"/>
        <v>0</v>
      </c>
      <c r="BG53" s="17">
        <f>SUMIF('20.01'!$Y:$Y,$B:$B,'20.01'!$D:$D)*1.2</f>
        <v>0</v>
      </c>
      <c r="BH53" s="17">
        <f>SUMIF('20.01'!$Z:$Z,$B:$B,'20.01'!$D:$D)*1.2</f>
        <v>0</v>
      </c>
      <c r="BI53" s="17">
        <f>SUMIF('20.01'!$AA:$AA,$B:$B,'20.01'!$D:$D)*1.2</f>
        <v>0</v>
      </c>
      <c r="BJ53" s="17">
        <f>SUMIF('20.01'!$AB:$AB,$B:$B,'20.01'!$D:$D)*1.2</f>
        <v>0</v>
      </c>
      <c r="BK53" s="17">
        <f>SUMIF('20.01'!$AC:$AC,$B:$B,'20.01'!$D:$D)*1.2</f>
        <v>0</v>
      </c>
      <c r="BL53" s="17">
        <f>SUMIF('20.01'!$AD:$AD,$B:$B,'20.01'!$D:$D)*1.2</f>
        <v>0</v>
      </c>
      <c r="BM53" s="110">
        <f t="shared" si="54"/>
        <v>0</v>
      </c>
      <c r="BN53" s="17">
        <f>SUMIF('20.01'!$AE:$AE,$B:$B,'20.01'!$D:$D)*1.2</f>
        <v>0</v>
      </c>
      <c r="BO53" s="17">
        <f>SUMIF('20.01'!$AF:$AF,$B:$B,'20.01'!$D:$D)*1.2</f>
        <v>0</v>
      </c>
      <c r="BP53" s="110">
        <f>SUMIF('20.01'!$AG:$AG,$B:$B,'20.01'!$D:$D)*1.2</f>
        <v>0</v>
      </c>
      <c r="BQ53" s="110">
        <f>SUMIF('20.01'!$AH:$AH,$B:$B,'20.01'!$D:$D)*1.2</f>
        <v>0</v>
      </c>
      <c r="BR53" s="110">
        <f>SUMIF('20.01'!$AI:$AI,$B:$B,'20.01'!$D:$D)*1.2</f>
        <v>0</v>
      </c>
      <c r="BS53" s="110">
        <f t="shared" si="55"/>
        <v>0</v>
      </c>
      <c r="BT53" s="17">
        <f>SUMIF('20.01'!$AJ:$AJ,$B:$B,'20.01'!$D:$D)*1.2</f>
        <v>0</v>
      </c>
      <c r="BU53" s="17">
        <f>SUMIF('20.01'!$AK:$AK,$B:$B,'20.01'!$D:$D)*1.2</f>
        <v>0</v>
      </c>
      <c r="BV53" s="110">
        <f>SUMIF('20.01'!$AL:$AL,$B:$B,'20.01'!$D:$D)*1.2</f>
        <v>0</v>
      </c>
      <c r="BW53" s="110">
        <f>SUMIF('20.01'!$AM:$AM,$B:$B,'20.01'!$D:$D)*1.2</f>
        <v>0</v>
      </c>
      <c r="BX53" s="110">
        <f>SUMIF('20.01'!$AN:$AN,$B:$B,'20.01'!$D:$D)*1.2</f>
        <v>0</v>
      </c>
      <c r="BY53" s="110">
        <f t="shared" si="3"/>
        <v>131568.81370204754</v>
      </c>
      <c r="BZ53" s="17">
        <f t="shared" si="78"/>
        <v>105793.77321179214</v>
      </c>
      <c r="CA53" s="17">
        <f t="shared" si="5"/>
        <v>4707.4691171561017</v>
      </c>
      <c r="CB53" s="17">
        <f t="shared" si="6"/>
        <v>312.92843705032567</v>
      </c>
      <c r="CC53" s="17">
        <f>SUMIF('20.01'!$AO:$AO,$B:$B,'20.01'!$D:$D)*1.2</f>
        <v>0</v>
      </c>
      <c r="CD53" s="17">
        <f t="shared" si="7"/>
        <v>4912.6586356258022</v>
      </c>
      <c r="CE53" s="17">
        <f>SUMIF('20.01'!$AQ:$AQ,$B:$B,'20.01'!$D:$D)*1.2</f>
        <v>0</v>
      </c>
      <c r="CF53" s="17">
        <f t="shared" si="8"/>
        <v>446.97427669655872</v>
      </c>
      <c r="CG53" s="17">
        <f>SUMIF('20.01'!$AR:$AR,$B:$B,'20.01'!$D:$D)*1.2</f>
        <v>14871.179999999998</v>
      </c>
      <c r="CH53" s="17">
        <f t="shared" si="9"/>
        <v>263.23541597948059</v>
      </c>
      <c r="CI53" s="17">
        <f>SUMIF('20.01'!$AT:$AT,$B:$B,'20.01'!$D:$D)*1.2</f>
        <v>0</v>
      </c>
      <c r="CJ53" s="17">
        <f>SUMIF('20.01'!$AU:$AU,$B:$B,'20.01'!$D:$D)*1.2</f>
        <v>0</v>
      </c>
      <c r="CK53" s="17">
        <f>SUMIF('20.01'!$AV:$AV,$B:$B,'20.01'!$D:$D)*1.2</f>
        <v>0</v>
      </c>
      <c r="CL53" s="17">
        <f t="shared" si="10"/>
        <v>260.59460774712676</v>
      </c>
      <c r="CM53" s="17">
        <f>SUMIF('20.01'!$AW:$AW,$B:$B,'20.01'!$D:$D)*1.2</f>
        <v>0</v>
      </c>
      <c r="CN53" s="17">
        <f>SUMIF('20.01'!$AX:$AX,$B:$B,'20.01'!$D:$D)*1.2</f>
        <v>0</v>
      </c>
      <c r="CO53" s="110">
        <f t="shared" si="56"/>
        <v>87419.437371272244</v>
      </c>
      <c r="CP53" s="17">
        <f t="shared" si="57"/>
        <v>68960.069414904763</v>
      </c>
      <c r="CQ53" s="17">
        <f t="shared" si="11"/>
        <v>21275.130280288515</v>
      </c>
      <c r="CR53" s="17">
        <f t="shared" si="12"/>
        <v>47684.939134616252</v>
      </c>
      <c r="CS53" s="17">
        <f t="shared" si="58"/>
        <v>18459.367956367485</v>
      </c>
      <c r="CT53" s="17">
        <f t="shared" si="13"/>
        <v>672.49096768455854</v>
      </c>
      <c r="CU53" s="17">
        <f t="shared" si="14"/>
        <v>650.45579070691826</v>
      </c>
      <c r="CV53" s="17">
        <f t="shared" si="15"/>
        <v>672.26027609016205</v>
      </c>
      <c r="CW53" s="17">
        <f t="shared" si="16"/>
        <v>7.0493891834150011</v>
      </c>
      <c r="CX53" s="17">
        <f t="shared" si="17"/>
        <v>9926.2486917104688</v>
      </c>
      <c r="CY53" s="17">
        <f t="shared" si="18"/>
        <v>6530.8628409919629</v>
      </c>
      <c r="CZ53" s="110">
        <f t="shared" si="59"/>
        <v>21699.79292311921</v>
      </c>
      <c r="DA53" s="17">
        <f t="shared" si="60"/>
        <v>819.69641667616304</v>
      </c>
      <c r="DB53" s="17">
        <f t="shared" si="19"/>
        <v>777.86183081709248</v>
      </c>
      <c r="DC53" s="17">
        <f t="shared" si="20"/>
        <v>41.834585859070522</v>
      </c>
      <c r="DD53" s="17">
        <f t="shared" si="21"/>
        <v>1444.3991123202968</v>
      </c>
      <c r="DE53" s="17">
        <f t="shared" si="22"/>
        <v>498.3557532733941</v>
      </c>
      <c r="DF53" s="17">
        <f t="shared" si="23"/>
        <v>604.82413514522239</v>
      </c>
      <c r="DG53" s="17">
        <f t="shared" si="61"/>
        <v>18332.517505704134</v>
      </c>
      <c r="DH53" s="110">
        <f t="shared" si="62"/>
        <v>13542.365911683994</v>
      </c>
      <c r="DI53" s="17">
        <f t="shared" si="24"/>
        <v>12148.054375777605</v>
      </c>
      <c r="DJ53" s="17">
        <f t="shared" si="25"/>
        <v>1343.5034313805479</v>
      </c>
      <c r="DK53" s="17">
        <f t="shared" si="26"/>
        <v>50.808104525841138</v>
      </c>
      <c r="DL53" s="110">
        <f t="shared" si="63"/>
        <v>80509.859928153281</v>
      </c>
      <c r="DM53" s="17">
        <f t="shared" si="27"/>
        <v>42670.22576192124</v>
      </c>
      <c r="DN53" s="17">
        <f t="shared" si="28"/>
        <v>37839.634166232048</v>
      </c>
      <c r="DO53" s="17">
        <f t="shared" si="29"/>
        <v>0</v>
      </c>
      <c r="DP53" s="110">
        <f t="shared" si="64"/>
        <v>0</v>
      </c>
      <c r="DQ53" s="17">
        <f>SUMIF('20.01'!$BB:$BB,$B:$B,'20.01'!$D:$D)*1.2</f>
        <v>0</v>
      </c>
      <c r="DR53" s="17">
        <f t="shared" si="30"/>
        <v>0</v>
      </c>
      <c r="DS53" s="17">
        <f t="shared" si="31"/>
        <v>0</v>
      </c>
      <c r="DT53" s="110">
        <f t="shared" si="65"/>
        <v>1137.8999999999999</v>
      </c>
      <c r="DU53" s="17">
        <f>SUMIF('20.01'!$BD:$BD,$B:$B,'20.01'!$D:$D)*1.2</f>
        <v>1137.8999999999999</v>
      </c>
      <c r="DV53" s="17">
        <f t="shared" si="32"/>
        <v>0</v>
      </c>
      <c r="DW53" s="17">
        <f t="shared" si="33"/>
        <v>0</v>
      </c>
      <c r="DX53" s="110">
        <f t="shared" si="34"/>
        <v>380987.87110206264</v>
      </c>
      <c r="DY53" s="110"/>
      <c r="DZ53" s="110">
        <f t="shared" si="66"/>
        <v>380987.87110206264</v>
      </c>
      <c r="EA53" s="257"/>
      <c r="EB53" s="110">
        <f t="shared" si="35"/>
        <v>0</v>
      </c>
      <c r="EC53" s="110">
        <f>SUMIF(еирц!$B:$B,$B:$B,еирц!$K:$K)</f>
        <v>186165</v>
      </c>
      <c r="ED53" s="110">
        <f>SUMIF(еирц!$B:$B,$B:$B,еирц!$P:$P)</f>
        <v>183730.85</v>
      </c>
      <c r="EE53" s="110">
        <f>SUMIF(еирц!$B:$B,$B:$B,еирц!$S:$S)</f>
        <v>24356.959999999999</v>
      </c>
      <c r="EF53" s="177">
        <f t="shared" si="67"/>
        <v>-194822.87110206264</v>
      </c>
      <c r="EG53" s="181">
        <f t="shared" si="68"/>
        <v>0</v>
      </c>
      <c r="EH53" s="177">
        <f t="shared" si="69"/>
        <v>-194822.87110206264</v>
      </c>
    </row>
    <row r="54" spans="1:138" ht="12" customHeight="1" x14ac:dyDescent="0.25">
      <c r="A54" s="5">
        <f t="shared" si="70"/>
        <v>50</v>
      </c>
      <c r="B54" s="6" t="s">
        <v>131</v>
      </c>
      <c r="C54" s="7">
        <f t="shared" si="0"/>
        <v>5789.9398064828247</v>
      </c>
      <c r="D54" s="8">
        <v>5758.6998064828249</v>
      </c>
      <c r="E54" s="8">
        <v>31.24</v>
      </c>
      <c r="F54" s="8">
        <v>1030.1199999999999</v>
      </c>
      <c r="G54" s="87">
        <f t="shared" si="1"/>
        <v>5789.9398064828247</v>
      </c>
      <c r="H54" s="87">
        <f t="shared" si="2"/>
        <v>5789.9398064828247</v>
      </c>
      <c r="I54" s="91">
        <v>3</v>
      </c>
      <c r="J54" s="112">
        <v>9.1035168392222185E-3</v>
      </c>
      <c r="K54" s="17">
        <v>3</v>
      </c>
      <c r="L54" s="112">
        <f t="shared" si="36"/>
        <v>7.2289156626506026E-3</v>
      </c>
      <c r="M54" s="117">
        <f>3.40641734142526/2</f>
        <v>1.7032086707126299</v>
      </c>
      <c r="N54" s="120">
        <f t="shared" si="37"/>
        <v>5789.9398064828247</v>
      </c>
      <c r="O54" s="117">
        <f>3.08623205487059/2</f>
        <v>1.5431160274352951</v>
      </c>
      <c r="P54" s="120">
        <f t="shared" si="38"/>
        <v>5789.9398064828247</v>
      </c>
      <c r="Q54" s="117">
        <f>1.60092735807001/2</f>
        <v>0.80046367903500504</v>
      </c>
      <c r="R54" s="120">
        <f t="shared" si="39"/>
        <v>5789.9398064828247</v>
      </c>
      <c r="S54" s="5" t="s">
        <v>98</v>
      </c>
      <c r="T54" s="87">
        <v>41.34</v>
      </c>
      <c r="U54" s="88">
        <v>4.68</v>
      </c>
      <c r="V54" s="88">
        <v>7.92</v>
      </c>
      <c r="W54" s="88">
        <v>12.32</v>
      </c>
      <c r="X54" s="88">
        <v>6.34</v>
      </c>
      <c r="Y54" s="88">
        <v>2.89</v>
      </c>
      <c r="Z54" s="88">
        <v>1.66</v>
      </c>
      <c r="AA54" s="88">
        <v>5.29</v>
      </c>
      <c r="AB54" s="88">
        <v>0.24</v>
      </c>
      <c r="AC54" s="257"/>
      <c r="AD54" s="110">
        <f t="shared" si="40"/>
        <v>457219.8164848325</v>
      </c>
      <c r="AE54" s="110">
        <f t="shared" si="41"/>
        <v>151040.36057049164</v>
      </c>
      <c r="AF54" s="16">
        <f>SUMIF('20.01'!$I:$I,$B:$B,'20.01'!$D:$D)*1.2</f>
        <v>54575.267999999996</v>
      </c>
      <c r="AG54" s="17">
        <f t="shared" ref="AG54:AG57" si="79">IF(S54=$S$248,$AG$248,0)/$G$248*G54</f>
        <v>12300.836358075405</v>
      </c>
      <c r="AH54" s="17">
        <f t="shared" si="43"/>
        <v>4421.1922277013664</v>
      </c>
      <c r="AI54" s="16">
        <f>SUMIF('20.01'!$J:$J,$B:$B,'20.01'!$D:$D)*1.2</f>
        <v>0</v>
      </c>
      <c r="AJ54" s="17">
        <f t="shared" si="44"/>
        <v>1796.67312355945</v>
      </c>
      <c r="AK54" s="17">
        <f t="shared" si="45"/>
        <v>4370.9065702265971</v>
      </c>
      <c r="AL54" s="17">
        <f t="shared" si="46"/>
        <v>73575.484290928813</v>
      </c>
      <c r="AM54" s="110">
        <f t="shared" si="47"/>
        <v>40350.395999999993</v>
      </c>
      <c r="AN54" s="17">
        <f>SUMIF('20.01'!$K:$K,$B:$B,'20.01'!$D:$D)*1.2</f>
        <v>0</v>
      </c>
      <c r="AO54" s="17">
        <f>SUMIF('20.01'!$L:$L,$B:$B,'20.01'!$D:$D)*1.2</f>
        <v>30805.151999999998</v>
      </c>
      <c r="AP54" s="17">
        <f>SUMIF('20.01'!$M:$M,$B:$B,'20.01'!$D:$D)*1.2</f>
        <v>9545.2439999999988</v>
      </c>
      <c r="AQ54" s="110">
        <f t="shared" si="48"/>
        <v>1626.4639143408799</v>
      </c>
      <c r="AR54" s="17">
        <f t="shared" si="49"/>
        <v>1626.4639143408799</v>
      </c>
      <c r="AS54" s="17">
        <f>(SUMIF('20.01'!$N:$N,$B:$B,'20.01'!$D:$D)+SUMIF('20.01'!$O:$O,$B:$B,'20.01'!$D:$D))*1.2</f>
        <v>0</v>
      </c>
      <c r="AT54" s="110">
        <f>SUMIF('20.01'!$P:$P,$B:$B,'20.01'!$D:$D)*1.2</f>
        <v>0</v>
      </c>
      <c r="AU54" s="110">
        <f t="shared" si="50"/>
        <v>0</v>
      </c>
      <c r="AV54" s="17">
        <f>SUMIF('20.01'!$Q:$Q,$B:$B,'20.01'!$D:$D)*1.2</f>
        <v>0</v>
      </c>
      <c r="AW54" s="17">
        <f>SUMIF('20.01'!$R:$R,$B:$B,'20.01'!$D:$D)*1.2</f>
        <v>0</v>
      </c>
      <c r="AX54" s="110">
        <f t="shared" si="51"/>
        <v>0</v>
      </c>
      <c r="AY54" s="17">
        <f>SUMIF('20.01'!$S:$S,$B:$B,'20.01'!$D:$D)*1.2</f>
        <v>0</v>
      </c>
      <c r="AZ54" s="17">
        <f>SUMIF('20.01'!$T:$T,$B:$B,'20.01'!$D:$D)*1.2</f>
        <v>0</v>
      </c>
      <c r="BA54" s="110">
        <f t="shared" si="52"/>
        <v>0</v>
      </c>
      <c r="BB54" s="17">
        <f>SUMIF('20.01'!$U:$U,$B:$B,'20.01'!$D:$D)*1.2</f>
        <v>0</v>
      </c>
      <c r="BC54" s="17">
        <f>SUMIF('20.01'!$V:$V,$B:$B,'20.01'!$D:$D)*1.2</f>
        <v>0</v>
      </c>
      <c r="BD54" s="17">
        <f>SUMIF('20.01'!$W:$W,$B:$B,'20.01'!$D:$D)*1.2</f>
        <v>0</v>
      </c>
      <c r="BE54" s="110">
        <f>SUMIF('20.01'!$X:$X,$B:$B,'20.01'!$D:$D)*1.2</f>
        <v>0</v>
      </c>
      <c r="BF54" s="110">
        <f t="shared" si="53"/>
        <v>0</v>
      </c>
      <c r="BG54" s="17">
        <f>SUMIF('20.01'!$Y:$Y,$B:$B,'20.01'!$D:$D)*1.2</f>
        <v>0</v>
      </c>
      <c r="BH54" s="17">
        <f>SUMIF('20.01'!$Z:$Z,$B:$B,'20.01'!$D:$D)*1.2</f>
        <v>0</v>
      </c>
      <c r="BI54" s="17">
        <f>SUMIF('20.01'!$AA:$AA,$B:$B,'20.01'!$D:$D)*1.2</f>
        <v>0</v>
      </c>
      <c r="BJ54" s="17">
        <f>SUMIF('20.01'!$AB:$AB,$B:$B,'20.01'!$D:$D)*1.2</f>
        <v>0</v>
      </c>
      <c r="BK54" s="17">
        <f>SUMIF('20.01'!$AC:$AC,$B:$B,'20.01'!$D:$D)*1.2</f>
        <v>0</v>
      </c>
      <c r="BL54" s="17">
        <f>SUMIF('20.01'!$AD:$AD,$B:$B,'20.01'!$D:$D)*1.2</f>
        <v>0</v>
      </c>
      <c r="BM54" s="110">
        <f t="shared" si="54"/>
        <v>0</v>
      </c>
      <c r="BN54" s="17">
        <f>SUMIF('20.01'!$AE:$AE,$B:$B,'20.01'!$D:$D)*1.2</f>
        <v>0</v>
      </c>
      <c r="BO54" s="17">
        <f>SUMIF('20.01'!$AF:$AF,$B:$B,'20.01'!$D:$D)*1.2</f>
        <v>0</v>
      </c>
      <c r="BP54" s="110">
        <f>SUMIF('20.01'!$AG:$AG,$B:$B,'20.01'!$D:$D)*1.2</f>
        <v>0</v>
      </c>
      <c r="BQ54" s="110">
        <f>SUMIF('20.01'!$AH:$AH,$B:$B,'20.01'!$D:$D)*1.2</f>
        <v>0</v>
      </c>
      <c r="BR54" s="110">
        <f>SUMIF('20.01'!$AI:$AI,$B:$B,'20.01'!$D:$D)*1.2</f>
        <v>0</v>
      </c>
      <c r="BS54" s="110">
        <f t="shared" si="55"/>
        <v>0</v>
      </c>
      <c r="BT54" s="17">
        <f>SUMIF('20.01'!$AJ:$AJ,$B:$B,'20.01'!$D:$D)*1.2</f>
        <v>0</v>
      </c>
      <c r="BU54" s="17">
        <f>SUMIF('20.01'!$AK:$AK,$B:$B,'20.01'!$D:$D)*1.2</f>
        <v>0</v>
      </c>
      <c r="BV54" s="110">
        <f>SUMIF('20.01'!$AL:$AL,$B:$B,'20.01'!$D:$D)*1.2</f>
        <v>264202.59599999996</v>
      </c>
      <c r="BW54" s="110">
        <f>SUMIF('20.01'!$AM:$AM,$B:$B,'20.01'!$D:$D)*1.2</f>
        <v>0</v>
      </c>
      <c r="BX54" s="110">
        <f>SUMIF('20.01'!$AN:$AN,$B:$B,'20.01'!$D:$D)*1.2</f>
        <v>0</v>
      </c>
      <c r="BY54" s="110">
        <f t="shared" si="3"/>
        <v>379474.0540062901</v>
      </c>
      <c r="BZ54" s="17">
        <f>IF(S54=$S$248,$BZ$248,0)/$G$248*G54</f>
        <v>294087.54361940094</v>
      </c>
      <c r="CA54" s="17">
        <f t="shared" si="5"/>
        <v>35910.832592274826</v>
      </c>
      <c r="CB54" s="17">
        <f t="shared" si="6"/>
        <v>2387.1682291705229</v>
      </c>
      <c r="CC54" s="17">
        <f>SUMIF('20.01'!$AO:$AO,$B:$B,'20.01'!$D:$D)*1.2</f>
        <v>0</v>
      </c>
      <c r="CD54" s="17">
        <f t="shared" si="7"/>
        <v>37476.116668297916</v>
      </c>
      <c r="CE54" s="17">
        <f>SUMIF('20.01'!$AQ:$AQ,$B:$B,'20.01'!$D:$D)*1.2</f>
        <v>0</v>
      </c>
      <c r="CF54" s="17">
        <f t="shared" si="8"/>
        <v>3409.7341956010932</v>
      </c>
      <c r="CG54" s="17">
        <f>SUMIF('20.01'!$AR:$AR,$B:$B,'20.01'!$D:$D)*1.2</f>
        <v>2206.6319999999996</v>
      </c>
      <c r="CH54" s="17">
        <f t="shared" si="9"/>
        <v>2008.0860267667028</v>
      </c>
      <c r="CI54" s="17">
        <f>SUMIF('20.01'!$AT:$AT,$B:$B,'20.01'!$D:$D)*1.2</f>
        <v>0</v>
      </c>
      <c r="CJ54" s="17">
        <f>SUMIF('20.01'!$AU:$AU,$B:$B,'20.01'!$D:$D)*1.2</f>
        <v>0</v>
      </c>
      <c r="CK54" s="17">
        <f>SUMIF('20.01'!$AV:$AV,$B:$B,'20.01'!$D:$D)*1.2</f>
        <v>0</v>
      </c>
      <c r="CL54" s="17">
        <f t="shared" si="10"/>
        <v>1987.9406747781481</v>
      </c>
      <c r="CM54" s="17">
        <f>SUMIF('20.01'!$AW:$AW,$B:$B,'20.01'!$D:$D)*1.2</f>
        <v>0</v>
      </c>
      <c r="CN54" s="17">
        <f>SUMIF('20.01'!$AX:$AX,$B:$B,'20.01'!$D:$D)*1.2</f>
        <v>0</v>
      </c>
      <c r="CO54" s="110">
        <f t="shared" si="56"/>
        <v>666877.40325466928</v>
      </c>
      <c r="CP54" s="17">
        <f t="shared" si="57"/>
        <v>526060.4895495011</v>
      </c>
      <c r="CQ54" s="17">
        <f t="shared" si="11"/>
        <v>162296.89942943986</v>
      </c>
      <c r="CR54" s="17">
        <f t="shared" si="12"/>
        <v>363763.59012006124</v>
      </c>
      <c r="CS54" s="17">
        <f t="shared" si="58"/>
        <v>140816.91370516818</v>
      </c>
      <c r="CT54" s="17">
        <f t="shared" si="13"/>
        <v>5130.0836945111005</v>
      </c>
      <c r="CU54" s="17">
        <f t="shared" si="14"/>
        <v>4961.9887942808828</v>
      </c>
      <c r="CV54" s="17">
        <f t="shared" si="15"/>
        <v>5128.3238683665968</v>
      </c>
      <c r="CW54" s="17">
        <f t="shared" si="16"/>
        <v>53.776122273605672</v>
      </c>
      <c r="CX54" s="17">
        <f t="shared" si="17"/>
        <v>75722.186628522773</v>
      </c>
      <c r="CY54" s="17">
        <f t="shared" si="18"/>
        <v>49820.554597213239</v>
      </c>
      <c r="CZ54" s="110">
        <f t="shared" si="59"/>
        <v>165536.42977905137</v>
      </c>
      <c r="DA54" s="17">
        <f t="shared" si="60"/>
        <v>6253.0374736750791</v>
      </c>
      <c r="DB54" s="17">
        <f t="shared" si="19"/>
        <v>5933.9031847474835</v>
      </c>
      <c r="DC54" s="17">
        <f t="shared" si="20"/>
        <v>319.13428892759572</v>
      </c>
      <c r="DD54" s="17">
        <f t="shared" si="21"/>
        <v>11018.569305091954</v>
      </c>
      <c r="DE54" s="17">
        <f t="shared" si="22"/>
        <v>3801.6967465544444</v>
      </c>
      <c r="DF54" s="17">
        <f t="shared" si="23"/>
        <v>4613.8886362124285</v>
      </c>
      <c r="DG54" s="17">
        <f t="shared" si="61"/>
        <v>139849.23761751747</v>
      </c>
      <c r="DH54" s="110">
        <f t="shared" si="62"/>
        <v>103307.66342905074</v>
      </c>
      <c r="DI54" s="17">
        <f t="shared" si="24"/>
        <v>92671.186183787155</v>
      </c>
      <c r="DJ54" s="17">
        <f t="shared" si="25"/>
        <v>10248.88865136102</v>
      </c>
      <c r="DK54" s="17">
        <f t="shared" si="26"/>
        <v>387.58859390256498</v>
      </c>
      <c r="DL54" s="110">
        <f t="shared" si="63"/>
        <v>781743.56193832937</v>
      </c>
      <c r="DM54" s="17">
        <f t="shared" si="27"/>
        <v>325508.95096187922</v>
      </c>
      <c r="DN54" s="17">
        <f t="shared" si="28"/>
        <v>288658.88104166649</v>
      </c>
      <c r="DO54" s="17">
        <f t="shared" si="29"/>
        <v>167575.72993478362</v>
      </c>
      <c r="DP54" s="110">
        <f t="shared" si="64"/>
        <v>254017.24274392036</v>
      </c>
      <c r="DQ54" s="17">
        <f>SUMIF('20.01'!$BB:$BB,$B:$B,'20.01'!$D:$D)*1.2</f>
        <v>2596.14</v>
      </c>
      <c r="DR54" s="17">
        <f t="shared" si="30"/>
        <v>249571.01296882043</v>
      </c>
      <c r="DS54" s="17">
        <f t="shared" si="31"/>
        <v>1850.0897750999245</v>
      </c>
      <c r="DT54" s="110">
        <f t="shared" si="65"/>
        <v>9956.6519999999982</v>
      </c>
      <c r="DU54" s="17">
        <f>SUMIF('20.01'!$BD:$BD,$B:$B,'20.01'!$D:$D)*1.2</f>
        <v>9956.6519999999982</v>
      </c>
      <c r="DV54" s="17">
        <f t="shared" si="32"/>
        <v>0</v>
      </c>
      <c r="DW54" s="17">
        <f t="shared" si="33"/>
        <v>0</v>
      </c>
      <c r="DX54" s="110">
        <f t="shared" si="34"/>
        <v>2818132.8236361435</v>
      </c>
      <c r="DY54" s="110"/>
      <c r="DZ54" s="110">
        <f t="shared" si="66"/>
        <v>2818132.8236361435</v>
      </c>
      <c r="EA54" s="257"/>
      <c r="EB54" s="110">
        <f t="shared" si="35"/>
        <v>2659.6626506024099</v>
      </c>
      <c r="EC54" s="110">
        <f>SUMIF(еирц!$B:$B,$B:$B,еирц!$K:$K)</f>
        <v>2801864.0536263119</v>
      </c>
      <c r="ED54" s="110">
        <f>SUMIF(еирц!$B:$B,$B:$B,еирц!$P:$P)</f>
        <v>2790367.8986005895</v>
      </c>
      <c r="EE54" s="110">
        <f>SUMIF(еирц!$B:$B,$B:$B,еирц!$S:$S)</f>
        <v>876005.58468935743</v>
      </c>
      <c r="EF54" s="177">
        <f t="shared" si="67"/>
        <v>-13609.107359229121</v>
      </c>
      <c r="EG54" s="181">
        <f t="shared" si="68"/>
        <v>0</v>
      </c>
      <c r="EH54" s="177">
        <f t="shared" si="69"/>
        <v>-13609.107359229121</v>
      </c>
    </row>
    <row r="55" spans="1:138" ht="12" customHeight="1" x14ac:dyDescent="0.25">
      <c r="A55" s="5">
        <f t="shared" si="70"/>
        <v>51</v>
      </c>
      <c r="B55" s="6" t="s">
        <v>132</v>
      </c>
      <c r="C55" s="7">
        <f t="shared" si="0"/>
        <v>5804.9</v>
      </c>
      <c r="D55" s="8">
        <v>5804.9</v>
      </c>
      <c r="E55" s="8">
        <v>0</v>
      </c>
      <c r="F55" s="8">
        <v>1032.78</v>
      </c>
      <c r="G55" s="87">
        <f t="shared" si="1"/>
        <v>5804.9</v>
      </c>
      <c r="H55" s="87">
        <f t="shared" si="2"/>
        <v>5804.9</v>
      </c>
      <c r="I55" s="91">
        <v>3</v>
      </c>
      <c r="J55" s="112">
        <v>9.1036549351101621E-3</v>
      </c>
      <c r="K55" s="17">
        <v>3</v>
      </c>
      <c r="L55" s="112">
        <f t="shared" si="36"/>
        <v>7.2289156626506026E-3</v>
      </c>
      <c r="M55" s="117">
        <f>3.40641734142526/2</f>
        <v>1.7032086707126299</v>
      </c>
      <c r="N55" s="120">
        <f t="shared" si="37"/>
        <v>5804.9</v>
      </c>
      <c r="O55" s="117">
        <f>O54</f>
        <v>1.5431160274352951</v>
      </c>
      <c r="P55" s="120">
        <f t="shared" si="38"/>
        <v>5804.9</v>
      </c>
      <c r="Q55" s="117">
        <f>Q54</f>
        <v>0.80046367903500504</v>
      </c>
      <c r="R55" s="120">
        <f t="shared" si="39"/>
        <v>5804.9</v>
      </c>
      <c r="S55" s="5" t="s">
        <v>98</v>
      </c>
      <c r="T55" s="87">
        <v>41.34</v>
      </c>
      <c r="U55" s="88">
        <v>4.68</v>
      </c>
      <c r="V55" s="88">
        <v>7.92</v>
      </c>
      <c r="W55" s="88">
        <v>12.32</v>
      </c>
      <c r="X55" s="88">
        <v>6.34</v>
      </c>
      <c r="Y55" s="88">
        <v>2.89</v>
      </c>
      <c r="Z55" s="88">
        <v>1.66</v>
      </c>
      <c r="AA55" s="88">
        <v>5.29</v>
      </c>
      <c r="AB55" s="88">
        <v>0.24</v>
      </c>
      <c r="AC55" s="257"/>
      <c r="AD55" s="110">
        <f t="shared" si="40"/>
        <v>711072.74793967674</v>
      </c>
      <c r="AE55" s="110">
        <f t="shared" si="41"/>
        <v>131083.88952656731</v>
      </c>
      <c r="AF55" s="16">
        <f>SUMIF('20.01'!$I:$I,$B:$B,'20.01'!$D:$D)*1.2</f>
        <v>34369.548000000003</v>
      </c>
      <c r="AG55" s="17">
        <f t="shared" si="79"/>
        <v>12332.619571457668</v>
      </c>
      <c r="AH55" s="17">
        <f t="shared" si="43"/>
        <v>4432.6158164628569</v>
      </c>
      <c r="AI55" s="16">
        <f>SUMIF('20.01'!$J:$J,$B:$B,'20.01'!$D:$D)*1.2</f>
        <v>0</v>
      </c>
      <c r="AJ55" s="17">
        <f t="shared" si="44"/>
        <v>1801.3154132056154</v>
      </c>
      <c r="AK55" s="17">
        <f t="shared" si="45"/>
        <v>4382.2002296292158</v>
      </c>
      <c r="AL55" s="17">
        <f t="shared" si="46"/>
        <v>73765.590495811935</v>
      </c>
      <c r="AM55" s="110">
        <f t="shared" si="47"/>
        <v>24011.615999999998</v>
      </c>
      <c r="AN55" s="17">
        <f>SUMIF('20.01'!$K:$K,$B:$B,'20.01'!$D:$D)*1.2</f>
        <v>24011.615999999998</v>
      </c>
      <c r="AO55" s="17">
        <f>SUMIF('20.01'!$L:$L,$B:$B,'20.01'!$D:$D)*1.2</f>
        <v>0</v>
      </c>
      <c r="AP55" s="17">
        <f>SUMIF('20.01'!$M:$M,$B:$B,'20.01'!$D:$D)*1.2</f>
        <v>0</v>
      </c>
      <c r="AQ55" s="110">
        <f t="shared" si="48"/>
        <v>1630.6664131095197</v>
      </c>
      <c r="AR55" s="17">
        <f t="shared" si="49"/>
        <v>1630.6664131095197</v>
      </c>
      <c r="AS55" s="17">
        <f>(SUMIF('20.01'!$N:$N,$B:$B,'20.01'!$D:$D)+SUMIF('20.01'!$O:$O,$B:$B,'20.01'!$D:$D))*1.2</f>
        <v>0</v>
      </c>
      <c r="AT55" s="110">
        <f>SUMIF('20.01'!$P:$P,$B:$B,'20.01'!$D:$D)*1.2</f>
        <v>0</v>
      </c>
      <c r="AU55" s="110">
        <f t="shared" si="50"/>
        <v>0</v>
      </c>
      <c r="AV55" s="17">
        <f>SUMIF('20.01'!$Q:$Q,$B:$B,'20.01'!$D:$D)*1.2</f>
        <v>0</v>
      </c>
      <c r="AW55" s="17">
        <f>SUMIF('20.01'!$R:$R,$B:$B,'20.01'!$D:$D)*1.2</f>
        <v>0</v>
      </c>
      <c r="AX55" s="110">
        <f t="shared" si="51"/>
        <v>203653.95600000001</v>
      </c>
      <c r="AY55" s="17">
        <f>SUMIF('20.01'!$S:$S,$B:$B,'20.01'!$D:$D)*1.2</f>
        <v>203653.95600000001</v>
      </c>
      <c r="AZ55" s="17">
        <f>SUMIF('20.01'!$T:$T,$B:$B,'20.01'!$D:$D)*1.2</f>
        <v>0</v>
      </c>
      <c r="BA55" s="110">
        <f t="shared" si="52"/>
        <v>0</v>
      </c>
      <c r="BB55" s="17">
        <f>SUMIF('20.01'!$U:$U,$B:$B,'20.01'!$D:$D)*1.2</f>
        <v>0</v>
      </c>
      <c r="BC55" s="17">
        <f>SUMIF('20.01'!$V:$V,$B:$B,'20.01'!$D:$D)*1.2</f>
        <v>0</v>
      </c>
      <c r="BD55" s="17">
        <f>SUMIF('20.01'!$W:$W,$B:$B,'20.01'!$D:$D)*1.2</f>
        <v>0</v>
      </c>
      <c r="BE55" s="110">
        <f>SUMIF('20.01'!$X:$X,$B:$B,'20.01'!$D:$D)*1.2</f>
        <v>0</v>
      </c>
      <c r="BF55" s="110">
        <f t="shared" si="53"/>
        <v>20523.599999999999</v>
      </c>
      <c r="BG55" s="17">
        <f>SUMIF('20.01'!$Y:$Y,$B:$B,'20.01'!$D:$D)*1.2</f>
        <v>0</v>
      </c>
      <c r="BH55" s="17">
        <f>SUMIF('20.01'!$Z:$Z,$B:$B,'20.01'!$D:$D)*1.2</f>
        <v>0</v>
      </c>
      <c r="BI55" s="17">
        <f>SUMIF('20.01'!$AA:$AA,$B:$B,'20.01'!$D:$D)*1.2</f>
        <v>0</v>
      </c>
      <c r="BJ55" s="17">
        <f>SUMIF('20.01'!$AB:$AB,$B:$B,'20.01'!$D:$D)*1.2</f>
        <v>0</v>
      </c>
      <c r="BK55" s="17">
        <f>SUMIF('20.01'!$AC:$AC,$B:$B,'20.01'!$D:$D)*1.2</f>
        <v>0</v>
      </c>
      <c r="BL55" s="17">
        <f>SUMIF('20.01'!$AD:$AD,$B:$B,'20.01'!$D:$D)*1.2</f>
        <v>20523.599999999999</v>
      </c>
      <c r="BM55" s="110">
        <f t="shared" si="54"/>
        <v>37459.991999999998</v>
      </c>
      <c r="BN55" s="17">
        <f>SUMIF('20.01'!$AE:$AE,$B:$B,'20.01'!$D:$D)*1.2</f>
        <v>37459.991999999998</v>
      </c>
      <c r="BO55" s="17">
        <f>SUMIF('20.01'!$AF:$AF,$B:$B,'20.01'!$D:$D)*1.2</f>
        <v>0</v>
      </c>
      <c r="BP55" s="110">
        <f>SUMIF('20.01'!$AG:$AG,$B:$B,'20.01'!$D:$D)*1.2</f>
        <v>0</v>
      </c>
      <c r="BQ55" s="110">
        <f>SUMIF('20.01'!$AH:$AH,$B:$B,'20.01'!$D:$D)*1.2</f>
        <v>0</v>
      </c>
      <c r="BR55" s="110">
        <f>SUMIF('20.01'!$AI:$AI,$B:$B,'20.01'!$D:$D)*1.2</f>
        <v>0</v>
      </c>
      <c r="BS55" s="110">
        <f t="shared" si="55"/>
        <v>0</v>
      </c>
      <c r="BT55" s="17">
        <f>SUMIF('20.01'!$AJ:$AJ,$B:$B,'20.01'!$D:$D)*1.2</f>
        <v>0</v>
      </c>
      <c r="BU55" s="17">
        <f>SUMIF('20.01'!$AK:$AK,$B:$B,'20.01'!$D:$D)*1.2</f>
        <v>0</v>
      </c>
      <c r="BV55" s="110">
        <f>SUMIF('20.01'!$AL:$AL,$B:$B,'20.01'!$D:$D)*1.2</f>
        <v>292709.02799999999</v>
      </c>
      <c r="BW55" s="110">
        <f>SUMIF('20.01'!$AM:$AM,$B:$B,'20.01'!$D:$D)*1.2</f>
        <v>0</v>
      </c>
      <c r="BX55" s="110">
        <f>SUMIF('20.01'!$AN:$AN,$B:$B,'20.01'!$D:$D)*1.2</f>
        <v>0</v>
      </c>
      <c r="BY55" s="110">
        <f t="shared" si="3"/>
        <v>378242.21515260584</v>
      </c>
      <c r="BZ55" s="17">
        <f>IF(S55=$S$248,$BZ$248,0)/$G$248*G55</f>
        <v>294847.41448344872</v>
      </c>
      <c r="CA55" s="17">
        <f t="shared" si="5"/>
        <v>36003.619913542272</v>
      </c>
      <c r="CB55" s="17">
        <f t="shared" si="6"/>
        <v>2393.336255067175</v>
      </c>
      <c r="CC55" s="17">
        <f>SUMIF('20.01'!$AO:$AO,$B:$B,'20.01'!$D:$D)*1.2</f>
        <v>0</v>
      </c>
      <c r="CD55" s="17">
        <f t="shared" si="7"/>
        <v>37572.948410313991</v>
      </c>
      <c r="CE55" s="17">
        <f>SUMIF('20.01'!$AQ:$AQ,$B:$B,'20.01'!$D:$D)*1.2</f>
        <v>0</v>
      </c>
      <c r="CF55" s="17">
        <f t="shared" si="8"/>
        <v>3418.544353411578</v>
      </c>
      <c r="CG55" s="17">
        <f>SUMIF('20.01'!$AR:$AR,$B:$B,'20.01'!$D:$D)*1.2</f>
        <v>0</v>
      </c>
      <c r="CH55" s="17">
        <f t="shared" si="9"/>
        <v>2013.2745704413587</v>
      </c>
      <c r="CI55" s="17">
        <f>SUMIF('20.01'!$AT:$AT,$B:$B,'20.01'!$D:$D)*1.2</f>
        <v>0</v>
      </c>
      <c r="CJ55" s="17">
        <f>SUMIF('20.01'!$AU:$AU,$B:$B,'20.01'!$D:$D)*1.2</f>
        <v>0</v>
      </c>
      <c r="CK55" s="17">
        <f>SUMIF('20.01'!$AV:$AV,$B:$B,'20.01'!$D:$D)*1.2</f>
        <v>0</v>
      </c>
      <c r="CL55" s="17">
        <f t="shared" si="10"/>
        <v>1993.0771663807113</v>
      </c>
      <c r="CM55" s="17">
        <f>SUMIF('20.01'!$AW:$AW,$B:$B,'20.01'!$D:$D)*1.2</f>
        <v>0</v>
      </c>
      <c r="CN55" s="17">
        <f>SUMIF('20.01'!$AX:$AX,$B:$B,'20.01'!$D:$D)*1.2</f>
        <v>0</v>
      </c>
      <c r="CO55" s="110">
        <f t="shared" si="56"/>
        <v>668600.49802566343</v>
      </c>
      <c r="CP55" s="17">
        <f t="shared" si="57"/>
        <v>527419.73800258327</v>
      </c>
      <c r="CQ55" s="17">
        <f t="shared" si="11"/>
        <v>162716.24627998628</v>
      </c>
      <c r="CR55" s="17">
        <f t="shared" si="12"/>
        <v>364703.49172259698</v>
      </c>
      <c r="CS55" s="17">
        <f t="shared" si="58"/>
        <v>141180.76002308016</v>
      </c>
      <c r="CT55" s="17">
        <f t="shared" si="13"/>
        <v>5143.3389350480156</v>
      </c>
      <c r="CU55" s="17">
        <f t="shared" si="14"/>
        <v>4974.8097069455325</v>
      </c>
      <c r="CV55" s="17">
        <f t="shared" si="15"/>
        <v>5141.5745618200253</v>
      </c>
      <c r="CW55" s="17">
        <f t="shared" si="16"/>
        <v>53.915070384070589</v>
      </c>
      <c r="CX55" s="17">
        <f t="shared" si="17"/>
        <v>75917.839537424865</v>
      </c>
      <c r="CY55" s="17">
        <f t="shared" si="18"/>
        <v>49949.282211457648</v>
      </c>
      <c r="CZ55" s="110">
        <f t="shared" si="59"/>
        <v>165964.14701038841</v>
      </c>
      <c r="DA55" s="17">
        <f t="shared" si="60"/>
        <v>6269.1942307058835</v>
      </c>
      <c r="DB55" s="17">
        <f t="shared" si="19"/>
        <v>5949.2353544976086</v>
      </c>
      <c r="DC55" s="17">
        <f t="shared" si="20"/>
        <v>319.95887620827472</v>
      </c>
      <c r="DD55" s="17">
        <f t="shared" si="21"/>
        <v>11047.039364297409</v>
      </c>
      <c r="DE55" s="17">
        <f t="shared" si="22"/>
        <v>3811.5196671586259</v>
      </c>
      <c r="DF55" s="17">
        <f t="shared" si="23"/>
        <v>4625.8101188480759</v>
      </c>
      <c r="DG55" s="17">
        <f t="shared" si="61"/>
        <v>140210.58362937841</v>
      </c>
      <c r="DH55" s="110">
        <f t="shared" si="62"/>
        <v>103574.59239348925</v>
      </c>
      <c r="DI55" s="17">
        <f t="shared" si="24"/>
        <v>92910.632348188257</v>
      </c>
      <c r="DJ55" s="17">
        <f t="shared" si="25"/>
        <v>10275.369990146039</v>
      </c>
      <c r="DK55" s="17">
        <f t="shared" si="26"/>
        <v>388.5900551549496</v>
      </c>
      <c r="DL55" s="110">
        <f t="shared" si="63"/>
        <v>783763.45080734801</v>
      </c>
      <c r="DM55" s="17">
        <f t="shared" si="27"/>
        <v>326350.00925621757</v>
      </c>
      <c r="DN55" s="17">
        <f t="shared" si="28"/>
        <v>289404.72518947598</v>
      </c>
      <c r="DO55" s="17">
        <f t="shared" si="29"/>
        <v>168008.71636165446</v>
      </c>
      <c r="DP55" s="110">
        <f t="shared" si="64"/>
        <v>259213.33667880337</v>
      </c>
      <c r="DQ55" s="17">
        <f>SUMIF('20.01'!$BB:$BB,$B:$B,'20.01'!$D:$D)*1.2</f>
        <v>7788.42</v>
      </c>
      <c r="DR55" s="17">
        <f t="shared" si="30"/>
        <v>249574.79883874845</v>
      </c>
      <c r="DS55" s="17">
        <f t="shared" si="31"/>
        <v>1850.1178400549061</v>
      </c>
      <c r="DT55" s="110">
        <f t="shared" si="65"/>
        <v>9956.6519999999982</v>
      </c>
      <c r="DU55" s="17">
        <f>SUMIF('20.01'!$BD:$BD,$B:$B,'20.01'!$D:$D)*1.2</f>
        <v>9956.6519999999982</v>
      </c>
      <c r="DV55" s="17">
        <f t="shared" si="32"/>
        <v>0</v>
      </c>
      <c r="DW55" s="17">
        <f t="shared" si="33"/>
        <v>0</v>
      </c>
      <c r="DX55" s="110">
        <f t="shared" si="34"/>
        <v>3080387.640007975</v>
      </c>
      <c r="DY55" s="110"/>
      <c r="DZ55" s="110">
        <f t="shared" si="66"/>
        <v>3080387.640007975</v>
      </c>
      <c r="EA55" s="257"/>
      <c r="EB55" s="110">
        <f t="shared" si="35"/>
        <v>2659.6626506024099</v>
      </c>
      <c r="EC55" s="110">
        <f>SUMIF(еирц!$B:$B,$B:$B,еирц!$K:$K)</f>
        <v>2824342.5063736886</v>
      </c>
      <c r="ED55" s="110">
        <f>SUMIF(еирц!$B:$B,$B:$B,еирц!$P:$P)</f>
        <v>2812754.1213994115</v>
      </c>
      <c r="EE55" s="110">
        <f>SUMIF(еирц!$B:$B,$B:$B,еирц!$S:$S)</f>
        <v>883033.49531064276</v>
      </c>
      <c r="EF55" s="177">
        <f t="shared" si="67"/>
        <v>-253385.47098368406</v>
      </c>
      <c r="EG55" s="181">
        <f t="shared" si="68"/>
        <v>0</v>
      </c>
      <c r="EH55" s="177">
        <f t="shared" si="69"/>
        <v>-253385.47098368406</v>
      </c>
    </row>
    <row r="56" spans="1:138" ht="12" customHeight="1" x14ac:dyDescent="0.25">
      <c r="A56" s="5">
        <f t="shared" si="70"/>
        <v>52</v>
      </c>
      <c r="B56" s="6" t="s">
        <v>133</v>
      </c>
      <c r="C56" s="7">
        <f t="shared" si="0"/>
        <v>10302.899999999998</v>
      </c>
      <c r="D56" s="8">
        <v>9629.5999999999985</v>
      </c>
      <c r="E56" s="8">
        <v>673.3</v>
      </c>
      <c r="F56" s="8">
        <v>1358.8</v>
      </c>
      <c r="G56" s="91">
        <f t="shared" si="1"/>
        <v>10302.899999999998</v>
      </c>
      <c r="H56" s="87">
        <f t="shared" si="2"/>
        <v>0</v>
      </c>
      <c r="I56" s="91">
        <v>6</v>
      </c>
      <c r="J56" s="112">
        <v>1.6178513469089644E-2</v>
      </c>
      <c r="K56" s="17">
        <v>3</v>
      </c>
      <c r="L56" s="112">
        <f t="shared" si="36"/>
        <v>7.2289156626506026E-3</v>
      </c>
      <c r="M56" s="116">
        <v>3.4064178650802126</v>
      </c>
      <c r="N56" s="120">
        <f t="shared" si="37"/>
        <v>10302.899999999998</v>
      </c>
      <c r="O56" s="116">
        <v>3.0862325682508565</v>
      </c>
      <c r="P56" s="120">
        <f t="shared" si="38"/>
        <v>10302.899999999998</v>
      </c>
      <c r="Q56" s="116">
        <v>1.6009275478216987</v>
      </c>
      <c r="R56" s="120">
        <f t="shared" si="39"/>
        <v>10302.899999999998</v>
      </c>
      <c r="S56" s="5" t="s">
        <v>98</v>
      </c>
      <c r="T56" s="87">
        <v>41.1</v>
      </c>
      <c r="U56" s="88">
        <v>4.68</v>
      </c>
      <c r="V56" s="88">
        <v>7.92</v>
      </c>
      <c r="W56" s="88">
        <v>12.32</v>
      </c>
      <c r="X56" s="88">
        <v>6.34</v>
      </c>
      <c r="Y56" s="88">
        <v>2.89</v>
      </c>
      <c r="Z56" s="88">
        <v>1.66</v>
      </c>
      <c r="AA56" s="88">
        <v>5.29</v>
      </c>
      <c r="AB56" s="88">
        <v>0</v>
      </c>
      <c r="AC56" s="257"/>
      <c r="AD56" s="110">
        <f t="shared" si="40"/>
        <v>589120.84606882045</v>
      </c>
      <c r="AE56" s="110">
        <f t="shared" si="41"/>
        <v>233281.1972129184</v>
      </c>
      <c r="AF56" s="16">
        <f>SUMIF('20.01'!$I:$I,$B:$B,'20.01'!$D:$D)*1.2</f>
        <v>61626.527999999998</v>
      </c>
      <c r="AG56" s="17">
        <f t="shared" si="79"/>
        <v>21888.705435540869</v>
      </c>
      <c r="AH56" s="17">
        <f t="shared" si="43"/>
        <v>7867.2841040216299</v>
      </c>
      <c r="AI56" s="16">
        <f>SUMIF('20.01'!$J:$J,$B:$B,'20.01'!$D:$D)*1.2</f>
        <v>0</v>
      </c>
      <c r="AJ56" s="17">
        <f t="shared" si="44"/>
        <v>3197.0873866416532</v>
      </c>
      <c r="AK56" s="17">
        <f t="shared" si="45"/>
        <v>7777.8033636835844</v>
      </c>
      <c r="AL56" s="17">
        <f t="shared" si="46"/>
        <v>130923.78892303066</v>
      </c>
      <c r="AM56" s="110">
        <f t="shared" si="47"/>
        <v>62592.18</v>
      </c>
      <c r="AN56" s="17">
        <f>SUMIF('20.01'!$K:$K,$B:$B,'20.01'!$D:$D)*1.2</f>
        <v>62592.18</v>
      </c>
      <c r="AO56" s="17">
        <f>SUMIF('20.01'!$L:$L,$B:$B,'20.01'!$D:$D)*1.2</f>
        <v>0</v>
      </c>
      <c r="AP56" s="17">
        <f>SUMIF('20.01'!$M:$M,$B:$B,'20.01'!$D:$D)*1.2</f>
        <v>0</v>
      </c>
      <c r="AQ56" s="110">
        <f t="shared" si="48"/>
        <v>2894.2088559020945</v>
      </c>
      <c r="AR56" s="17">
        <f t="shared" si="49"/>
        <v>2894.2088559020945</v>
      </c>
      <c r="AS56" s="17">
        <f>(SUMIF('20.01'!$N:$N,$B:$B,'20.01'!$D:$D)+SUMIF('20.01'!$O:$O,$B:$B,'20.01'!$D:$D))*1.2</f>
        <v>0</v>
      </c>
      <c r="AT56" s="110">
        <f>SUMIF('20.01'!$P:$P,$B:$B,'20.01'!$D:$D)*1.2</f>
        <v>0</v>
      </c>
      <c r="AU56" s="110">
        <f t="shared" si="50"/>
        <v>10849.763999999999</v>
      </c>
      <c r="AV56" s="17">
        <f>SUMIF('20.01'!$Q:$Q,$B:$B,'20.01'!$D:$D)*1.2</f>
        <v>10849.763999999999</v>
      </c>
      <c r="AW56" s="17">
        <f>SUMIF('20.01'!$R:$R,$B:$B,'20.01'!$D:$D)*1.2</f>
        <v>0</v>
      </c>
      <c r="AX56" s="110">
        <f t="shared" si="51"/>
        <v>0</v>
      </c>
      <c r="AY56" s="17">
        <f>SUMIF('20.01'!$S:$S,$B:$B,'20.01'!$D:$D)*1.2</f>
        <v>0</v>
      </c>
      <c r="AZ56" s="17">
        <f>SUMIF('20.01'!$T:$T,$B:$B,'20.01'!$D:$D)*1.2</f>
        <v>0</v>
      </c>
      <c r="BA56" s="110">
        <f t="shared" si="52"/>
        <v>279503.49599999998</v>
      </c>
      <c r="BB56" s="17">
        <f>SUMIF('20.01'!$U:$U,$B:$B,'20.01'!$D:$D)*1.2</f>
        <v>279503.49599999998</v>
      </c>
      <c r="BC56" s="17">
        <f>SUMIF('20.01'!$V:$V,$B:$B,'20.01'!$D:$D)*1.2</f>
        <v>0</v>
      </c>
      <c r="BD56" s="17">
        <f>SUMIF('20.01'!$W:$W,$B:$B,'20.01'!$D:$D)*1.2</f>
        <v>0</v>
      </c>
      <c r="BE56" s="110">
        <f>SUMIF('20.01'!$X:$X,$B:$B,'20.01'!$D:$D)*1.2</f>
        <v>0</v>
      </c>
      <c r="BF56" s="110">
        <f t="shared" si="53"/>
        <v>0</v>
      </c>
      <c r="BG56" s="17">
        <f>SUMIF('20.01'!$Y:$Y,$B:$B,'20.01'!$D:$D)*1.2</f>
        <v>0</v>
      </c>
      <c r="BH56" s="17">
        <f>SUMIF('20.01'!$Z:$Z,$B:$B,'20.01'!$D:$D)*1.2</f>
        <v>0</v>
      </c>
      <c r="BI56" s="17">
        <f>SUMIF('20.01'!$AA:$AA,$B:$B,'20.01'!$D:$D)*1.2</f>
        <v>0</v>
      </c>
      <c r="BJ56" s="17">
        <f>SUMIF('20.01'!$AB:$AB,$B:$B,'20.01'!$D:$D)*1.2</f>
        <v>0</v>
      </c>
      <c r="BK56" s="17">
        <f>SUMIF('20.01'!$AC:$AC,$B:$B,'20.01'!$D:$D)*1.2</f>
        <v>0</v>
      </c>
      <c r="BL56" s="17">
        <f>SUMIF('20.01'!$AD:$AD,$B:$B,'20.01'!$D:$D)*1.2</f>
        <v>0</v>
      </c>
      <c r="BM56" s="110">
        <f t="shared" si="54"/>
        <v>0</v>
      </c>
      <c r="BN56" s="17">
        <f>SUMIF('20.01'!$AE:$AE,$B:$B,'20.01'!$D:$D)*1.2</f>
        <v>0</v>
      </c>
      <c r="BO56" s="17">
        <f>SUMIF('20.01'!$AF:$AF,$B:$B,'20.01'!$D:$D)*1.2</f>
        <v>0</v>
      </c>
      <c r="BP56" s="110">
        <f>SUMIF('20.01'!$AG:$AG,$B:$B,'20.01'!$D:$D)*1.2</f>
        <v>0</v>
      </c>
      <c r="BQ56" s="110">
        <f>SUMIF('20.01'!$AH:$AH,$B:$B,'20.01'!$D:$D)*1.2</f>
        <v>0</v>
      </c>
      <c r="BR56" s="110">
        <f>SUMIF('20.01'!$AI:$AI,$B:$B,'20.01'!$D:$D)*1.2</f>
        <v>0</v>
      </c>
      <c r="BS56" s="110">
        <f t="shared" si="55"/>
        <v>0</v>
      </c>
      <c r="BT56" s="17">
        <f>SUMIF('20.01'!$AJ:$AJ,$B:$B,'20.01'!$D:$D)*1.2</f>
        <v>0</v>
      </c>
      <c r="BU56" s="17">
        <f>SUMIF('20.01'!$AK:$AK,$B:$B,'20.01'!$D:$D)*1.2</f>
        <v>0</v>
      </c>
      <c r="BV56" s="110">
        <f>SUMIF('20.01'!$AL:$AL,$B:$B,'20.01'!$D:$D)*1.2</f>
        <v>0</v>
      </c>
      <c r="BW56" s="110">
        <f>SUMIF('20.01'!$AM:$AM,$B:$B,'20.01'!$D:$D)*1.2</f>
        <v>0</v>
      </c>
      <c r="BX56" s="110">
        <f>SUMIF('20.01'!$AN:$AN,$B:$B,'20.01'!$D:$D)*1.2</f>
        <v>0</v>
      </c>
      <c r="BY56" s="110">
        <f t="shared" si="3"/>
        <v>673267.07149225345</v>
      </c>
      <c r="BZ56" s="17">
        <f>IF(S56=$S$248,$BZ$248,0)/$G$248*G56</f>
        <v>523313.6534103126</v>
      </c>
      <c r="CA56" s="17">
        <f t="shared" si="5"/>
        <v>63901.479027586116</v>
      </c>
      <c r="CB56" s="17">
        <f t="shared" si="6"/>
        <v>4247.8430467935013</v>
      </c>
      <c r="CC56" s="17">
        <f>SUMIF('20.01'!$AO:$AO,$B:$B,'20.01'!$D:$D)*1.2</f>
        <v>0</v>
      </c>
      <c r="CD56" s="17">
        <f t="shared" si="7"/>
        <v>66686.821508832887</v>
      </c>
      <c r="CE56" s="17">
        <f>SUMIF('20.01'!$AQ:$AQ,$B:$B,'20.01'!$D:$D)*1.2</f>
        <v>0</v>
      </c>
      <c r="CF56" s="17">
        <f t="shared" si="8"/>
        <v>6067.4465742328275</v>
      </c>
      <c r="CG56" s="17">
        <f>SUMIF('20.01'!$AR:$AR,$B:$B,'20.01'!$D:$D)*1.2</f>
        <v>1939.104</v>
      </c>
      <c r="CH56" s="17">
        <f t="shared" si="9"/>
        <v>3573.2857709521732</v>
      </c>
      <c r="CI56" s="17">
        <f>SUMIF('20.01'!$AT:$AT,$B:$B,'20.01'!$D:$D)*1.2</f>
        <v>0</v>
      </c>
      <c r="CJ56" s="17">
        <f>SUMIF('20.01'!$AU:$AU,$B:$B,'20.01'!$D:$D)*1.2</f>
        <v>0</v>
      </c>
      <c r="CK56" s="17">
        <f>SUMIF('20.01'!$AV:$AV,$B:$B,'20.01'!$D:$D)*1.2</f>
        <v>0</v>
      </c>
      <c r="CL56" s="17">
        <f t="shared" si="10"/>
        <v>3537.4381535433558</v>
      </c>
      <c r="CM56" s="17">
        <f>SUMIF('20.01'!$AW:$AW,$B:$B,'20.01'!$D:$D)*1.2</f>
        <v>0</v>
      </c>
      <c r="CN56" s="17">
        <f>SUMIF('20.01'!$AX:$AX,$B:$B,'20.01'!$D:$D)*1.2</f>
        <v>0</v>
      </c>
      <c r="CO56" s="110">
        <f t="shared" si="56"/>
        <v>1186674.0290286839</v>
      </c>
      <c r="CP56" s="17">
        <f t="shared" si="57"/>
        <v>936097.57595597068</v>
      </c>
      <c r="CQ56" s="17">
        <f t="shared" si="11"/>
        <v>288798.98254889325</v>
      </c>
      <c r="CR56" s="17">
        <f t="shared" si="12"/>
        <v>647298.59340707737</v>
      </c>
      <c r="CS56" s="17">
        <f t="shared" si="58"/>
        <v>250576.45307271311</v>
      </c>
      <c r="CT56" s="17">
        <f t="shared" si="13"/>
        <v>9128.719997572085</v>
      </c>
      <c r="CU56" s="17">
        <f t="shared" si="14"/>
        <v>8829.6037708985714</v>
      </c>
      <c r="CV56" s="17">
        <f t="shared" si="15"/>
        <v>9125.5884774889382</v>
      </c>
      <c r="CW56" s="17">
        <f t="shared" si="16"/>
        <v>95.691842867239885</v>
      </c>
      <c r="CX56" s="17">
        <f t="shared" si="17"/>
        <v>134743.73528745276</v>
      </c>
      <c r="CY56" s="17">
        <f t="shared" si="18"/>
        <v>88653.113696433531</v>
      </c>
      <c r="CZ56" s="110">
        <f t="shared" si="59"/>
        <v>294563.56013597659</v>
      </c>
      <c r="DA56" s="17">
        <f t="shared" si="60"/>
        <v>11126.958472934872</v>
      </c>
      <c r="DB56" s="17">
        <f t="shared" si="19"/>
        <v>10559.0754248744</v>
      </c>
      <c r="DC56" s="17">
        <f t="shared" si="20"/>
        <v>567.88304806047188</v>
      </c>
      <c r="DD56" s="17">
        <f t="shared" si="21"/>
        <v>19606.977185898078</v>
      </c>
      <c r="DE56" s="17">
        <f t="shared" si="22"/>
        <v>6764.9237676391667</v>
      </c>
      <c r="DF56" s="17">
        <f t="shared" si="23"/>
        <v>8210.1774489620566</v>
      </c>
      <c r="DG56" s="17">
        <f t="shared" si="61"/>
        <v>248854.52326054242</v>
      </c>
      <c r="DH56" s="110">
        <f t="shared" si="62"/>
        <v>183830.67201345073</v>
      </c>
      <c r="DI56" s="17">
        <f t="shared" si="24"/>
        <v>164903.60798982735</v>
      </c>
      <c r="DJ56" s="17">
        <f t="shared" si="25"/>
        <v>18237.370061753969</v>
      </c>
      <c r="DK56" s="17">
        <f t="shared" si="26"/>
        <v>689.693961869443</v>
      </c>
      <c r="DL56" s="110">
        <f t="shared" si="63"/>
        <v>1391072.4486766397</v>
      </c>
      <c r="DM56" s="17">
        <f t="shared" si="27"/>
        <v>579226.43118156795</v>
      </c>
      <c r="DN56" s="17">
        <f t="shared" si="28"/>
        <v>513653.62765157915</v>
      </c>
      <c r="DO56" s="17">
        <f t="shared" si="29"/>
        <v>298192.38984349248</v>
      </c>
      <c r="DP56" s="110">
        <f t="shared" si="64"/>
        <v>466496.95942263422</v>
      </c>
      <c r="DQ56" s="17">
        <f>SUMIF('20.01'!$BB:$BB,$B:$B,'20.01'!$D:$D)*1.2</f>
        <v>19678.464</v>
      </c>
      <c r="DR56" s="17">
        <f t="shared" si="30"/>
        <v>443530.5680343397</v>
      </c>
      <c r="DS56" s="17">
        <f t="shared" si="31"/>
        <v>3287.9273882945272</v>
      </c>
      <c r="DT56" s="110">
        <f t="shared" si="65"/>
        <v>0</v>
      </c>
      <c r="DU56" s="17">
        <f>SUMIF('20.01'!$BD:$BD,$B:$B,'20.01'!$D:$D)*1.2</f>
        <v>0</v>
      </c>
      <c r="DV56" s="17">
        <f t="shared" si="32"/>
        <v>0</v>
      </c>
      <c r="DW56" s="17">
        <f t="shared" si="33"/>
        <v>0</v>
      </c>
      <c r="DX56" s="110">
        <f t="shared" si="34"/>
        <v>4785025.5868384587</v>
      </c>
      <c r="DY56" s="110"/>
      <c r="DZ56" s="110">
        <f t="shared" si="66"/>
        <v>4785025.5868384587</v>
      </c>
      <c r="EA56" s="257"/>
      <c r="EB56" s="110">
        <f t="shared" si="35"/>
        <v>2659.6626506024099</v>
      </c>
      <c r="EC56" s="110">
        <f>SUMIF(еирц!$B:$B,$B:$B,еирц!$K:$K)</f>
        <v>4658030.2799999993</v>
      </c>
      <c r="ED56" s="110">
        <f>SUMIF(еирц!$B:$B,$B:$B,еирц!$P:$P)</f>
        <v>4605069.7300000004</v>
      </c>
      <c r="EE56" s="110">
        <f>SUMIF(еирц!$B:$B,$B:$B,еирц!$S:$S)</f>
        <v>713486.94</v>
      </c>
      <c r="EF56" s="177">
        <f t="shared" si="67"/>
        <v>-124335.64418785647</v>
      </c>
      <c r="EG56" s="181">
        <f t="shared" si="68"/>
        <v>0</v>
      </c>
      <c r="EH56" s="177">
        <f t="shared" si="69"/>
        <v>-124335.64418785647</v>
      </c>
    </row>
    <row r="57" spans="1:138" ht="12" customHeight="1" x14ac:dyDescent="0.25">
      <c r="A57" s="5">
        <f t="shared" si="70"/>
        <v>53</v>
      </c>
      <c r="B57" s="6" t="s">
        <v>134</v>
      </c>
      <c r="C57" s="7">
        <f t="shared" si="0"/>
        <v>4904.3</v>
      </c>
      <c r="D57" s="8">
        <v>4904.3</v>
      </c>
      <c r="E57" s="8">
        <v>0</v>
      </c>
      <c r="F57" s="8">
        <v>536.79999999999995</v>
      </c>
      <c r="G57" s="91">
        <f t="shared" si="1"/>
        <v>4904.3</v>
      </c>
      <c r="H57" s="87">
        <f t="shared" si="2"/>
        <v>0</v>
      </c>
      <c r="I57" s="91">
        <v>2</v>
      </c>
      <c r="J57" s="112">
        <v>7.7181084208523291E-3</v>
      </c>
      <c r="K57" s="17">
        <v>2</v>
      </c>
      <c r="L57" s="112">
        <f t="shared" si="36"/>
        <v>4.8192771084337345E-3</v>
      </c>
      <c r="M57" s="116">
        <v>3.4064165198461946</v>
      </c>
      <c r="N57" s="120">
        <f t="shared" si="37"/>
        <v>4904.3</v>
      </c>
      <c r="O57" s="116">
        <v>3.0862323601814743</v>
      </c>
      <c r="P57" s="120">
        <f t="shared" si="38"/>
        <v>4904.3</v>
      </c>
      <c r="Q57" s="116">
        <v>1.6009274876406323</v>
      </c>
      <c r="R57" s="120">
        <f t="shared" si="39"/>
        <v>4904.3</v>
      </c>
      <c r="S57" s="5" t="s">
        <v>98</v>
      </c>
      <c r="T57" s="87">
        <v>41.1</v>
      </c>
      <c r="U57" s="88">
        <v>4.68</v>
      </c>
      <c r="V57" s="88">
        <v>7.92</v>
      </c>
      <c r="W57" s="88">
        <v>12.32</v>
      </c>
      <c r="X57" s="88">
        <v>6.34</v>
      </c>
      <c r="Y57" s="88">
        <v>2.89</v>
      </c>
      <c r="Z57" s="88">
        <v>1.66</v>
      </c>
      <c r="AA57" s="88">
        <v>5.29</v>
      </c>
      <c r="AB57" s="88">
        <v>0</v>
      </c>
      <c r="AC57" s="257"/>
      <c r="AD57" s="110">
        <f t="shared" si="40"/>
        <v>152025.63619083137</v>
      </c>
      <c r="AE57" s="110">
        <f t="shared" si="41"/>
        <v>139782.46317833968</v>
      </c>
      <c r="AF57" s="16">
        <f>SUMIF('20.01'!$I:$I,$B:$B,'20.01'!$D:$D)*1.2</f>
        <v>58072.847999999998</v>
      </c>
      <c r="AG57" s="17">
        <f t="shared" si="79"/>
        <v>10419.277879773957</v>
      </c>
      <c r="AH57" s="17">
        <f t="shared" si="43"/>
        <v>3744.918559954313</v>
      </c>
      <c r="AI57" s="16">
        <f>SUMIF('20.01'!$J:$J,$B:$B,'20.01'!$D:$D)*1.2</f>
        <v>0</v>
      </c>
      <c r="AJ57" s="17">
        <f t="shared" si="44"/>
        <v>1521.8507090534376</v>
      </c>
      <c r="AK57" s="17">
        <f t="shared" si="45"/>
        <v>3702.3246888267781</v>
      </c>
      <c r="AL57" s="17">
        <f t="shared" si="46"/>
        <v>62321.243340731198</v>
      </c>
      <c r="AM57" s="110">
        <f t="shared" si="47"/>
        <v>10865.495999999999</v>
      </c>
      <c r="AN57" s="17">
        <f>SUMIF('20.01'!$K:$K,$B:$B,'20.01'!$D:$D)*1.2</f>
        <v>10865.495999999999</v>
      </c>
      <c r="AO57" s="17">
        <f>SUMIF('20.01'!$L:$L,$B:$B,'20.01'!$D:$D)*1.2</f>
        <v>0</v>
      </c>
      <c r="AP57" s="17">
        <f>SUMIF('20.01'!$M:$M,$B:$B,'20.01'!$D:$D)*1.2</f>
        <v>0</v>
      </c>
      <c r="AQ57" s="110">
        <f t="shared" si="48"/>
        <v>1377.6770124916911</v>
      </c>
      <c r="AR57" s="17">
        <f t="shared" si="49"/>
        <v>1377.6770124916911</v>
      </c>
      <c r="AS57" s="17">
        <f>(SUMIF('20.01'!$N:$N,$B:$B,'20.01'!$D:$D)+SUMIF('20.01'!$O:$O,$B:$B,'20.01'!$D:$D))*1.2</f>
        <v>0</v>
      </c>
      <c r="AT57" s="110">
        <f>SUMIF('20.01'!$P:$P,$B:$B,'20.01'!$D:$D)*1.2</f>
        <v>0</v>
      </c>
      <c r="AU57" s="110">
        <f t="shared" si="50"/>
        <v>0</v>
      </c>
      <c r="AV57" s="17">
        <f>SUMIF('20.01'!$Q:$Q,$B:$B,'20.01'!$D:$D)*1.2</f>
        <v>0</v>
      </c>
      <c r="AW57" s="17">
        <f>SUMIF('20.01'!$R:$R,$B:$B,'20.01'!$D:$D)*1.2</f>
        <v>0</v>
      </c>
      <c r="AX57" s="110">
        <f t="shared" si="51"/>
        <v>0</v>
      </c>
      <c r="AY57" s="17">
        <f>SUMIF('20.01'!$S:$S,$B:$B,'20.01'!$D:$D)*1.2</f>
        <v>0</v>
      </c>
      <c r="AZ57" s="17">
        <f>SUMIF('20.01'!$T:$T,$B:$B,'20.01'!$D:$D)*1.2</f>
        <v>0</v>
      </c>
      <c r="BA57" s="110">
        <f t="shared" si="52"/>
        <v>0</v>
      </c>
      <c r="BB57" s="17">
        <f>SUMIF('20.01'!$U:$U,$B:$B,'20.01'!$D:$D)*1.2</f>
        <v>0</v>
      </c>
      <c r="BC57" s="17">
        <f>SUMIF('20.01'!$V:$V,$B:$B,'20.01'!$D:$D)*1.2</f>
        <v>0</v>
      </c>
      <c r="BD57" s="17">
        <f>SUMIF('20.01'!$W:$W,$B:$B,'20.01'!$D:$D)*1.2</f>
        <v>0</v>
      </c>
      <c r="BE57" s="110">
        <f>SUMIF('20.01'!$X:$X,$B:$B,'20.01'!$D:$D)*1.2</f>
        <v>0</v>
      </c>
      <c r="BF57" s="110">
        <f t="shared" si="53"/>
        <v>0</v>
      </c>
      <c r="BG57" s="17">
        <f>SUMIF('20.01'!$Y:$Y,$B:$B,'20.01'!$D:$D)*1.2</f>
        <v>0</v>
      </c>
      <c r="BH57" s="17">
        <f>SUMIF('20.01'!$Z:$Z,$B:$B,'20.01'!$D:$D)*1.2</f>
        <v>0</v>
      </c>
      <c r="BI57" s="17">
        <f>SUMIF('20.01'!$AA:$AA,$B:$B,'20.01'!$D:$D)*1.2</f>
        <v>0</v>
      </c>
      <c r="BJ57" s="17">
        <f>SUMIF('20.01'!$AB:$AB,$B:$B,'20.01'!$D:$D)*1.2</f>
        <v>0</v>
      </c>
      <c r="BK57" s="17">
        <f>SUMIF('20.01'!$AC:$AC,$B:$B,'20.01'!$D:$D)*1.2</f>
        <v>0</v>
      </c>
      <c r="BL57" s="17">
        <f>SUMIF('20.01'!$AD:$AD,$B:$B,'20.01'!$D:$D)*1.2</f>
        <v>0</v>
      </c>
      <c r="BM57" s="110">
        <f t="shared" si="54"/>
        <v>0</v>
      </c>
      <c r="BN57" s="17">
        <f>SUMIF('20.01'!$AE:$AE,$B:$B,'20.01'!$D:$D)*1.2</f>
        <v>0</v>
      </c>
      <c r="BO57" s="17">
        <f>SUMIF('20.01'!$AF:$AF,$B:$B,'20.01'!$D:$D)*1.2</f>
        <v>0</v>
      </c>
      <c r="BP57" s="110">
        <f>SUMIF('20.01'!$AG:$AG,$B:$B,'20.01'!$D:$D)*1.2</f>
        <v>0</v>
      </c>
      <c r="BQ57" s="110">
        <f>SUMIF('20.01'!$AH:$AH,$B:$B,'20.01'!$D:$D)*1.2</f>
        <v>0</v>
      </c>
      <c r="BR57" s="110">
        <f>SUMIF('20.01'!$AI:$AI,$B:$B,'20.01'!$D:$D)*1.2</f>
        <v>0</v>
      </c>
      <c r="BS57" s="110">
        <f t="shared" si="55"/>
        <v>0</v>
      </c>
      <c r="BT57" s="17">
        <f>SUMIF('20.01'!$AJ:$AJ,$B:$B,'20.01'!$D:$D)*1.2</f>
        <v>0</v>
      </c>
      <c r="BU57" s="17">
        <f>SUMIF('20.01'!$AK:$AK,$B:$B,'20.01'!$D:$D)*1.2</f>
        <v>0</v>
      </c>
      <c r="BV57" s="110">
        <f>SUMIF('20.01'!$AL:$AL,$B:$B,'20.01'!$D:$D)*1.2</f>
        <v>0</v>
      </c>
      <c r="BW57" s="110">
        <f>SUMIF('20.01'!$AM:$AM,$B:$B,'20.01'!$D:$D)*1.2</f>
        <v>0</v>
      </c>
      <c r="BX57" s="110">
        <f>SUMIF('20.01'!$AN:$AN,$B:$B,'20.01'!$D:$D)*1.2</f>
        <v>0</v>
      </c>
      <c r="BY57" s="110">
        <f t="shared" si="3"/>
        <v>319559.90555787785</v>
      </c>
      <c r="BZ57" s="17">
        <f>IF(S57=$S$248,$BZ$248,0)/$G$248*G57</f>
        <v>249103.37384815895</v>
      </c>
      <c r="CA57" s="17">
        <f t="shared" si="5"/>
        <v>30417.845809916689</v>
      </c>
      <c r="CB57" s="17">
        <f t="shared" si="6"/>
        <v>2022.0226008589207</v>
      </c>
      <c r="CC57" s="17">
        <f>SUMIF('20.01'!$AO:$AO,$B:$B,'20.01'!$D:$D)*1.2</f>
        <v>0</v>
      </c>
      <c r="CD57" s="17">
        <f t="shared" si="7"/>
        <v>31743.701164309969</v>
      </c>
      <c r="CE57" s="17">
        <f>SUMIF('20.01'!$AQ:$AQ,$B:$B,'20.01'!$D:$D)*1.2</f>
        <v>0</v>
      </c>
      <c r="CF57" s="17">
        <f t="shared" si="8"/>
        <v>2888.175002573068</v>
      </c>
      <c r="CG57" s="17">
        <f>SUMIF('20.01'!$AR:$AR,$B:$B,'20.01'!$D:$D)*1.2</f>
        <v>0</v>
      </c>
      <c r="CH57" s="17">
        <f t="shared" si="9"/>
        <v>1700.9255070398381</v>
      </c>
      <c r="CI57" s="17">
        <f>SUMIF('20.01'!$AT:$AT,$B:$B,'20.01'!$D:$D)*1.2</f>
        <v>0</v>
      </c>
      <c r="CJ57" s="17">
        <f>SUMIF('20.01'!$AU:$AU,$B:$B,'20.01'!$D:$D)*1.2</f>
        <v>0</v>
      </c>
      <c r="CK57" s="17">
        <f>SUMIF('20.01'!$AV:$AV,$B:$B,'20.01'!$D:$D)*1.2</f>
        <v>0</v>
      </c>
      <c r="CL57" s="17">
        <f t="shared" si="10"/>
        <v>1683.8616250204004</v>
      </c>
      <c r="CM57" s="17">
        <f>SUMIF('20.01'!$AW:$AW,$B:$B,'20.01'!$D:$D)*1.2</f>
        <v>0</v>
      </c>
      <c r="CN57" s="17">
        <f>SUMIF('20.01'!$AX:$AX,$B:$B,'20.01'!$D:$D)*1.2</f>
        <v>0</v>
      </c>
      <c r="CO57" s="110">
        <f t="shared" si="56"/>
        <v>564870.61318321782</v>
      </c>
      <c r="CP57" s="17">
        <f t="shared" si="57"/>
        <v>445593.31273339235</v>
      </c>
      <c r="CQ57" s="17">
        <f t="shared" si="11"/>
        <v>137471.66818221446</v>
      </c>
      <c r="CR57" s="17">
        <f t="shared" si="12"/>
        <v>308121.64455117786</v>
      </c>
      <c r="CS57" s="17">
        <f t="shared" si="58"/>
        <v>119277.3004498255</v>
      </c>
      <c r="CT57" s="17">
        <f t="shared" si="13"/>
        <v>4345.376688514184</v>
      </c>
      <c r="CU57" s="17">
        <f t="shared" si="14"/>
        <v>4202.9938923621385</v>
      </c>
      <c r="CV57" s="17">
        <f t="shared" si="15"/>
        <v>4343.8860486027243</v>
      </c>
      <c r="CW57" s="17">
        <f t="shared" si="16"/>
        <v>45.550428032282625</v>
      </c>
      <c r="CX57" s="17">
        <f t="shared" si="17"/>
        <v>64139.582153593132</v>
      </c>
      <c r="CY57" s="17">
        <f t="shared" si="18"/>
        <v>42199.911238721041</v>
      </c>
      <c r="CZ57" s="110">
        <f t="shared" si="59"/>
        <v>140215.67403108545</v>
      </c>
      <c r="DA57" s="17">
        <f t="shared" si="60"/>
        <v>5296.5613991026321</v>
      </c>
      <c r="DB57" s="17">
        <f t="shared" si="19"/>
        <v>5026.2424760224339</v>
      </c>
      <c r="DC57" s="17">
        <f t="shared" si="20"/>
        <v>270.31892308019809</v>
      </c>
      <c r="DD57" s="17">
        <f t="shared" si="21"/>
        <v>9333.1487457706062</v>
      </c>
      <c r="DE57" s="17">
        <f t="shared" si="22"/>
        <v>3220.1822432162571</v>
      </c>
      <c r="DF57" s="17">
        <f t="shared" si="23"/>
        <v>3908.1397725829252</v>
      </c>
      <c r="DG57" s="17">
        <f t="shared" si="61"/>
        <v>118457.64187041303</v>
      </c>
      <c r="DH57" s="110">
        <f t="shared" si="62"/>
        <v>87505.533855086105</v>
      </c>
      <c r="DI57" s="17">
        <f t="shared" si="24"/>
        <v>78496.031667250034</v>
      </c>
      <c r="DJ57" s="17">
        <f t="shared" si="25"/>
        <v>8681.199855755176</v>
      </c>
      <c r="DK57" s="17">
        <f t="shared" si="26"/>
        <v>328.30233208090056</v>
      </c>
      <c r="DL57" s="110">
        <f t="shared" si="63"/>
        <v>662166.63367060199</v>
      </c>
      <c r="DM57" s="17">
        <f t="shared" si="27"/>
        <v>275718.50512416544</v>
      </c>
      <c r="DN57" s="17">
        <f t="shared" si="28"/>
        <v>244505.08944973163</v>
      </c>
      <c r="DO57" s="17">
        <f t="shared" si="29"/>
        <v>141943.03909670486</v>
      </c>
      <c r="DP57" s="110">
        <f t="shared" si="64"/>
        <v>218624.57846216401</v>
      </c>
      <c r="DQ57" s="17">
        <f>SUMIF('20.01'!$BB:$BB,$B:$B,'20.01'!$D:$D)*1.2</f>
        <v>5465.7120000000004</v>
      </c>
      <c r="DR57" s="17">
        <f t="shared" si="30"/>
        <v>211590.330507904</v>
      </c>
      <c r="DS57" s="17">
        <f t="shared" si="31"/>
        <v>1568.5359542600129</v>
      </c>
      <c r="DT57" s="110">
        <f t="shared" si="65"/>
        <v>0</v>
      </c>
      <c r="DU57" s="17">
        <f>SUMIF('20.01'!$BD:$BD,$B:$B,'20.01'!$D:$D)*1.2</f>
        <v>0</v>
      </c>
      <c r="DV57" s="17">
        <f t="shared" si="32"/>
        <v>0</v>
      </c>
      <c r="DW57" s="17">
        <f t="shared" si="33"/>
        <v>0</v>
      </c>
      <c r="DX57" s="110">
        <f t="shared" si="34"/>
        <v>2144968.5749508645</v>
      </c>
      <c r="DY57" s="110">
        <f>EC57*EG57</f>
        <v>308400.027</v>
      </c>
      <c r="DZ57" s="110">
        <f t="shared" si="66"/>
        <v>2453368.6019508643</v>
      </c>
      <c r="EA57" s="257"/>
      <c r="EB57" s="110">
        <f t="shared" si="35"/>
        <v>1773.1084337349396</v>
      </c>
      <c r="EC57" s="110">
        <f>SUMIF(еирц!$B:$B,$B:$B,еирц!$K:$K)</f>
        <v>2372307.9</v>
      </c>
      <c r="ED57" s="110">
        <f>SUMIF(еирц!$B:$B,$B:$B,еирц!$P:$P)</f>
        <v>2348448</v>
      </c>
      <c r="EE57" s="110">
        <f>SUMIF(еирц!$B:$B,$B:$B,еирц!$S:$S)</f>
        <v>320010.8</v>
      </c>
      <c r="EF57" s="177">
        <f t="shared" si="67"/>
        <v>229112.43348287046</v>
      </c>
      <c r="EG57" s="183">
        <v>0.13</v>
      </c>
      <c r="EH57" s="177">
        <f t="shared" si="69"/>
        <v>-79287.593517129309</v>
      </c>
    </row>
    <row r="58" spans="1:138" ht="12" customHeight="1" x14ac:dyDescent="0.25">
      <c r="A58" s="5">
        <f t="shared" si="70"/>
        <v>54</v>
      </c>
      <c r="B58" s="6" t="s">
        <v>135</v>
      </c>
      <c r="C58" s="7">
        <f t="shared" si="0"/>
        <v>3072.3</v>
      </c>
      <c r="D58" s="8">
        <v>3018.9</v>
      </c>
      <c r="E58" s="8">
        <v>53.4</v>
      </c>
      <c r="F58" s="8">
        <v>530.6</v>
      </c>
      <c r="G58" s="87">
        <f t="shared" si="1"/>
        <v>3072.3</v>
      </c>
      <c r="H58" s="87">
        <f t="shared" si="2"/>
        <v>3072.3</v>
      </c>
      <c r="I58" s="91">
        <v>1</v>
      </c>
      <c r="J58" s="112">
        <v>8.2811803002414493E-4</v>
      </c>
      <c r="K58" s="17">
        <v>0</v>
      </c>
      <c r="L58" s="112">
        <f t="shared" si="36"/>
        <v>0</v>
      </c>
      <c r="M58" s="116">
        <v>3.406417694221731</v>
      </c>
      <c r="N58" s="120">
        <f t="shared" si="37"/>
        <v>3072.3</v>
      </c>
      <c r="O58" s="116">
        <v>3.0862321911236155</v>
      </c>
      <c r="P58" s="120">
        <f t="shared" si="38"/>
        <v>3072.3</v>
      </c>
      <c r="Q58" s="116">
        <v>1.6009275154905755</v>
      </c>
      <c r="R58" s="120">
        <f t="shared" si="39"/>
        <v>3072.3</v>
      </c>
      <c r="S58" s="5" t="s">
        <v>102</v>
      </c>
      <c r="T58" s="87">
        <v>36.75</v>
      </c>
      <c r="U58" s="88">
        <v>4.0199999999999996</v>
      </c>
      <c r="V58" s="88">
        <v>7</v>
      </c>
      <c r="W58" s="88">
        <v>11</v>
      </c>
      <c r="X58" s="88">
        <v>5.4</v>
      </c>
      <c r="Y58" s="88">
        <v>2.67</v>
      </c>
      <c r="Z58" s="88">
        <v>1.54</v>
      </c>
      <c r="AA58" s="88">
        <v>4.9000000000000004</v>
      </c>
      <c r="AB58" s="88">
        <v>0.22</v>
      </c>
      <c r="AC58" s="257"/>
      <c r="AD58" s="110">
        <f t="shared" si="40"/>
        <v>224657.52349448</v>
      </c>
      <c r="AE58" s="110">
        <f t="shared" si="41"/>
        <v>223794.47737465083</v>
      </c>
      <c r="AF58" s="16">
        <f>SUMIF('20.01'!$I:$I,$B:$B,'20.01'!$D:$D)*1.2</f>
        <v>167708.34</v>
      </c>
      <c r="AG58" s="17">
        <f t="shared" ref="AG58:AG63" si="80">IF(S58=$S$250,$AG$250,0)/$G$250*G58</f>
        <v>11426.28718555486</v>
      </c>
      <c r="AH58" s="17">
        <f t="shared" si="43"/>
        <v>2346.0051978361103</v>
      </c>
      <c r="AI58" s="16">
        <f>SUMIF('20.01'!$J:$J,$B:$B,'20.01'!$D:$D)*1.2</f>
        <v>0</v>
      </c>
      <c r="AJ58" s="17">
        <f t="shared" si="44"/>
        <v>953.36376922799923</v>
      </c>
      <c r="AK58" s="17">
        <f t="shared" si="45"/>
        <v>2319.3222562817346</v>
      </c>
      <c r="AL58" s="17">
        <f t="shared" si="46"/>
        <v>39041.158965750146</v>
      </c>
      <c r="AM58" s="110">
        <f t="shared" si="47"/>
        <v>0</v>
      </c>
      <c r="AN58" s="17">
        <f>SUMIF('20.01'!$K:$K,$B:$B,'20.01'!$D:$D)*1.2</f>
        <v>0</v>
      </c>
      <c r="AO58" s="17">
        <f>SUMIF('20.01'!$L:$L,$B:$B,'20.01'!$D:$D)*1.2</f>
        <v>0</v>
      </c>
      <c r="AP58" s="17">
        <f>SUMIF('20.01'!$M:$M,$B:$B,'20.01'!$D:$D)*1.2</f>
        <v>0</v>
      </c>
      <c r="AQ58" s="110">
        <f t="shared" si="48"/>
        <v>863.04611982917493</v>
      </c>
      <c r="AR58" s="17">
        <f t="shared" si="49"/>
        <v>863.04611982917493</v>
      </c>
      <c r="AS58" s="17">
        <f>(SUMIF('20.01'!$N:$N,$B:$B,'20.01'!$D:$D)+SUMIF('20.01'!$O:$O,$B:$B,'20.01'!$D:$D))*1.2</f>
        <v>0</v>
      </c>
      <c r="AT58" s="110">
        <f>SUMIF('20.01'!$P:$P,$B:$B,'20.01'!$D:$D)*1.2</f>
        <v>0</v>
      </c>
      <c r="AU58" s="110">
        <f t="shared" si="50"/>
        <v>0</v>
      </c>
      <c r="AV58" s="17">
        <f>SUMIF('20.01'!$Q:$Q,$B:$B,'20.01'!$D:$D)*1.2</f>
        <v>0</v>
      </c>
      <c r="AW58" s="17">
        <f>SUMIF('20.01'!$R:$R,$B:$B,'20.01'!$D:$D)*1.2</f>
        <v>0</v>
      </c>
      <c r="AX58" s="110">
        <f t="shared" si="51"/>
        <v>0</v>
      </c>
      <c r="AY58" s="17">
        <f>SUMIF('20.01'!$S:$S,$B:$B,'20.01'!$D:$D)*1.2</f>
        <v>0</v>
      </c>
      <c r="AZ58" s="17">
        <f>SUMIF('20.01'!$T:$T,$B:$B,'20.01'!$D:$D)*1.2</f>
        <v>0</v>
      </c>
      <c r="BA58" s="110">
        <f t="shared" si="52"/>
        <v>0</v>
      </c>
      <c r="BB58" s="17">
        <f>SUMIF('20.01'!$U:$U,$B:$B,'20.01'!$D:$D)*1.2</f>
        <v>0</v>
      </c>
      <c r="BC58" s="17">
        <f>SUMIF('20.01'!$V:$V,$B:$B,'20.01'!$D:$D)*1.2</f>
        <v>0</v>
      </c>
      <c r="BD58" s="17">
        <f>SUMIF('20.01'!$W:$W,$B:$B,'20.01'!$D:$D)*1.2</f>
        <v>0</v>
      </c>
      <c r="BE58" s="110">
        <f>SUMIF('20.01'!$X:$X,$B:$B,'20.01'!$D:$D)*1.2</f>
        <v>0</v>
      </c>
      <c r="BF58" s="110">
        <f t="shared" si="53"/>
        <v>0</v>
      </c>
      <c r="BG58" s="17">
        <f>SUMIF('20.01'!$Y:$Y,$B:$B,'20.01'!$D:$D)*1.2</f>
        <v>0</v>
      </c>
      <c r="BH58" s="17">
        <f>SUMIF('20.01'!$Z:$Z,$B:$B,'20.01'!$D:$D)*1.2</f>
        <v>0</v>
      </c>
      <c r="BI58" s="17">
        <f>SUMIF('20.01'!$AA:$AA,$B:$B,'20.01'!$D:$D)*1.2</f>
        <v>0</v>
      </c>
      <c r="BJ58" s="17">
        <f>SUMIF('20.01'!$AB:$AB,$B:$B,'20.01'!$D:$D)*1.2</f>
        <v>0</v>
      </c>
      <c r="BK58" s="17">
        <f>SUMIF('20.01'!$AC:$AC,$B:$B,'20.01'!$D:$D)*1.2</f>
        <v>0</v>
      </c>
      <c r="BL58" s="17">
        <f>SUMIF('20.01'!$AD:$AD,$B:$B,'20.01'!$D:$D)*1.2</f>
        <v>0</v>
      </c>
      <c r="BM58" s="110">
        <f t="shared" si="54"/>
        <v>0</v>
      </c>
      <c r="BN58" s="17">
        <f>SUMIF('20.01'!$AE:$AE,$B:$B,'20.01'!$D:$D)*1.2</f>
        <v>0</v>
      </c>
      <c r="BO58" s="17">
        <f>SUMIF('20.01'!$AF:$AF,$B:$B,'20.01'!$D:$D)*1.2</f>
        <v>0</v>
      </c>
      <c r="BP58" s="110">
        <f>SUMIF('20.01'!$AG:$AG,$B:$B,'20.01'!$D:$D)*1.2</f>
        <v>0</v>
      </c>
      <c r="BQ58" s="110">
        <f>SUMIF('20.01'!$AH:$AH,$B:$B,'20.01'!$D:$D)*1.2</f>
        <v>0</v>
      </c>
      <c r="BR58" s="110">
        <f>SUMIF('20.01'!$AI:$AI,$B:$B,'20.01'!$D:$D)*1.2</f>
        <v>0</v>
      </c>
      <c r="BS58" s="110">
        <f t="shared" si="55"/>
        <v>0</v>
      </c>
      <c r="BT58" s="17">
        <f>SUMIF('20.01'!$AJ:$AJ,$B:$B,'20.01'!$D:$D)*1.2</f>
        <v>0</v>
      </c>
      <c r="BU58" s="17">
        <f>SUMIF('20.01'!$AK:$AK,$B:$B,'20.01'!$D:$D)*1.2</f>
        <v>0</v>
      </c>
      <c r="BV58" s="110">
        <f>SUMIF('20.01'!$AL:$AL,$B:$B,'20.01'!$D:$D)*1.2</f>
        <v>0</v>
      </c>
      <c r="BW58" s="110">
        <f>SUMIF('20.01'!$AM:$AM,$B:$B,'20.01'!$D:$D)*1.2</f>
        <v>0</v>
      </c>
      <c r="BX58" s="110">
        <f>SUMIF('20.01'!$AN:$AN,$B:$B,'20.01'!$D:$D)*1.2</f>
        <v>0</v>
      </c>
      <c r="BY58" s="110">
        <f t="shared" si="3"/>
        <v>472377.94967364607</v>
      </c>
      <c r="BZ58" s="17">
        <f t="shared" ref="BZ58:BZ63" si="81">IF(S58=$S$250,$BZ$250,0)/$G$250*G58</f>
        <v>428240.43721075245</v>
      </c>
      <c r="CA58" s="17">
        <f t="shared" si="5"/>
        <v>19055.267353507545</v>
      </c>
      <c r="CB58" s="17">
        <f t="shared" si="6"/>
        <v>1266.6965798623376</v>
      </c>
      <c r="CC58" s="17">
        <f>SUMIF('20.01'!$AO:$AO,$B:$B,'20.01'!$D:$D)*1.2</f>
        <v>0</v>
      </c>
      <c r="CD58" s="17">
        <f t="shared" si="7"/>
        <v>19885.849782254249</v>
      </c>
      <c r="CE58" s="17">
        <f>SUMIF('20.01'!$AQ:$AQ,$B:$B,'20.01'!$D:$D)*1.2</f>
        <v>0</v>
      </c>
      <c r="CF58" s="17">
        <f t="shared" si="8"/>
        <v>1809.2979753288414</v>
      </c>
      <c r="CG58" s="17">
        <f>SUMIF('20.01'!$AR:$AR,$B:$B,'20.01'!$D:$D)*1.2</f>
        <v>0</v>
      </c>
      <c r="CH58" s="17">
        <f t="shared" si="9"/>
        <v>1065.5452226165803</v>
      </c>
      <c r="CI58" s="17">
        <f>SUMIF('20.01'!$AT:$AT,$B:$B,'20.01'!$D:$D)*1.2</f>
        <v>0</v>
      </c>
      <c r="CJ58" s="17">
        <f>SUMIF('20.01'!$AU:$AU,$B:$B,'20.01'!$D:$D)*1.2</f>
        <v>0</v>
      </c>
      <c r="CK58" s="17">
        <f>SUMIF('20.01'!$AV:$AV,$B:$B,'20.01'!$D:$D)*1.2</f>
        <v>0</v>
      </c>
      <c r="CL58" s="17">
        <f t="shared" si="10"/>
        <v>1054.8555493240985</v>
      </c>
      <c r="CM58" s="17">
        <f>SUMIF('20.01'!$AW:$AW,$B:$B,'20.01'!$D:$D)*1.2</f>
        <v>0</v>
      </c>
      <c r="CN58" s="17">
        <f>SUMIF('20.01'!$AX:$AX,$B:$B,'20.01'!$D:$D)*1.2</f>
        <v>0</v>
      </c>
      <c r="CO58" s="110">
        <f t="shared" si="56"/>
        <v>353863.34132960875</v>
      </c>
      <c r="CP58" s="17">
        <f t="shared" si="57"/>
        <v>279142.04569679697</v>
      </c>
      <c r="CQ58" s="17">
        <f t="shared" si="11"/>
        <v>86119.161991765912</v>
      </c>
      <c r="CR58" s="17">
        <f t="shared" si="12"/>
        <v>193022.88370503107</v>
      </c>
      <c r="CS58" s="17">
        <f t="shared" si="58"/>
        <v>74721.295632811787</v>
      </c>
      <c r="CT58" s="17">
        <f t="shared" si="13"/>
        <v>2722.1623473527575</v>
      </c>
      <c r="CU58" s="17">
        <f t="shared" si="14"/>
        <v>2632.9666079775297</v>
      </c>
      <c r="CV58" s="17">
        <f t="shared" si="15"/>
        <v>2721.2285355957324</v>
      </c>
      <c r="CW58" s="17">
        <f t="shared" si="16"/>
        <v>28.535077389960222</v>
      </c>
      <c r="CX58" s="17">
        <f t="shared" si="17"/>
        <v>40180.257784084206</v>
      </c>
      <c r="CY58" s="17">
        <f t="shared" si="18"/>
        <v>26436.145280411612</v>
      </c>
      <c r="CZ58" s="110">
        <f t="shared" si="59"/>
        <v>87838.14516357152</v>
      </c>
      <c r="DA58" s="17">
        <f t="shared" si="60"/>
        <v>3318.0322546465377</v>
      </c>
      <c r="DB58" s="17">
        <f t="shared" si="19"/>
        <v>3148.6908955577192</v>
      </c>
      <c r="DC58" s="17">
        <f t="shared" si="20"/>
        <v>169.34135908881851</v>
      </c>
      <c r="DD58" s="17">
        <f t="shared" si="21"/>
        <v>5846.7534391515674</v>
      </c>
      <c r="DE58" s="17">
        <f t="shared" si="22"/>
        <v>2017.2839968666897</v>
      </c>
      <c r="DF58" s="17">
        <f t="shared" si="23"/>
        <v>2448.2551685880803</v>
      </c>
      <c r="DG58" s="17">
        <f t="shared" si="61"/>
        <v>74207.820304318651</v>
      </c>
      <c r="DH58" s="110">
        <f t="shared" si="62"/>
        <v>54817.864254425927</v>
      </c>
      <c r="DI58" s="17">
        <f t="shared" si="24"/>
        <v>49173.859284972837</v>
      </c>
      <c r="DJ58" s="17">
        <f t="shared" si="25"/>
        <v>5438.3398888397178</v>
      </c>
      <c r="DK58" s="17">
        <f t="shared" si="26"/>
        <v>205.66508061337007</v>
      </c>
      <c r="DL58" s="110">
        <f t="shared" si="63"/>
        <v>414814.45846016571</v>
      </c>
      <c r="DM58" s="17">
        <f t="shared" si="27"/>
        <v>172723.9286530134</v>
      </c>
      <c r="DN58" s="17">
        <f t="shared" si="28"/>
        <v>153170.27635267226</v>
      </c>
      <c r="DO58" s="17">
        <f t="shared" si="29"/>
        <v>88920.253454480029</v>
      </c>
      <c r="DP58" s="110">
        <f t="shared" si="64"/>
        <v>25330.403643135593</v>
      </c>
      <c r="DQ58" s="17">
        <f>SUMIF('20.01'!$BB:$BB,$B:$B,'20.01'!$D:$D)*1.2</f>
        <v>2459.424</v>
      </c>
      <c r="DR58" s="17">
        <f t="shared" si="30"/>
        <v>22702.682848942542</v>
      </c>
      <c r="DS58" s="17">
        <f t="shared" si="31"/>
        <v>168.29679419305177</v>
      </c>
      <c r="DT58" s="110">
        <f t="shared" si="65"/>
        <v>6827.424</v>
      </c>
      <c r="DU58" s="17">
        <f>SUMIF('20.01'!$BD:$BD,$B:$B,'20.01'!$D:$D)*1.2</f>
        <v>6827.424</v>
      </c>
      <c r="DV58" s="17">
        <f t="shared" si="32"/>
        <v>0</v>
      </c>
      <c r="DW58" s="17">
        <f t="shared" si="33"/>
        <v>0</v>
      </c>
      <c r="DX58" s="110">
        <f t="shared" si="34"/>
        <v>1640527.1100190338</v>
      </c>
      <c r="DY58" s="110"/>
      <c r="DZ58" s="110">
        <f t="shared" si="66"/>
        <v>1640527.1100190338</v>
      </c>
      <c r="EA58" s="257"/>
      <c r="EB58" s="110">
        <f t="shared" si="35"/>
        <v>0</v>
      </c>
      <c r="EC58" s="110">
        <f>SUMIF(еирц!$B:$B,$B:$B,еирц!$K:$K)</f>
        <v>1331337.1099999999</v>
      </c>
      <c r="ED58" s="110">
        <f>SUMIF(еирц!$B:$B,$B:$B,еирц!$P:$P)</f>
        <v>1306667.5900000001</v>
      </c>
      <c r="EE58" s="110">
        <f>SUMIF(еирц!$B:$B,$B:$B,еирц!$S:$S)</f>
        <v>212875.27000000002</v>
      </c>
      <c r="EF58" s="177">
        <f t="shared" si="67"/>
        <v>-309190.00001903391</v>
      </c>
      <c r="EG58" s="181">
        <f t="shared" si="68"/>
        <v>0</v>
      </c>
      <c r="EH58" s="177">
        <f t="shared" si="69"/>
        <v>-309190.00001903391</v>
      </c>
    </row>
    <row r="59" spans="1:138" ht="12" customHeight="1" x14ac:dyDescent="0.25">
      <c r="A59" s="5">
        <f t="shared" si="70"/>
        <v>55</v>
      </c>
      <c r="B59" s="6" t="s">
        <v>136</v>
      </c>
      <c r="C59" s="7">
        <f t="shared" si="0"/>
        <v>4398.8</v>
      </c>
      <c r="D59" s="8">
        <v>3854.6</v>
      </c>
      <c r="E59" s="8">
        <v>544.20000000000005</v>
      </c>
      <c r="F59" s="8">
        <v>1214.2</v>
      </c>
      <c r="G59" s="91">
        <f t="shared" si="1"/>
        <v>4398.8</v>
      </c>
      <c r="H59" s="87">
        <f t="shared" si="2"/>
        <v>0</v>
      </c>
      <c r="I59" s="91">
        <v>2</v>
      </c>
      <c r="J59" s="112">
        <v>1.1855361586111761E-3</v>
      </c>
      <c r="K59" s="17">
        <v>1</v>
      </c>
      <c r="L59" s="112">
        <f t="shared" si="36"/>
        <v>2.4096385542168672E-3</v>
      </c>
      <c r="M59" s="116">
        <v>3.4064173451676441</v>
      </c>
      <c r="N59" s="120">
        <f t="shared" si="37"/>
        <v>4398.8</v>
      </c>
      <c r="O59" s="116">
        <v>3.0862341533431321</v>
      </c>
      <c r="P59" s="120">
        <f t="shared" si="38"/>
        <v>4398.8</v>
      </c>
      <c r="Q59" s="116">
        <v>1.600926011102118</v>
      </c>
      <c r="R59" s="120">
        <f t="shared" si="39"/>
        <v>4398.8</v>
      </c>
      <c r="S59" s="5" t="s">
        <v>102</v>
      </c>
      <c r="T59" s="87">
        <v>36.54</v>
      </c>
      <c r="U59" s="88">
        <v>4.03</v>
      </c>
      <c r="V59" s="88">
        <v>7</v>
      </c>
      <c r="W59" s="88">
        <v>11</v>
      </c>
      <c r="X59" s="88">
        <v>5.4</v>
      </c>
      <c r="Y59" s="88">
        <v>2.67</v>
      </c>
      <c r="Z59" s="88">
        <v>1.54</v>
      </c>
      <c r="AA59" s="88">
        <v>4.9000000000000004</v>
      </c>
      <c r="AB59" s="88">
        <v>0</v>
      </c>
      <c r="AC59" s="257"/>
      <c r="AD59" s="110">
        <f t="shared" si="40"/>
        <v>314042.19250838738</v>
      </c>
      <c r="AE59" s="110">
        <f t="shared" si="41"/>
        <v>231346.90454187876</v>
      </c>
      <c r="AF59" s="16">
        <f>SUMIF('20.01'!$I:$I,$B:$B,'20.01'!$D:$D)*1.2</f>
        <v>151044.94799999997</v>
      </c>
      <c r="AG59" s="17">
        <f t="shared" si="80"/>
        <v>16359.714894970777</v>
      </c>
      <c r="AH59" s="17">
        <f t="shared" si="43"/>
        <v>3358.919267077265</v>
      </c>
      <c r="AI59" s="16">
        <f>SUMIF('20.01'!$J:$J,$B:$B,'20.01'!$D:$D)*1.2</f>
        <v>0</v>
      </c>
      <c r="AJ59" s="17">
        <f t="shared" si="44"/>
        <v>1364.9892745109928</v>
      </c>
      <c r="AK59" s="17">
        <f t="shared" si="45"/>
        <v>3320.7156660912324</v>
      </c>
      <c r="AL59" s="17">
        <f t="shared" si="46"/>
        <v>55897.61743922851</v>
      </c>
      <c r="AM59" s="110">
        <f t="shared" si="47"/>
        <v>0</v>
      </c>
      <c r="AN59" s="17">
        <f>SUMIF('20.01'!$K:$K,$B:$B,'20.01'!$D:$D)*1.2</f>
        <v>0</v>
      </c>
      <c r="AO59" s="17">
        <f>SUMIF('20.01'!$L:$L,$B:$B,'20.01'!$D:$D)*1.2</f>
        <v>0</v>
      </c>
      <c r="AP59" s="17">
        <f>SUMIF('20.01'!$M:$M,$B:$B,'20.01'!$D:$D)*1.2</f>
        <v>0</v>
      </c>
      <c r="AQ59" s="110">
        <f t="shared" si="48"/>
        <v>1235.6759665086661</v>
      </c>
      <c r="AR59" s="17">
        <f t="shared" si="49"/>
        <v>1235.6759665086661</v>
      </c>
      <c r="AS59" s="17">
        <f>(SUMIF('20.01'!$N:$N,$B:$B,'20.01'!$D:$D)+SUMIF('20.01'!$O:$O,$B:$B,'20.01'!$D:$D))*1.2</f>
        <v>0</v>
      </c>
      <c r="AT59" s="110">
        <f>SUMIF('20.01'!$P:$P,$B:$B,'20.01'!$D:$D)*1.2</f>
        <v>0</v>
      </c>
      <c r="AU59" s="110">
        <f t="shared" si="50"/>
        <v>0</v>
      </c>
      <c r="AV59" s="17">
        <f>SUMIF('20.01'!$Q:$Q,$B:$B,'20.01'!$D:$D)*1.2</f>
        <v>0</v>
      </c>
      <c r="AW59" s="17">
        <f>SUMIF('20.01'!$R:$R,$B:$B,'20.01'!$D:$D)*1.2</f>
        <v>0</v>
      </c>
      <c r="AX59" s="110">
        <f t="shared" si="51"/>
        <v>81459.611999999994</v>
      </c>
      <c r="AY59" s="17">
        <f>SUMIF('20.01'!$S:$S,$B:$B,'20.01'!$D:$D)*1.2</f>
        <v>81459.611999999994</v>
      </c>
      <c r="AZ59" s="17">
        <f>SUMIF('20.01'!$T:$T,$B:$B,'20.01'!$D:$D)*1.2</f>
        <v>0</v>
      </c>
      <c r="BA59" s="110">
        <f t="shared" si="52"/>
        <v>0</v>
      </c>
      <c r="BB59" s="17">
        <f>SUMIF('20.01'!$U:$U,$B:$B,'20.01'!$D:$D)*1.2</f>
        <v>0</v>
      </c>
      <c r="BC59" s="17">
        <f>SUMIF('20.01'!$V:$V,$B:$B,'20.01'!$D:$D)*1.2</f>
        <v>0</v>
      </c>
      <c r="BD59" s="17">
        <f>SUMIF('20.01'!$W:$W,$B:$B,'20.01'!$D:$D)*1.2</f>
        <v>0</v>
      </c>
      <c r="BE59" s="110">
        <f>SUMIF('20.01'!$X:$X,$B:$B,'20.01'!$D:$D)*1.2</f>
        <v>0</v>
      </c>
      <c r="BF59" s="110">
        <f t="shared" si="53"/>
        <v>0</v>
      </c>
      <c r="BG59" s="17">
        <f>SUMIF('20.01'!$Y:$Y,$B:$B,'20.01'!$D:$D)*1.2</f>
        <v>0</v>
      </c>
      <c r="BH59" s="17">
        <f>SUMIF('20.01'!$Z:$Z,$B:$B,'20.01'!$D:$D)*1.2</f>
        <v>0</v>
      </c>
      <c r="BI59" s="17">
        <f>SUMIF('20.01'!$AA:$AA,$B:$B,'20.01'!$D:$D)*1.2</f>
        <v>0</v>
      </c>
      <c r="BJ59" s="17">
        <f>SUMIF('20.01'!$AB:$AB,$B:$B,'20.01'!$D:$D)*1.2</f>
        <v>0</v>
      </c>
      <c r="BK59" s="17">
        <f>SUMIF('20.01'!$AC:$AC,$B:$B,'20.01'!$D:$D)*1.2</f>
        <v>0</v>
      </c>
      <c r="BL59" s="17">
        <f>SUMIF('20.01'!$AD:$AD,$B:$B,'20.01'!$D:$D)*1.2</f>
        <v>0</v>
      </c>
      <c r="BM59" s="110">
        <f t="shared" si="54"/>
        <v>0</v>
      </c>
      <c r="BN59" s="17">
        <f>SUMIF('20.01'!$AE:$AE,$B:$B,'20.01'!$D:$D)*1.2</f>
        <v>0</v>
      </c>
      <c r="BO59" s="17">
        <f>SUMIF('20.01'!$AF:$AF,$B:$B,'20.01'!$D:$D)*1.2</f>
        <v>0</v>
      </c>
      <c r="BP59" s="110">
        <f>SUMIF('20.01'!$AG:$AG,$B:$B,'20.01'!$D:$D)*1.2</f>
        <v>0</v>
      </c>
      <c r="BQ59" s="110">
        <f>SUMIF('20.01'!$AH:$AH,$B:$B,'20.01'!$D:$D)*1.2</f>
        <v>0</v>
      </c>
      <c r="BR59" s="110">
        <f>SUMIF('20.01'!$AI:$AI,$B:$B,'20.01'!$D:$D)*1.2</f>
        <v>0</v>
      </c>
      <c r="BS59" s="110">
        <f t="shared" si="55"/>
        <v>0</v>
      </c>
      <c r="BT59" s="17">
        <f>SUMIF('20.01'!$AJ:$AJ,$B:$B,'20.01'!$D:$D)*1.2</f>
        <v>0</v>
      </c>
      <c r="BU59" s="17">
        <f>SUMIF('20.01'!$AK:$AK,$B:$B,'20.01'!$D:$D)*1.2</f>
        <v>0</v>
      </c>
      <c r="BV59" s="110">
        <f>SUMIF('20.01'!$AL:$AL,$B:$B,'20.01'!$D:$D)*1.2</f>
        <v>0</v>
      </c>
      <c r="BW59" s="110">
        <f>SUMIF('20.01'!$AM:$AM,$B:$B,'20.01'!$D:$D)*1.2</f>
        <v>0</v>
      </c>
      <c r="BX59" s="110">
        <f>SUMIF('20.01'!$AN:$AN,$B:$B,'20.01'!$D:$D)*1.2</f>
        <v>0</v>
      </c>
      <c r="BY59" s="110">
        <f t="shared" si="3"/>
        <v>678595.91810918017</v>
      </c>
      <c r="BZ59" s="17">
        <f t="shared" si="81"/>
        <v>613138.05136303673</v>
      </c>
      <c r="CA59" s="17">
        <f t="shared" si="5"/>
        <v>27282.592857015585</v>
      </c>
      <c r="CB59" s="17">
        <f t="shared" si="6"/>
        <v>1813.6070421177783</v>
      </c>
      <c r="CC59" s="17">
        <f>SUMIF('20.01'!$AO:$AO,$B:$B,'20.01'!$D:$D)*1.2</f>
        <v>0</v>
      </c>
      <c r="CD59" s="17">
        <f t="shared" si="7"/>
        <v>28471.788569534223</v>
      </c>
      <c r="CE59" s="17">
        <f>SUMIF('20.01'!$AQ:$AQ,$B:$B,'20.01'!$D:$D)*1.2</f>
        <v>0</v>
      </c>
      <c r="CF59" s="17">
        <f t="shared" si="8"/>
        <v>2590.4826787346638</v>
      </c>
      <c r="CG59" s="17">
        <f>SUMIF('20.01'!$AR:$AR,$B:$B,'20.01'!$D:$D)*1.2</f>
        <v>2263.4879999999998</v>
      </c>
      <c r="CH59" s="17">
        <f t="shared" si="9"/>
        <v>1525.6063292145341</v>
      </c>
      <c r="CI59" s="17">
        <f>SUMIF('20.01'!$AT:$AT,$B:$B,'20.01'!$D:$D)*1.2</f>
        <v>0</v>
      </c>
      <c r="CJ59" s="17">
        <f>SUMIF('20.01'!$AU:$AU,$B:$B,'20.01'!$D:$D)*1.2</f>
        <v>0</v>
      </c>
      <c r="CK59" s="17">
        <f>SUMIF('20.01'!$AV:$AV,$B:$B,'20.01'!$D:$D)*1.2</f>
        <v>0</v>
      </c>
      <c r="CL59" s="17">
        <f t="shared" si="10"/>
        <v>1510.3012695266884</v>
      </c>
      <c r="CM59" s="17">
        <f>SUMIF('20.01'!$AW:$AW,$B:$B,'20.01'!$D:$D)*1.2</f>
        <v>0</v>
      </c>
      <c r="CN59" s="17">
        <f>SUMIF('20.01'!$AX:$AX,$B:$B,'20.01'!$D:$D)*1.2</f>
        <v>0</v>
      </c>
      <c r="CO59" s="110">
        <f t="shared" si="56"/>
        <v>506647.80973234482</v>
      </c>
      <c r="CP59" s="17">
        <f t="shared" si="57"/>
        <v>399664.75624485582</v>
      </c>
      <c r="CQ59" s="17">
        <f t="shared" si="11"/>
        <v>123302.07654505741</v>
      </c>
      <c r="CR59" s="17">
        <f t="shared" si="12"/>
        <v>276362.67969979841</v>
      </c>
      <c r="CS59" s="17">
        <f t="shared" si="58"/>
        <v>106983.05348748903</v>
      </c>
      <c r="CT59" s="17">
        <f t="shared" si="13"/>
        <v>3897.4864868454606</v>
      </c>
      <c r="CU59" s="17">
        <f t="shared" si="14"/>
        <v>3769.779486108634</v>
      </c>
      <c r="CV59" s="17">
        <f t="shared" si="15"/>
        <v>3896.1494913838192</v>
      </c>
      <c r="CW59" s="17">
        <f t="shared" si="16"/>
        <v>40.855417251881988</v>
      </c>
      <c r="CX59" s="17">
        <f t="shared" si="17"/>
        <v>57528.534954473718</v>
      </c>
      <c r="CY59" s="17">
        <f t="shared" si="18"/>
        <v>37850.24765142551</v>
      </c>
      <c r="CZ59" s="110">
        <f t="shared" si="59"/>
        <v>125763.24999040407</v>
      </c>
      <c r="DA59" s="17">
        <f t="shared" si="60"/>
        <v>4750.629913009534</v>
      </c>
      <c r="DB59" s="17">
        <f t="shared" si="19"/>
        <v>4508.1735219149487</v>
      </c>
      <c r="DC59" s="17">
        <f t="shared" si="20"/>
        <v>242.45639109458546</v>
      </c>
      <c r="DD59" s="17">
        <f t="shared" si="21"/>
        <v>8371.1548442990315</v>
      </c>
      <c r="DE59" s="17">
        <f t="shared" si="22"/>
        <v>2888.2689989314827</v>
      </c>
      <c r="DF59" s="17">
        <f t="shared" si="23"/>
        <v>3505.3168100723387</v>
      </c>
      <c r="DG59" s="17">
        <f t="shared" si="61"/>
        <v>106247.87942409169</v>
      </c>
      <c r="DH59" s="110">
        <f t="shared" si="62"/>
        <v>78486.092270406138</v>
      </c>
      <c r="DI59" s="17">
        <f t="shared" si="24"/>
        <v>70405.224822686112</v>
      </c>
      <c r="DJ59" s="17">
        <f t="shared" si="25"/>
        <v>7786.4041607356548</v>
      </c>
      <c r="DK59" s="17">
        <f t="shared" si="26"/>
        <v>294.46328698437401</v>
      </c>
      <c r="DL59" s="110">
        <f t="shared" si="63"/>
        <v>593915.25563082274</v>
      </c>
      <c r="DM59" s="17">
        <f t="shared" si="27"/>
        <v>247299.42302472913</v>
      </c>
      <c r="DN59" s="17">
        <f t="shared" si="28"/>
        <v>219303.26192758998</v>
      </c>
      <c r="DO59" s="17">
        <f t="shared" si="29"/>
        <v>127312.57067850363</v>
      </c>
      <c r="DP59" s="110">
        <f t="shared" si="64"/>
        <v>38754.760376591272</v>
      </c>
      <c r="DQ59" s="17">
        <f>SUMIF('20.01'!$BB:$BB,$B:$B,'20.01'!$D:$D)*1.2</f>
        <v>6012.5999999999995</v>
      </c>
      <c r="DR59" s="17">
        <f t="shared" si="30"/>
        <v>32501.226200954028</v>
      </c>
      <c r="DS59" s="17">
        <f t="shared" si="31"/>
        <v>240.93417563724452</v>
      </c>
      <c r="DT59" s="110">
        <f t="shared" si="65"/>
        <v>0</v>
      </c>
      <c r="DU59" s="17">
        <f>SUMIF('20.01'!$BD:$BD,$B:$B,'20.01'!$D:$D)*1.2</f>
        <v>0</v>
      </c>
      <c r="DV59" s="17">
        <f t="shared" si="32"/>
        <v>0</v>
      </c>
      <c r="DW59" s="17">
        <f t="shared" si="33"/>
        <v>0</v>
      </c>
      <c r="DX59" s="110">
        <f t="shared" si="34"/>
        <v>2336205.2786181364</v>
      </c>
      <c r="DY59" s="110"/>
      <c r="DZ59" s="110">
        <f t="shared" si="66"/>
        <v>2336205.2786181364</v>
      </c>
      <c r="EA59" s="257"/>
      <c r="EB59" s="110">
        <f t="shared" si="35"/>
        <v>886.55421686746979</v>
      </c>
      <c r="EC59" s="110">
        <f>SUMIF(еирц!$B:$B,$B:$B,еирц!$K:$K)</f>
        <v>1690164.48</v>
      </c>
      <c r="ED59" s="110">
        <f>SUMIF(еирц!$B:$B,$B:$B,еирц!$P:$P)</f>
        <v>1697186.42</v>
      </c>
      <c r="EE59" s="110">
        <f>SUMIF(еирц!$B:$B,$B:$B,еирц!$S:$S)</f>
        <v>171333.67</v>
      </c>
      <c r="EF59" s="177">
        <f t="shared" si="67"/>
        <v>-645154.24440126889</v>
      </c>
      <c r="EG59" s="181">
        <f t="shared" si="68"/>
        <v>0</v>
      </c>
      <c r="EH59" s="177">
        <f t="shared" si="69"/>
        <v>-645154.24440126889</v>
      </c>
    </row>
    <row r="60" spans="1:138" ht="12" customHeight="1" x14ac:dyDescent="0.25">
      <c r="A60" s="5">
        <f t="shared" si="70"/>
        <v>56</v>
      </c>
      <c r="B60" s="6" t="s">
        <v>137</v>
      </c>
      <c r="C60" s="7">
        <f t="shared" si="0"/>
        <v>7902.2</v>
      </c>
      <c r="D60" s="8">
        <v>7770.8</v>
      </c>
      <c r="E60" s="8">
        <v>131.4</v>
      </c>
      <c r="F60" s="8">
        <v>1429.18</v>
      </c>
      <c r="G60" s="87">
        <f t="shared" si="1"/>
        <v>7902.2</v>
      </c>
      <c r="H60" s="87">
        <f t="shared" si="2"/>
        <v>7902.2</v>
      </c>
      <c r="I60" s="91">
        <v>4</v>
      </c>
      <c r="J60" s="112">
        <v>2.1292120895831375E-3</v>
      </c>
      <c r="K60" s="17">
        <v>4</v>
      </c>
      <c r="L60" s="112">
        <f t="shared" si="36"/>
        <v>9.638554216867469E-3</v>
      </c>
      <c r="M60" s="116">
        <v>3.4064175301425847</v>
      </c>
      <c r="N60" s="120">
        <f t="shared" si="37"/>
        <v>7902.2</v>
      </c>
      <c r="O60" s="116">
        <v>3.0862312268316452</v>
      </c>
      <c r="P60" s="120">
        <f t="shared" si="38"/>
        <v>7902.2</v>
      </c>
      <c r="Q60" s="116">
        <v>1.6009273566883013</v>
      </c>
      <c r="R60" s="120">
        <f t="shared" si="39"/>
        <v>7902.2</v>
      </c>
      <c r="S60" s="5" t="s">
        <v>102</v>
      </c>
      <c r="T60" s="87">
        <v>36.75</v>
      </c>
      <c r="U60" s="88">
        <v>4.0199999999999996</v>
      </c>
      <c r="V60" s="88">
        <v>7</v>
      </c>
      <c r="W60" s="88">
        <v>11</v>
      </c>
      <c r="X60" s="88">
        <v>5.4</v>
      </c>
      <c r="Y60" s="88">
        <v>2.67</v>
      </c>
      <c r="Z60" s="88">
        <v>1.54</v>
      </c>
      <c r="AA60" s="88">
        <v>4.9000000000000004</v>
      </c>
      <c r="AB60" s="88">
        <v>0.22</v>
      </c>
      <c r="AC60" s="257"/>
      <c r="AD60" s="110">
        <f t="shared" si="40"/>
        <v>326667.83822819387</v>
      </c>
      <c r="AE60" s="110">
        <f t="shared" si="41"/>
        <v>324448.01495308592</v>
      </c>
      <c r="AF60" s="16">
        <f>SUMIF('20.01'!$I:$I,$B:$B,'20.01'!$D:$D)*1.2</f>
        <v>180190.008</v>
      </c>
      <c r="AG60" s="17">
        <f t="shared" si="80"/>
        <v>29389.31959694418</v>
      </c>
      <c r="AH60" s="17">
        <f t="shared" si="43"/>
        <v>6034.1119924292907</v>
      </c>
      <c r="AI60" s="16">
        <f>SUMIF('20.01'!$J:$J,$B:$B,'20.01'!$D:$D)*1.2</f>
        <v>0</v>
      </c>
      <c r="AJ60" s="17">
        <f t="shared" si="44"/>
        <v>2452.1274540876525</v>
      </c>
      <c r="AK60" s="17">
        <f t="shared" si="45"/>
        <v>5965.4813441361584</v>
      </c>
      <c r="AL60" s="17">
        <f t="shared" si="46"/>
        <v>100416.96656548866</v>
      </c>
      <c r="AM60" s="110">
        <f t="shared" si="47"/>
        <v>0</v>
      </c>
      <c r="AN60" s="17">
        <f>SUMIF('20.01'!$K:$K,$B:$B,'20.01'!$D:$D)*1.2</f>
        <v>0</v>
      </c>
      <c r="AO60" s="17">
        <f>SUMIF('20.01'!$L:$L,$B:$B,'20.01'!$D:$D)*1.2</f>
        <v>0</v>
      </c>
      <c r="AP60" s="17">
        <f>SUMIF('20.01'!$M:$M,$B:$B,'20.01'!$D:$D)*1.2</f>
        <v>0</v>
      </c>
      <c r="AQ60" s="110">
        <f t="shared" si="48"/>
        <v>2219.823275107934</v>
      </c>
      <c r="AR60" s="17">
        <f t="shared" si="49"/>
        <v>2219.823275107934</v>
      </c>
      <c r="AS60" s="17">
        <f>(SUMIF('20.01'!$N:$N,$B:$B,'20.01'!$D:$D)+SUMIF('20.01'!$O:$O,$B:$B,'20.01'!$D:$D))*1.2</f>
        <v>0</v>
      </c>
      <c r="AT60" s="110">
        <f>SUMIF('20.01'!$P:$P,$B:$B,'20.01'!$D:$D)*1.2</f>
        <v>0</v>
      </c>
      <c r="AU60" s="110">
        <f t="shared" si="50"/>
        <v>0</v>
      </c>
      <c r="AV60" s="17">
        <f>SUMIF('20.01'!$Q:$Q,$B:$B,'20.01'!$D:$D)*1.2</f>
        <v>0</v>
      </c>
      <c r="AW60" s="17">
        <f>SUMIF('20.01'!$R:$R,$B:$B,'20.01'!$D:$D)*1.2</f>
        <v>0</v>
      </c>
      <c r="AX60" s="110">
        <f t="shared" si="51"/>
        <v>0</v>
      </c>
      <c r="AY60" s="17">
        <f>SUMIF('20.01'!$S:$S,$B:$B,'20.01'!$D:$D)*1.2</f>
        <v>0</v>
      </c>
      <c r="AZ60" s="17">
        <f>SUMIF('20.01'!$T:$T,$B:$B,'20.01'!$D:$D)*1.2</f>
        <v>0</v>
      </c>
      <c r="BA60" s="110">
        <f t="shared" si="52"/>
        <v>0</v>
      </c>
      <c r="BB60" s="17">
        <f>SUMIF('20.01'!$U:$U,$B:$B,'20.01'!$D:$D)*1.2</f>
        <v>0</v>
      </c>
      <c r="BC60" s="17">
        <f>SUMIF('20.01'!$V:$V,$B:$B,'20.01'!$D:$D)*1.2</f>
        <v>0</v>
      </c>
      <c r="BD60" s="17">
        <f>SUMIF('20.01'!$W:$W,$B:$B,'20.01'!$D:$D)*1.2</f>
        <v>0</v>
      </c>
      <c r="BE60" s="110">
        <f>SUMIF('20.01'!$X:$X,$B:$B,'20.01'!$D:$D)*1.2</f>
        <v>0</v>
      </c>
      <c r="BF60" s="110">
        <f t="shared" si="53"/>
        <v>0</v>
      </c>
      <c r="BG60" s="17">
        <f>SUMIF('20.01'!$Y:$Y,$B:$B,'20.01'!$D:$D)*1.2</f>
        <v>0</v>
      </c>
      <c r="BH60" s="17">
        <f>SUMIF('20.01'!$Z:$Z,$B:$B,'20.01'!$D:$D)*1.2</f>
        <v>0</v>
      </c>
      <c r="BI60" s="17">
        <f>SUMIF('20.01'!$AA:$AA,$B:$B,'20.01'!$D:$D)*1.2</f>
        <v>0</v>
      </c>
      <c r="BJ60" s="17">
        <f>SUMIF('20.01'!$AB:$AB,$B:$B,'20.01'!$D:$D)*1.2</f>
        <v>0</v>
      </c>
      <c r="BK60" s="17">
        <f>SUMIF('20.01'!$AC:$AC,$B:$B,'20.01'!$D:$D)*1.2</f>
        <v>0</v>
      </c>
      <c r="BL60" s="17">
        <f>SUMIF('20.01'!$AD:$AD,$B:$B,'20.01'!$D:$D)*1.2</f>
        <v>0</v>
      </c>
      <c r="BM60" s="110">
        <f t="shared" si="54"/>
        <v>0</v>
      </c>
      <c r="BN60" s="17">
        <f>SUMIF('20.01'!$AE:$AE,$B:$B,'20.01'!$D:$D)*1.2</f>
        <v>0</v>
      </c>
      <c r="BO60" s="17">
        <f>SUMIF('20.01'!$AF:$AF,$B:$B,'20.01'!$D:$D)*1.2</f>
        <v>0</v>
      </c>
      <c r="BP60" s="110">
        <f>SUMIF('20.01'!$AG:$AG,$B:$B,'20.01'!$D:$D)*1.2</f>
        <v>0</v>
      </c>
      <c r="BQ60" s="110">
        <f>SUMIF('20.01'!$AH:$AH,$B:$B,'20.01'!$D:$D)*1.2</f>
        <v>0</v>
      </c>
      <c r="BR60" s="110">
        <f>SUMIF('20.01'!$AI:$AI,$B:$B,'20.01'!$D:$D)*1.2</f>
        <v>0</v>
      </c>
      <c r="BS60" s="110">
        <f t="shared" si="55"/>
        <v>0</v>
      </c>
      <c r="BT60" s="17">
        <f>SUMIF('20.01'!$AJ:$AJ,$B:$B,'20.01'!$D:$D)*1.2</f>
        <v>0</v>
      </c>
      <c r="BU60" s="17">
        <f>SUMIF('20.01'!$AK:$AK,$B:$B,'20.01'!$D:$D)*1.2</f>
        <v>0</v>
      </c>
      <c r="BV60" s="110">
        <f>SUMIF('20.01'!$AL:$AL,$B:$B,'20.01'!$D:$D)*1.2</f>
        <v>0</v>
      </c>
      <c r="BW60" s="110">
        <f>SUMIF('20.01'!$AM:$AM,$B:$B,'20.01'!$D:$D)*1.2</f>
        <v>0</v>
      </c>
      <c r="BX60" s="110">
        <f>SUMIF('20.01'!$AN:$AN,$B:$B,'20.01'!$D:$D)*1.2</f>
        <v>0</v>
      </c>
      <c r="BY60" s="110">
        <f t="shared" si="3"/>
        <v>1227480.2880012651</v>
      </c>
      <c r="BZ60" s="17">
        <f t="shared" si="81"/>
        <v>1101468.4708286326</v>
      </c>
      <c r="CA60" s="17">
        <f t="shared" si="5"/>
        <v>49011.663470653031</v>
      </c>
      <c r="CB60" s="17">
        <f t="shared" si="6"/>
        <v>3258.0443685148466</v>
      </c>
      <c r="CC60" s="17">
        <f>SUMIF('20.01'!$AO:$AO,$B:$B,'20.01'!$D:$D)*1.2</f>
        <v>0</v>
      </c>
      <c r="CD60" s="17">
        <f t="shared" si="7"/>
        <v>51147.98754982571</v>
      </c>
      <c r="CE60" s="17">
        <f>SUMIF('20.01'!$AQ:$AQ,$B:$B,'20.01'!$D:$D)*1.2</f>
        <v>0</v>
      </c>
      <c r="CF60" s="17">
        <f t="shared" si="8"/>
        <v>4653.6583213369695</v>
      </c>
      <c r="CG60" s="17">
        <f>SUMIF('20.01'!$AR:$AR,$B:$B,'20.01'!$D:$D)*1.2</f>
        <v>12486.624</v>
      </c>
      <c r="CH60" s="17">
        <f t="shared" si="9"/>
        <v>2740.6670761842074</v>
      </c>
      <c r="CI60" s="17">
        <f>SUMIF('20.01'!$AT:$AT,$B:$B,'20.01'!$D:$D)*1.2</f>
        <v>0</v>
      </c>
      <c r="CJ60" s="17">
        <f>SUMIF('20.01'!$AU:$AU,$B:$B,'20.01'!$D:$D)*1.2</f>
        <v>0</v>
      </c>
      <c r="CK60" s="17">
        <f>SUMIF('20.01'!$AV:$AV,$B:$B,'20.01'!$D:$D)*1.2</f>
        <v>0</v>
      </c>
      <c r="CL60" s="17">
        <f t="shared" si="10"/>
        <v>2713.172386117531</v>
      </c>
      <c r="CM60" s="17">
        <f>SUMIF('20.01'!$AW:$AW,$B:$B,'20.01'!$D:$D)*1.2</f>
        <v>0</v>
      </c>
      <c r="CN60" s="17">
        <f>SUMIF('20.01'!$AX:$AX,$B:$B,'20.01'!$D:$D)*1.2</f>
        <v>0</v>
      </c>
      <c r="CO60" s="110">
        <f t="shared" si="56"/>
        <v>910164.6635598198</v>
      </c>
      <c r="CP60" s="17">
        <f t="shared" si="57"/>
        <v>717975.54714879044</v>
      </c>
      <c r="CQ60" s="17">
        <f t="shared" si="11"/>
        <v>221505.33538109314</v>
      </c>
      <c r="CR60" s="17">
        <f t="shared" si="12"/>
        <v>496470.21176769724</v>
      </c>
      <c r="CS60" s="17">
        <f t="shared" si="58"/>
        <v>192189.1164110293</v>
      </c>
      <c r="CT60" s="17">
        <f t="shared" si="13"/>
        <v>7001.6181041079835</v>
      </c>
      <c r="CU60" s="17">
        <f t="shared" si="14"/>
        <v>6772.199566956363</v>
      </c>
      <c r="CV60" s="17">
        <f t="shared" si="15"/>
        <v>6999.2162659846354</v>
      </c>
      <c r="CW60" s="17">
        <f t="shared" si="16"/>
        <v>73.394488998777348</v>
      </c>
      <c r="CX60" s="17">
        <f t="shared" si="17"/>
        <v>103346.81934101168</v>
      </c>
      <c r="CY60" s="17">
        <f t="shared" si="18"/>
        <v>67995.868643969865</v>
      </c>
      <c r="CZ60" s="110">
        <f t="shared" si="59"/>
        <v>225926.69684326884</v>
      </c>
      <c r="DA60" s="17">
        <f t="shared" si="60"/>
        <v>8534.2429068345755</v>
      </c>
      <c r="DB60" s="17">
        <f t="shared" si="19"/>
        <v>8098.6834602337685</v>
      </c>
      <c r="DC60" s="17">
        <f t="shared" si="20"/>
        <v>435.55944660080769</v>
      </c>
      <c r="DD60" s="17">
        <f t="shared" si="21"/>
        <v>15038.31495194594</v>
      </c>
      <c r="DE60" s="17">
        <f t="shared" si="22"/>
        <v>5188.614913921152</v>
      </c>
      <c r="DF60" s="17">
        <f t="shared" si="23"/>
        <v>6297.1070511397729</v>
      </c>
      <c r="DG60" s="17">
        <f t="shared" si="61"/>
        <v>190868.4170194274</v>
      </c>
      <c r="DH60" s="110">
        <f t="shared" si="62"/>
        <v>140995.9075973455</v>
      </c>
      <c r="DI60" s="17">
        <f t="shared" si="24"/>
        <v>126479.07783800812</v>
      </c>
      <c r="DJ60" s="17">
        <f t="shared" si="25"/>
        <v>13987.842811440685</v>
      </c>
      <c r="DK60" s="17">
        <f t="shared" si="26"/>
        <v>528.98694789668093</v>
      </c>
      <c r="DL60" s="110">
        <f t="shared" si="63"/>
        <v>1066935.7854519158</v>
      </c>
      <c r="DM60" s="17">
        <f t="shared" si="27"/>
        <v>444259.6846017128</v>
      </c>
      <c r="DN60" s="17">
        <f t="shared" si="28"/>
        <v>393966.13540151896</v>
      </c>
      <c r="DO60" s="17">
        <f t="shared" si="29"/>
        <v>228709.96544868403</v>
      </c>
      <c r="DP60" s="110">
        <f t="shared" si="64"/>
        <v>69189.180345428671</v>
      </c>
      <c r="DQ60" s="17">
        <f>SUMIF('20.01'!$BB:$BB,$B:$B,'20.01'!$D:$D)*1.2</f>
        <v>10384.56</v>
      </c>
      <c r="DR60" s="17">
        <f t="shared" si="30"/>
        <v>58371.904771268928</v>
      </c>
      <c r="DS60" s="17">
        <f t="shared" si="31"/>
        <v>432.71557415974036</v>
      </c>
      <c r="DT60" s="110">
        <f t="shared" si="65"/>
        <v>15361.691999999999</v>
      </c>
      <c r="DU60" s="17">
        <f>SUMIF('20.01'!$BD:$BD,$B:$B,'20.01'!$D:$D)*1.2</f>
        <v>15361.691999999999</v>
      </c>
      <c r="DV60" s="17">
        <f t="shared" si="32"/>
        <v>0</v>
      </c>
      <c r="DW60" s="17">
        <f t="shared" si="33"/>
        <v>0</v>
      </c>
      <c r="DX60" s="110">
        <f t="shared" si="34"/>
        <v>3982722.0520272371</v>
      </c>
      <c r="DY60" s="110"/>
      <c r="DZ60" s="110">
        <f t="shared" si="66"/>
        <v>3982722.0520272371</v>
      </c>
      <c r="EA60" s="257"/>
      <c r="EB60" s="110">
        <f t="shared" si="35"/>
        <v>3546.2168674698792</v>
      </c>
      <c r="EC60" s="110">
        <f>SUMIF(еирц!$B:$B,$B:$B,еирц!$K:$K)</f>
        <v>3426928.08</v>
      </c>
      <c r="ED60" s="110">
        <f>SUMIF(еирц!$B:$B,$B:$B,еирц!$P:$P)</f>
        <v>3311189.24</v>
      </c>
      <c r="EE60" s="110">
        <f>SUMIF(еирц!$B:$B,$B:$B,еирц!$S:$S)</f>
        <v>526240.73</v>
      </c>
      <c r="EF60" s="177">
        <f t="shared" si="67"/>
        <v>-552247.75515976734</v>
      </c>
      <c r="EG60" s="181">
        <f t="shared" si="68"/>
        <v>0</v>
      </c>
      <c r="EH60" s="177">
        <f t="shared" si="69"/>
        <v>-552247.75515976734</v>
      </c>
    </row>
    <row r="61" spans="1:138" ht="12" customHeight="1" x14ac:dyDescent="0.25">
      <c r="A61" s="5">
        <f t="shared" si="70"/>
        <v>57</v>
      </c>
      <c r="B61" s="6" t="s">
        <v>138</v>
      </c>
      <c r="C61" s="7">
        <f t="shared" si="0"/>
        <v>6108.4400000000005</v>
      </c>
      <c r="D61" s="8">
        <v>5292.14</v>
      </c>
      <c r="E61" s="8">
        <v>816.3</v>
      </c>
      <c r="F61" s="8">
        <v>984.8</v>
      </c>
      <c r="G61" s="91">
        <f t="shared" si="1"/>
        <v>6108.4400000000005</v>
      </c>
      <c r="H61" s="87">
        <f t="shared" si="2"/>
        <v>0</v>
      </c>
      <c r="I61" s="91">
        <v>2</v>
      </c>
      <c r="J61" s="112">
        <v>1.6412912081312514E-3</v>
      </c>
      <c r="K61" s="17">
        <v>1</v>
      </c>
      <c r="L61" s="112">
        <f t="shared" si="36"/>
        <v>2.4096385542168672E-3</v>
      </c>
      <c r="M61" s="116">
        <v>3.4064171163743979</v>
      </c>
      <c r="N61" s="120">
        <f t="shared" si="37"/>
        <v>6108.4400000000005</v>
      </c>
      <c r="O61" s="116">
        <v>2.6059541281691669</v>
      </c>
      <c r="P61" s="120">
        <f t="shared" si="38"/>
        <v>6108.4400000000005</v>
      </c>
      <c r="Q61" s="116">
        <v>1.6009277763362315</v>
      </c>
      <c r="R61" s="120">
        <f t="shared" si="39"/>
        <v>6108.4400000000005</v>
      </c>
      <c r="S61" s="5" t="s">
        <v>102</v>
      </c>
      <c r="T61" s="87">
        <v>36.54</v>
      </c>
      <c r="U61" s="88">
        <v>4.03</v>
      </c>
      <c r="V61" s="88">
        <v>7</v>
      </c>
      <c r="W61" s="88">
        <v>11</v>
      </c>
      <c r="X61" s="88">
        <v>5.4</v>
      </c>
      <c r="Y61" s="88">
        <v>2.67</v>
      </c>
      <c r="Z61" s="88">
        <v>1.54</v>
      </c>
      <c r="AA61" s="88">
        <v>4.9000000000000004</v>
      </c>
      <c r="AB61" s="88">
        <v>0</v>
      </c>
      <c r="AC61" s="257"/>
      <c r="AD61" s="110">
        <f t="shared" si="40"/>
        <v>3017867.8970980113</v>
      </c>
      <c r="AE61" s="110">
        <f t="shared" si="41"/>
        <v>388724.84263841819</v>
      </c>
      <c r="AF61" s="16">
        <f>SUMIF('20.01'!$I:$I,$B:$B,'20.01'!$D:$D)*1.2</f>
        <v>277212.68400000001</v>
      </c>
      <c r="AG61" s="17">
        <f t="shared" si="80"/>
        <v>22718.090582212262</v>
      </c>
      <c r="AH61" s="17">
        <f t="shared" si="43"/>
        <v>4664.3986559483155</v>
      </c>
      <c r="AI61" s="16">
        <f>SUMIF('20.01'!$J:$J,$B:$B,'20.01'!$D:$D)*1.2</f>
        <v>0</v>
      </c>
      <c r="AJ61" s="17">
        <f t="shared" si="44"/>
        <v>1895.5067482026755</v>
      </c>
      <c r="AK61" s="17">
        <f t="shared" si="45"/>
        <v>4611.3468226285186</v>
      </c>
      <c r="AL61" s="17">
        <f t="shared" si="46"/>
        <v>77622.815829426443</v>
      </c>
      <c r="AM61" s="110">
        <f t="shared" si="47"/>
        <v>0</v>
      </c>
      <c r="AN61" s="17">
        <f>SUMIF('20.01'!$K:$K,$B:$B,'20.01'!$D:$D)*1.2</f>
        <v>0</v>
      </c>
      <c r="AO61" s="17">
        <f>SUMIF('20.01'!$L:$L,$B:$B,'20.01'!$D:$D)*1.2</f>
        <v>0</v>
      </c>
      <c r="AP61" s="17">
        <f>SUMIF('20.01'!$M:$M,$B:$B,'20.01'!$D:$D)*1.2</f>
        <v>0</v>
      </c>
      <c r="AQ61" s="110">
        <f t="shared" si="48"/>
        <v>1715.9344595935702</v>
      </c>
      <c r="AR61" s="17">
        <f t="shared" si="49"/>
        <v>1715.9344595935702</v>
      </c>
      <c r="AS61" s="17">
        <f>(SUMIF('20.01'!$N:$N,$B:$B,'20.01'!$D:$D)+SUMIF('20.01'!$O:$O,$B:$B,'20.01'!$D:$D))*1.2</f>
        <v>0</v>
      </c>
      <c r="AT61" s="110">
        <f>SUMIF('20.01'!$P:$P,$B:$B,'20.01'!$D:$D)*1.2</f>
        <v>0</v>
      </c>
      <c r="AU61" s="110">
        <f t="shared" si="50"/>
        <v>7104.4080000000004</v>
      </c>
      <c r="AV61" s="17">
        <f>SUMIF('20.01'!$Q:$Q,$B:$B,'20.01'!$D:$D)*1.2</f>
        <v>7104.4080000000004</v>
      </c>
      <c r="AW61" s="17">
        <f>SUMIF('20.01'!$R:$R,$B:$B,'20.01'!$D:$D)*1.2</f>
        <v>0</v>
      </c>
      <c r="AX61" s="110">
        <f t="shared" si="51"/>
        <v>0</v>
      </c>
      <c r="AY61" s="17">
        <f>SUMIF('20.01'!$S:$S,$B:$B,'20.01'!$D:$D)*1.2</f>
        <v>0</v>
      </c>
      <c r="AZ61" s="17">
        <f>SUMIF('20.01'!$T:$T,$B:$B,'20.01'!$D:$D)*1.2</f>
        <v>0</v>
      </c>
      <c r="BA61" s="110">
        <f t="shared" si="52"/>
        <v>0</v>
      </c>
      <c r="BB61" s="17">
        <f>SUMIF('20.01'!$U:$U,$B:$B,'20.01'!$D:$D)*1.2</f>
        <v>0</v>
      </c>
      <c r="BC61" s="17">
        <f>SUMIF('20.01'!$V:$V,$B:$B,'20.01'!$D:$D)*1.2</f>
        <v>0</v>
      </c>
      <c r="BD61" s="17">
        <f>SUMIF('20.01'!$W:$W,$B:$B,'20.01'!$D:$D)*1.2</f>
        <v>0</v>
      </c>
      <c r="BE61" s="110">
        <f>SUMIF('20.01'!$X:$X,$B:$B,'20.01'!$D:$D)*1.2</f>
        <v>0</v>
      </c>
      <c r="BF61" s="110">
        <f t="shared" si="53"/>
        <v>2620322.7119999994</v>
      </c>
      <c r="BG61" s="17">
        <f>SUMIF('20.01'!$Y:$Y,$B:$B,'20.01'!$D:$D)*1.2</f>
        <v>0</v>
      </c>
      <c r="BH61" s="17">
        <f>SUMIF('20.01'!$Z:$Z,$B:$B,'20.01'!$D:$D)*1.2</f>
        <v>2613432.3119999995</v>
      </c>
      <c r="BI61" s="17">
        <f>SUMIF('20.01'!$AA:$AA,$B:$B,'20.01'!$D:$D)*1.2</f>
        <v>0</v>
      </c>
      <c r="BJ61" s="17">
        <f>SUMIF('20.01'!$AB:$AB,$B:$B,'20.01'!$D:$D)*1.2</f>
        <v>0</v>
      </c>
      <c r="BK61" s="17">
        <f>SUMIF('20.01'!$AC:$AC,$B:$B,'20.01'!$D:$D)*1.2</f>
        <v>0</v>
      </c>
      <c r="BL61" s="17">
        <f>SUMIF('20.01'!$AD:$AD,$B:$B,'20.01'!$D:$D)*1.2</f>
        <v>6890.4</v>
      </c>
      <c r="BM61" s="110">
        <f t="shared" si="54"/>
        <v>0</v>
      </c>
      <c r="BN61" s="17">
        <f>SUMIF('20.01'!$AE:$AE,$B:$B,'20.01'!$D:$D)*1.2</f>
        <v>0</v>
      </c>
      <c r="BO61" s="17">
        <f>SUMIF('20.01'!$AF:$AF,$B:$B,'20.01'!$D:$D)*1.2</f>
        <v>0</v>
      </c>
      <c r="BP61" s="110">
        <f>SUMIF('20.01'!$AG:$AG,$B:$B,'20.01'!$D:$D)*1.2</f>
        <v>0</v>
      </c>
      <c r="BQ61" s="110">
        <f>SUMIF('20.01'!$AH:$AH,$B:$B,'20.01'!$D:$D)*1.2</f>
        <v>0</v>
      </c>
      <c r="BR61" s="110">
        <f>SUMIF('20.01'!$AI:$AI,$B:$B,'20.01'!$D:$D)*1.2</f>
        <v>0</v>
      </c>
      <c r="BS61" s="110">
        <f t="shared" si="55"/>
        <v>0</v>
      </c>
      <c r="BT61" s="17">
        <f>SUMIF('20.01'!$AJ:$AJ,$B:$B,'20.01'!$D:$D)*1.2</f>
        <v>0</v>
      </c>
      <c r="BU61" s="17">
        <f>SUMIF('20.01'!$AK:$AK,$B:$B,'20.01'!$D:$D)*1.2</f>
        <v>0</v>
      </c>
      <c r="BV61" s="110">
        <f>SUMIF('20.01'!$AL:$AL,$B:$B,'20.01'!$D:$D)*1.2</f>
        <v>0</v>
      </c>
      <c r="BW61" s="110">
        <f>SUMIF('20.01'!$AM:$AM,$B:$B,'20.01'!$D:$D)*1.2</f>
        <v>0</v>
      </c>
      <c r="BX61" s="110">
        <f>SUMIF('20.01'!$AN:$AN,$B:$B,'20.01'!$D:$D)*1.2</f>
        <v>0</v>
      </c>
      <c r="BY61" s="110">
        <f t="shared" si="3"/>
        <v>939196.16017462057</v>
      </c>
      <c r="BZ61" s="17">
        <f t="shared" si="81"/>
        <v>851440.61982086673</v>
      </c>
      <c r="CA61" s="17">
        <f t="shared" si="5"/>
        <v>37886.260232678978</v>
      </c>
      <c r="CB61" s="17">
        <f t="shared" si="6"/>
        <v>2518.4845413189782</v>
      </c>
      <c r="CC61" s="17">
        <f>SUMIF('20.01'!$AO:$AO,$B:$B,'20.01'!$D:$D)*1.2</f>
        <v>0</v>
      </c>
      <c r="CD61" s="17">
        <f t="shared" si="7"/>
        <v>39537.649397491507</v>
      </c>
      <c r="CE61" s="17">
        <f>SUMIF('20.01'!$AQ:$AQ,$B:$B,'20.01'!$D:$D)*1.2</f>
        <v>0</v>
      </c>
      <c r="CF61" s="17">
        <f t="shared" si="8"/>
        <v>3597.3010853164433</v>
      </c>
      <c r="CG61" s="17">
        <f>SUMIF('20.01'!$AR:$AR,$B:$B,'20.01'!$D:$D)*1.2</f>
        <v>0</v>
      </c>
      <c r="CH61" s="17">
        <f t="shared" si="9"/>
        <v>2118.5493147283873</v>
      </c>
      <c r="CI61" s="17">
        <f>SUMIF('20.01'!$AT:$AT,$B:$B,'20.01'!$D:$D)*1.2</f>
        <v>0</v>
      </c>
      <c r="CJ61" s="17">
        <f>SUMIF('20.01'!$AU:$AU,$B:$B,'20.01'!$D:$D)*1.2</f>
        <v>0</v>
      </c>
      <c r="CK61" s="17">
        <f>SUMIF('20.01'!$AV:$AV,$B:$B,'20.01'!$D:$D)*1.2</f>
        <v>0</v>
      </c>
      <c r="CL61" s="17">
        <f t="shared" si="10"/>
        <v>2097.2957822196063</v>
      </c>
      <c r="CM61" s="17">
        <f>SUMIF('20.01'!$AW:$AW,$B:$B,'20.01'!$D:$D)*1.2</f>
        <v>0</v>
      </c>
      <c r="CN61" s="17">
        <f>SUMIF('20.01'!$AX:$AX,$B:$B,'20.01'!$D:$D)*1.2</f>
        <v>0</v>
      </c>
      <c r="CO61" s="110">
        <f t="shared" si="56"/>
        <v>703561.82297022932</v>
      </c>
      <c r="CP61" s="17">
        <f t="shared" si="57"/>
        <v>554998.67773854849</v>
      </c>
      <c r="CQ61" s="17">
        <f t="shared" si="11"/>
        <v>171224.72866483824</v>
      </c>
      <c r="CR61" s="17">
        <f t="shared" si="12"/>
        <v>383773.94907371025</v>
      </c>
      <c r="CS61" s="17">
        <f t="shared" si="58"/>
        <v>148563.1452316808</v>
      </c>
      <c r="CT61" s="17">
        <f t="shared" si="13"/>
        <v>5412.285704216215</v>
      </c>
      <c r="CU61" s="17">
        <f t="shared" si="14"/>
        <v>5234.944031127905</v>
      </c>
      <c r="CV61" s="17">
        <f t="shared" si="15"/>
        <v>5410.4290713714145</v>
      </c>
      <c r="CW61" s="17">
        <f t="shared" si="16"/>
        <v>56.734305937547965</v>
      </c>
      <c r="CX61" s="17">
        <f t="shared" si="17"/>
        <v>79887.606633014788</v>
      </c>
      <c r="CY61" s="17">
        <f t="shared" si="18"/>
        <v>52561.145486012923</v>
      </c>
      <c r="CZ61" s="110">
        <f t="shared" si="59"/>
        <v>174642.46311980175</v>
      </c>
      <c r="DA61" s="17">
        <f t="shared" si="60"/>
        <v>6597.0123183195319</v>
      </c>
      <c r="DB61" s="17">
        <f t="shared" si="19"/>
        <v>6260.3226944180569</v>
      </c>
      <c r="DC61" s="17">
        <f t="shared" si="20"/>
        <v>336.68962390147533</v>
      </c>
      <c r="DD61" s="17">
        <f t="shared" si="21"/>
        <v>11624.692438189955</v>
      </c>
      <c r="DE61" s="17">
        <f t="shared" si="22"/>
        <v>4010.8251986525934</v>
      </c>
      <c r="DF61" s="17">
        <f t="shared" si="23"/>
        <v>4867.6951476125942</v>
      </c>
      <c r="DG61" s="17">
        <f t="shared" si="61"/>
        <v>147542.23801702706</v>
      </c>
      <c r="DH61" s="110">
        <f t="shared" si="62"/>
        <v>108990.53957175586</v>
      </c>
      <c r="DI61" s="17">
        <f t="shared" si="24"/>
        <v>97768.957787553139</v>
      </c>
      <c r="DJ61" s="17">
        <f t="shared" si="25"/>
        <v>10812.67223597438</v>
      </c>
      <c r="DK61" s="17">
        <f t="shared" si="26"/>
        <v>408.90954822834169</v>
      </c>
      <c r="DL61" s="110">
        <f t="shared" si="63"/>
        <v>824746.68184630875</v>
      </c>
      <c r="DM61" s="17">
        <f t="shared" si="27"/>
        <v>343414.95125515515</v>
      </c>
      <c r="DN61" s="17">
        <f t="shared" si="28"/>
        <v>304537.7869621187</v>
      </c>
      <c r="DO61" s="17">
        <f t="shared" si="29"/>
        <v>176793.94362903491</v>
      </c>
      <c r="DP61" s="110">
        <f t="shared" si="64"/>
        <v>102835.58807926461</v>
      </c>
      <c r="DQ61" s="17">
        <f>SUMIF('20.01'!$BB:$BB,$B:$B,'20.01'!$D:$D)*1.2</f>
        <v>57506.376000000004</v>
      </c>
      <c r="DR61" s="17">
        <f t="shared" si="30"/>
        <v>44995.655703662349</v>
      </c>
      <c r="DS61" s="17">
        <f t="shared" si="31"/>
        <v>333.55637560225176</v>
      </c>
      <c r="DT61" s="110">
        <f t="shared" si="65"/>
        <v>0</v>
      </c>
      <c r="DU61" s="17">
        <f>SUMIF('20.01'!$BD:$BD,$B:$B,'20.01'!$D:$D)*1.2</f>
        <v>0</v>
      </c>
      <c r="DV61" s="17">
        <f t="shared" si="32"/>
        <v>0</v>
      </c>
      <c r="DW61" s="17">
        <f t="shared" si="33"/>
        <v>0</v>
      </c>
      <c r="DX61" s="110">
        <f t="shared" si="34"/>
        <v>5871841.1528599914</v>
      </c>
      <c r="DY61" s="110"/>
      <c r="DZ61" s="110">
        <f t="shared" si="66"/>
        <v>5871841.1528599914</v>
      </c>
      <c r="EA61" s="257"/>
      <c r="EB61" s="110">
        <f t="shared" si="35"/>
        <v>886.55421686746979</v>
      </c>
      <c r="EC61" s="110">
        <f>SUMIF(еирц!$B:$B,$B:$B,еирц!$K:$K)</f>
        <v>2320607.34</v>
      </c>
      <c r="ED61" s="110">
        <f>SUMIF(еирц!$B:$B,$B:$B,еирц!$P:$P)</f>
        <v>2282389.9499999997</v>
      </c>
      <c r="EE61" s="110">
        <f>SUMIF(еирц!$B:$B,$B:$B,еирц!$S:$S)</f>
        <v>260527.46</v>
      </c>
      <c r="EF61" s="177">
        <f t="shared" si="67"/>
        <v>-3550347.2586431243</v>
      </c>
      <c r="EG61" s="181">
        <f t="shared" si="68"/>
        <v>0</v>
      </c>
      <c r="EH61" s="177">
        <f t="shared" si="69"/>
        <v>-3550347.2586431243</v>
      </c>
    </row>
    <row r="62" spans="1:138" ht="12" customHeight="1" x14ac:dyDescent="0.25">
      <c r="A62" s="5">
        <f t="shared" si="70"/>
        <v>58</v>
      </c>
      <c r="B62" s="6" t="s">
        <v>139</v>
      </c>
      <c r="C62" s="7">
        <f t="shared" si="0"/>
        <v>5301.46</v>
      </c>
      <c r="D62" s="8">
        <v>5301.46</v>
      </c>
      <c r="E62" s="8">
        <v>0</v>
      </c>
      <c r="F62" s="8">
        <v>996.3</v>
      </c>
      <c r="G62" s="91">
        <f t="shared" si="1"/>
        <v>5301.46</v>
      </c>
      <c r="H62" s="87">
        <f t="shared" si="2"/>
        <v>0</v>
      </c>
      <c r="I62" s="91">
        <v>2</v>
      </c>
      <c r="J62" s="112">
        <v>1.4288344905011045E-3</v>
      </c>
      <c r="K62" s="17">
        <v>1</v>
      </c>
      <c r="L62" s="112">
        <f t="shared" si="36"/>
        <v>2.4096385542168672E-3</v>
      </c>
      <c r="M62" s="116">
        <v>3.406418262483589</v>
      </c>
      <c r="N62" s="120">
        <f t="shared" si="37"/>
        <v>5301.46</v>
      </c>
      <c r="O62" s="116">
        <v>3.0862306125220704</v>
      </c>
      <c r="P62" s="120">
        <f t="shared" si="38"/>
        <v>5301.46</v>
      </c>
      <c r="Q62" s="116">
        <v>1.6009279128374607</v>
      </c>
      <c r="R62" s="120">
        <f t="shared" si="39"/>
        <v>5301.46</v>
      </c>
      <c r="S62" s="5" t="s">
        <v>102</v>
      </c>
      <c r="T62" s="87">
        <v>36.54</v>
      </c>
      <c r="U62" s="88">
        <v>4.03</v>
      </c>
      <c r="V62" s="88">
        <v>7</v>
      </c>
      <c r="W62" s="88">
        <v>11</v>
      </c>
      <c r="X62" s="88">
        <v>5.4</v>
      </c>
      <c r="Y62" s="88">
        <v>2.67</v>
      </c>
      <c r="Z62" s="88">
        <v>1.54</v>
      </c>
      <c r="AA62" s="88">
        <v>4.9000000000000004</v>
      </c>
      <c r="AB62" s="88">
        <v>0</v>
      </c>
      <c r="AC62" s="257"/>
      <c r="AD62" s="110">
        <f t="shared" si="40"/>
        <v>324997.49709255155</v>
      </c>
      <c r="AE62" s="110">
        <f t="shared" si="41"/>
        <v>272958.18104658287</v>
      </c>
      <c r="AF62" s="16">
        <f>SUMIF('20.01'!$I:$I,$B:$B,'20.01'!$D:$D)*1.2</f>
        <v>176177.78400000001</v>
      </c>
      <c r="AG62" s="17">
        <f t="shared" si="80"/>
        <v>19716.825981424881</v>
      </c>
      <c r="AH62" s="17">
        <f t="shared" si="43"/>
        <v>4048.1895375191957</v>
      </c>
      <c r="AI62" s="16">
        <f>SUMIF('20.01'!$J:$J,$B:$B,'20.01'!$D:$D)*1.2</f>
        <v>0</v>
      </c>
      <c r="AJ62" s="17">
        <f t="shared" si="44"/>
        <v>1645.0932161610092</v>
      </c>
      <c r="AK62" s="17">
        <f t="shared" si="45"/>
        <v>4002.1463297162918</v>
      </c>
      <c r="AL62" s="17">
        <f t="shared" si="46"/>
        <v>67368.141981761481</v>
      </c>
      <c r="AM62" s="110">
        <f t="shared" si="47"/>
        <v>50550.071999999993</v>
      </c>
      <c r="AN62" s="17">
        <f>SUMIF('20.01'!$K:$K,$B:$B,'20.01'!$D:$D)*1.2</f>
        <v>50550.071999999993</v>
      </c>
      <c r="AO62" s="17">
        <f>SUMIF('20.01'!$L:$L,$B:$B,'20.01'!$D:$D)*1.2</f>
        <v>0</v>
      </c>
      <c r="AP62" s="17">
        <f>SUMIF('20.01'!$M:$M,$B:$B,'20.01'!$D:$D)*1.2</f>
        <v>0</v>
      </c>
      <c r="AQ62" s="110">
        <f t="shared" si="48"/>
        <v>1489.2440459686807</v>
      </c>
      <c r="AR62" s="17">
        <f t="shared" si="49"/>
        <v>1489.2440459686807</v>
      </c>
      <c r="AS62" s="17">
        <f>(SUMIF('20.01'!$N:$N,$B:$B,'20.01'!$D:$D)+SUMIF('20.01'!$O:$O,$B:$B,'20.01'!$D:$D))*1.2</f>
        <v>0</v>
      </c>
      <c r="AT62" s="110">
        <f>SUMIF('20.01'!$P:$P,$B:$B,'20.01'!$D:$D)*1.2</f>
        <v>0</v>
      </c>
      <c r="AU62" s="110">
        <f t="shared" si="50"/>
        <v>0</v>
      </c>
      <c r="AV62" s="17">
        <f>SUMIF('20.01'!$Q:$Q,$B:$B,'20.01'!$D:$D)*1.2</f>
        <v>0</v>
      </c>
      <c r="AW62" s="17">
        <f>SUMIF('20.01'!$R:$R,$B:$B,'20.01'!$D:$D)*1.2</f>
        <v>0</v>
      </c>
      <c r="AX62" s="110">
        <f t="shared" si="51"/>
        <v>0</v>
      </c>
      <c r="AY62" s="17">
        <f>SUMIF('20.01'!$S:$S,$B:$B,'20.01'!$D:$D)*1.2</f>
        <v>0</v>
      </c>
      <c r="AZ62" s="17">
        <f>SUMIF('20.01'!$T:$T,$B:$B,'20.01'!$D:$D)*1.2</f>
        <v>0</v>
      </c>
      <c r="BA62" s="110">
        <f t="shared" si="52"/>
        <v>0</v>
      </c>
      <c r="BB62" s="17">
        <f>SUMIF('20.01'!$U:$U,$B:$B,'20.01'!$D:$D)*1.2</f>
        <v>0</v>
      </c>
      <c r="BC62" s="17">
        <f>SUMIF('20.01'!$V:$V,$B:$B,'20.01'!$D:$D)*1.2</f>
        <v>0</v>
      </c>
      <c r="BD62" s="17">
        <f>SUMIF('20.01'!$W:$W,$B:$B,'20.01'!$D:$D)*1.2</f>
        <v>0</v>
      </c>
      <c r="BE62" s="110">
        <f>SUMIF('20.01'!$X:$X,$B:$B,'20.01'!$D:$D)*1.2</f>
        <v>0</v>
      </c>
      <c r="BF62" s="110">
        <f t="shared" si="53"/>
        <v>0</v>
      </c>
      <c r="BG62" s="17">
        <f>SUMIF('20.01'!$Y:$Y,$B:$B,'20.01'!$D:$D)*1.2</f>
        <v>0</v>
      </c>
      <c r="BH62" s="17">
        <f>SUMIF('20.01'!$Z:$Z,$B:$B,'20.01'!$D:$D)*1.2</f>
        <v>0</v>
      </c>
      <c r="BI62" s="17">
        <f>SUMIF('20.01'!$AA:$AA,$B:$B,'20.01'!$D:$D)*1.2</f>
        <v>0</v>
      </c>
      <c r="BJ62" s="17">
        <f>SUMIF('20.01'!$AB:$AB,$B:$B,'20.01'!$D:$D)*1.2</f>
        <v>0</v>
      </c>
      <c r="BK62" s="17">
        <f>SUMIF('20.01'!$AC:$AC,$B:$B,'20.01'!$D:$D)*1.2</f>
        <v>0</v>
      </c>
      <c r="BL62" s="17">
        <f>SUMIF('20.01'!$AD:$AD,$B:$B,'20.01'!$D:$D)*1.2</f>
        <v>0</v>
      </c>
      <c r="BM62" s="110">
        <f t="shared" si="54"/>
        <v>0</v>
      </c>
      <c r="BN62" s="17">
        <f>SUMIF('20.01'!$AE:$AE,$B:$B,'20.01'!$D:$D)*1.2</f>
        <v>0</v>
      </c>
      <c r="BO62" s="17">
        <f>SUMIF('20.01'!$AF:$AF,$B:$B,'20.01'!$D:$D)*1.2</f>
        <v>0</v>
      </c>
      <c r="BP62" s="110">
        <f>SUMIF('20.01'!$AG:$AG,$B:$B,'20.01'!$D:$D)*1.2</f>
        <v>0</v>
      </c>
      <c r="BQ62" s="110">
        <f>SUMIF('20.01'!$AH:$AH,$B:$B,'20.01'!$D:$D)*1.2</f>
        <v>0</v>
      </c>
      <c r="BR62" s="110">
        <f>SUMIF('20.01'!$AI:$AI,$B:$B,'20.01'!$D:$D)*1.2</f>
        <v>0</v>
      </c>
      <c r="BS62" s="110">
        <f t="shared" si="55"/>
        <v>0</v>
      </c>
      <c r="BT62" s="17">
        <f>SUMIF('20.01'!$AJ:$AJ,$B:$B,'20.01'!$D:$D)*1.2</f>
        <v>0</v>
      </c>
      <c r="BU62" s="17">
        <f>SUMIF('20.01'!$AK:$AK,$B:$B,'20.01'!$D:$D)*1.2</f>
        <v>0</v>
      </c>
      <c r="BV62" s="110">
        <f>SUMIF('20.01'!$AL:$AL,$B:$B,'20.01'!$D:$D)*1.2</f>
        <v>0</v>
      </c>
      <c r="BW62" s="110">
        <f>SUMIF('20.01'!$AM:$AM,$B:$B,'20.01'!$D:$D)*1.2</f>
        <v>0</v>
      </c>
      <c r="BX62" s="110">
        <f>SUMIF('20.01'!$AN:$AN,$B:$B,'20.01'!$D:$D)*1.2</f>
        <v>0</v>
      </c>
      <c r="BY62" s="110">
        <f t="shared" si="3"/>
        <v>815119.87926857662</v>
      </c>
      <c r="BZ62" s="17">
        <f t="shared" si="81"/>
        <v>738957.6370326191</v>
      </c>
      <c r="CA62" s="17">
        <f t="shared" si="5"/>
        <v>32881.143659123816</v>
      </c>
      <c r="CB62" s="17">
        <f t="shared" si="6"/>
        <v>2185.7700258037912</v>
      </c>
      <c r="CC62" s="17">
        <f>SUMIF('20.01'!$AO:$AO,$B:$B,'20.01'!$D:$D)*1.2</f>
        <v>0</v>
      </c>
      <c r="CD62" s="17">
        <f t="shared" si="7"/>
        <v>34314.369425716766</v>
      </c>
      <c r="CE62" s="17">
        <f>SUMIF('20.01'!$AQ:$AQ,$B:$B,'20.01'!$D:$D)*1.2</f>
        <v>0</v>
      </c>
      <c r="CF62" s="17">
        <f t="shared" si="8"/>
        <v>3122.0651773221493</v>
      </c>
      <c r="CG62" s="17">
        <f>SUMIF('20.01'!$AR:$AR,$B:$B,'20.01'!$D:$D)*1.2</f>
        <v>0</v>
      </c>
      <c r="CH62" s="17">
        <f t="shared" si="9"/>
        <v>1838.6698486127316</v>
      </c>
      <c r="CI62" s="17">
        <f>SUMIF('20.01'!$AT:$AT,$B:$B,'20.01'!$D:$D)*1.2</f>
        <v>0</v>
      </c>
      <c r="CJ62" s="17">
        <f>SUMIF('20.01'!$AU:$AU,$B:$B,'20.01'!$D:$D)*1.2</f>
        <v>0</v>
      </c>
      <c r="CK62" s="17">
        <f>SUMIF('20.01'!$AV:$AV,$B:$B,'20.01'!$D:$D)*1.2</f>
        <v>0</v>
      </c>
      <c r="CL62" s="17">
        <f t="shared" si="10"/>
        <v>1820.2240993782298</v>
      </c>
      <c r="CM62" s="17">
        <f>SUMIF('20.01'!$AW:$AW,$B:$B,'20.01'!$D:$D)*1.2</f>
        <v>0</v>
      </c>
      <c r="CN62" s="17">
        <f>SUMIF('20.01'!$AX:$AX,$B:$B,'20.01'!$D:$D)*1.2</f>
        <v>0</v>
      </c>
      <c r="CO62" s="110">
        <f t="shared" si="56"/>
        <v>610614.96257698385</v>
      </c>
      <c r="CP62" s="17">
        <f t="shared" si="57"/>
        <v>481678.34833178436</v>
      </c>
      <c r="CQ62" s="17">
        <f t="shared" si="11"/>
        <v>148604.39818144948</v>
      </c>
      <c r="CR62" s="17">
        <f t="shared" si="12"/>
        <v>333073.95015033492</v>
      </c>
      <c r="CS62" s="17">
        <f t="shared" si="58"/>
        <v>128936.6142451995</v>
      </c>
      <c r="CT62" s="17">
        <f t="shared" si="13"/>
        <v>4697.2739634790705</v>
      </c>
      <c r="CU62" s="17">
        <f t="shared" si="14"/>
        <v>4543.3607243851684</v>
      </c>
      <c r="CV62" s="17">
        <f t="shared" si="15"/>
        <v>4695.6626085731705</v>
      </c>
      <c r="CW62" s="17">
        <f t="shared" si="16"/>
        <v>49.239192585287412</v>
      </c>
      <c r="CX62" s="17">
        <f t="shared" si="17"/>
        <v>69333.733499987327</v>
      </c>
      <c r="CY62" s="17">
        <f t="shared" si="18"/>
        <v>45617.344256189477</v>
      </c>
      <c r="CZ62" s="110">
        <f t="shared" si="59"/>
        <v>151570.61909932882</v>
      </c>
      <c r="DA62" s="17">
        <f t="shared" si="60"/>
        <v>5725.4875099171413</v>
      </c>
      <c r="DB62" s="17">
        <f t="shared" si="19"/>
        <v>5433.2776210537468</v>
      </c>
      <c r="DC62" s="17">
        <f t="shared" si="20"/>
        <v>292.20988886339478</v>
      </c>
      <c r="DD62" s="17">
        <f t="shared" si="21"/>
        <v>10088.965754491575</v>
      </c>
      <c r="DE62" s="17">
        <f t="shared" si="22"/>
        <v>3480.9590267971489</v>
      </c>
      <c r="DF62" s="17">
        <f t="shared" si="23"/>
        <v>4224.6287296367418</v>
      </c>
      <c r="DG62" s="17">
        <f t="shared" si="61"/>
        <v>128050.5780784862</v>
      </c>
      <c r="DH62" s="110">
        <f t="shared" si="62"/>
        <v>94591.906594495609</v>
      </c>
      <c r="DI62" s="17">
        <f t="shared" si="24"/>
        <v>84852.796942001791</v>
      </c>
      <c r="DJ62" s="17">
        <f t="shared" si="25"/>
        <v>9384.2207424692278</v>
      </c>
      <c r="DK62" s="17">
        <f t="shared" si="26"/>
        <v>354.88891002459292</v>
      </c>
      <c r="DL62" s="110">
        <f t="shared" si="63"/>
        <v>715790.20894711767</v>
      </c>
      <c r="DM62" s="17">
        <f t="shared" si="27"/>
        <v>298046.73983556434</v>
      </c>
      <c r="DN62" s="17">
        <f t="shared" si="28"/>
        <v>264305.5994768212</v>
      </c>
      <c r="DO62" s="17">
        <f t="shared" si="29"/>
        <v>153437.86963473217</v>
      </c>
      <c r="DP62" s="110">
        <f t="shared" si="64"/>
        <v>46567.954375135698</v>
      </c>
      <c r="DQ62" s="17">
        <f>SUMIF('20.01'!$BB:$BB,$B:$B,'20.01'!$D:$D)*1.2</f>
        <v>7106.3759999999993</v>
      </c>
      <c r="DR62" s="17">
        <f t="shared" si="30"/>
        <v>39171.199159292781</v>
      </c>
      <c r="DS62" s="17">
        <f t="shared" si="31"/>
        <v>290.37921584292417</v>
      </c>
      <c r="DT62" s="110">
        <f t="shared" si="65"/>
        <v>0</v>
      </c>
      <c r="DU62" s="17">
        <f>SUMIF('20.01'!$BD:$BD,$B:$B,'20.01'!$D:$D)*1.2</f>
        <v>0</v>
      </c>
      <c r="DV62" s="17">
        <f t="shared" si="32"/>
        <v>0</v>
      </c>
      <c r="DW62" s="17">
        <f t="shared" si="33"/>
        <v>0</v>
      </c>
      <c r="DX62" s="110">
        <f t="shared" si="34"/>
        <v>2759253.0279541896</v>
      </c>
      <c r="DY62" s="110"/>
      <c r="DZ62" s="110">
        <f t="shared" si="66"/>
        <v>2759253.0279541896</v>
      </c>
      <c r="EA62" s="257"/>
      <c r="EB62" s="110">
        <f t="shared" si="35"/>
        <v>886.55421686746979</v>
      </c>
      <c r="EC62" s="110">
        <f>SUMIF(еирц!$B:$B,$B:$B,еирц!$K:$K)</f>
        <v>2324584.2000000002</v>
      </c>
      <c r="ED62" s="110">
        <f>SUMIF(еирц!$B:$B,$B:$B,еирц!$P:$P)</f>
        <v>2322451.7599999998</v>
      </c>
      <c r="EE62" s="110">
        <f>SUMIF(еирц!$B:$B,$B:$B,еирц!$S:$S)</f>
        <v>306483.80000000005</v>
      </c>
      <c r="EF62" s="177">
        <f t="shared" si="67"/>
        <v>-433782.27373732207</v>
      </c>
      <c r="EG62" s="181">
        <f t="shared" si="68"/>
        <v>0</v>
      </c>
      <c r="EH62" s="177">
        <f t="shared" si="69"/>
        <v>-433782.27373732207</v>
      </c>
    </row>
    <row r="63" spans="1:138" ht="12" customHeight="1" x14ac:dyDescent="0.25">
      <c r="A63" s="5">
        <f t="shared" si="70"/>
        <v>59</v>
      </c>
      <c r="B63" s="6" t="s">
        <v>140</v>
      </c>
      <c r="C63" s="7">
        <f t="shared" si="0"/>
        <v>5275.3899999999967</v>
      </c>
      <c r="D63" s="8">
        <v>5275.3899999999967</v>
      </c>
      <c r="E63" s="8">
        <v>0</v>
      </c>
      <c r="F63" s="8">
        <v>932.6</v>
      </c>
      <c r="G63" s="91">
        <f t="shared" si="1"/>
        <v>5275.3899999999967</v>
      </c>
      <c r="H63" s="87">
        <f t="shared" si="2"/>
        <v>0</v>
      </c>
      <c r="I63" s="91">
        <v>2</v>
      </c>
      <c r="J63" s="112">
        <v>1.419836569507765E-3</v>
      </c>
      <c r="K63" s="17">
        <v>1</v>
      </c>
      <c r="L63" s="112">
        <f t="shared" si="36"/>
        <v>2.4096385542168672E-3</v>
      </c>
      <c r="M63" s="116">
        <v>3.4064169809173341</v>
      </c>
      <c r="N63" s="120">
        <f t="shared" si="37"/>
        <v>5275.3899999999967</v>
      </c>
      <c r="O63" s="116">
        <v>3.0862302211768275</v>
      </c>
      <c r="P63" s="120">
        <f t="shared" si="38"/>
        <v>5275.3899999999967</v>
      </c>
      <c r="Q63" s="116">
        <v>1.6009275617436169</v>
      </c>
      <c r="R63" s="120">
        <f t="shared" si="39"/>
        <v>5275.3899999999967</v>
      </c>
      <c r="S63" s="5" t="s">
        <v>102</v>
      </c>
      <c r="T63" s="87">
        <v>36.54</v>
      </c>
      <c r="U63" s="88">
        <v>4.03</v>
      </c>
      <c r="V63" s="88">
        <v>7</v>
      </c>
      <c r="W63" s="88">
        <v>11</v>
      </c>
      <c r="X63" s="88">
        <v>5.4</v>
      </c>
      <c r="Y63" s="88">
        <v>2.67</v>
      </c>
      <c r="Z63" s="88">
        <v>1.54</v>
      </c>
      <c r="AA63" s="88">
        <v>4.9000000000000004</v>
      </c>
      <c r="AB63" s="88">
        <v>0</v>
      </c>
      <c r="AC63" s="257"/>
      <c r="AD63" s="110">
        <f t="shared" si="40"/>
        <v>216901.42282659403</v>
      </c>
      <c r="AE63" s="110">
        <f t="shared" si="41"/>
        <v>215419.50215801166</v>
      </c>
      <c r="AF63" s="16">
        <f>SUMIF('20.01'!$I:$I,$B:$B,'20.01'!$D:$D)*1.2</f>
        <v>119115.024</v>
      </c>
      <c r="AG63" s="17">
        <f t="shared" si="80"/>
        <v>19619.868227648411</v>
      </c>
      <c r="AH63" s="17">
        <f t="shared" si="43"/>
        <v>4028.2825116728932</v>
      </c>
      <c r="AI63" s="16">
        <f>SUMIF('20.01'!$J:$J,$B:$B,'20.01'!$D:$D)*1.2</f>
        <v>0</v>
      </c>
      <c r="AJ63" s="17">
        <f t="shared" si="44"/>
        <v>1637.0034484092346</v>
      </c>
      <c r="AK63" s="17">
        <f t="shared" si="45"/>
        <v>3982.4657219562187</v>
      </c>
      <c r="AL63" s="17">
        <f t="shared" si="46"/>
        <v>67036.85824832489</v>
      </c>
      <c r="AM63" s="110">
        <f t="shared" si="47"/>
        <v>0</v>
      </c>
      <c r="AN63" s="17">
        <f>SUMIF('20.01'!$K:$K,$B:$B,'20.01'!$D:$D)*1.2</f>
        <v>0</v>
      </c>
      <c r="AO63" s="17">
        <f>SUMIF('20.01'!$L:$L,$B:$B,'20.01'!$D:$D)*1.2</f>
        <v>0</v>
      </c>
      <c r="AP63" s="17">
        <f>SUMIF('20.01'!$M:$M,$B:$B,'20.01'!$D:$D)*1.2</f>
        <v>0</v>
      </c>
      <c r="AQ63" s="110">
        <f t="shared" si="48"/>
        <v>1481.9206685823742</v>
      </c>
      <c r="AR63" s="17">
        <f t="shared" si="49"/>
        <v>1481.9206685823742</v>
      </c>
      <c r="AS63" s="17">
        <f>(SUMIF('20.01'!$N:$N,$B:$B,'20.01'!$D:$D)+SUMIF('20.01'!$O:$O,$B:$B,'20.01'!$D:$D))*1.2</f>
        <v>0</v>
      </c>
      <c r="AT63" s="110">
        <f>SUMIF('20.01'!$P:$P,$B:$B,'20.01'!$D:$D)*1.2</f>
        <v>0</v>
      </c>
      <c r="AU63" s="110">
        <f t="shared" si="50"/>
        <v>0</v>
      </c>
      <c r="AV63" s="17">
        <f>SUMIF('20.01'!$Q:$Q,$B:$B,'20.01'!$D:$D)*1.2</f>
        <v>0</v>
      </c>
      <c r="AW63" s="17">
        <f>SUMIF('20.01'!$R:$R,$B:$B,'20.01'!$D:$D)*1.2</f>
        <v>0</v>
      </c>
      <c r="AX63" s="110">
        <f t="shared" si="51"/>
        <v>0</v>
      </c>
      <c r="AY63" s="17">
        <f>SUMIF('20.01'!$S:$S,$B:$B,'20.01'!$D:$D)*1.2</f>
        <v>0</v>
      </c>
      <c r="AZ63" s="17">
        <f>SUMIF('20.01'!$T:$T,$B:$B,'20.01'!$D:$D)*1.2</f>
        <v>0</v>
      </c>
      <c r="BA63" s="110">
        <f t="shared" si="52"/>
        <v>0</v>
      </c>
      <c r="BB63" s="17">
        <f>SUMIF('20.01'!$U:$U,$B:$B,'20.01'!$D:$D)*1.2</f>
        <v>0</v>
      </c>
      <c r="BC63" s="17">
        <f>SUMIF('20.01'!$V:$V,$B:$B,'20.01'!$D:$D)*1.2</f>
        <v>0</v>
      </c>
      <c r="BD63" s="17">
        <f>SUMIF('20.01'!$W:$W,$B:$B,'20.01'!$D:$D)*1.2</f>
        <v>0</v>
      </c>
      <c r="BE63" s="110">
        <f>SUMIF('20.01'!$X:$X,$B:$B,'20.01'!$D:$D)*1.2</f>
        <v>0</v>
      </c>
      <c r="BF63" s="110">
        <f t="shared" si="53"/>
        <v>0</v>
      </c>
      <c r="BG63" s="17">
        <f>SUMIF('20.01'!$Y:$Y,$B:$B,'20.01'!$D:$D)*1.2</f>
        <v>0</v>
      </c>
      <c r="BH63" s="17">
        <f>SUMIF('20.01'!$Z:$Z,$B:$B,'20.01'!$D:$D)*1.2</f>
        <v>0</v>
      </c>
      <c r="BI63" s="17">
        <f>SUMIF('20.01'!$AA:$AA,$B:$B,'20.01'!$D:$D)*1.2</f>
        <v>0</v>
      </c>
      <c r="BJ63" s="17">
        <f>SUMIF('20.01'!$AB:$AB,$B:$B,'20.01'!$D:$D)*1.2</f>
        <v>0</v>
      </c>
      <c r="BK63" s="17">
        <f>SUMIF('20.01'!$AC:$AC,$B:$B,'20.01'!$D:$D)*1.2</f>
        <v>0</v>
      </c>
      <c r="BL63" s="17">
        <f>SUMIF('20.01'!$AD:$AD,$B:$B,'20.01'!$D:$D)*1.2</f>
        <v>0</v>
      </c>
      <c r="BM63" s="110">
        <f t="shared" si="54"/>
        <v>0</v>
      </c>
      <c r="BN63" s="17">
        <f>SUMIF('20.01'!$AE:$AE,$B:$B,'20.01'!$D:$D)*1.2</f>
        <v>0</v>
      </c>
      <c r="BO63" s="17">
        <f>SUMIF('20.01'!$AF:$AF,$B:$B,'20.01'!$D:$D)*1.2</f>
        <v>0</v>
      </c>
      <c r="BP63" s="110">
        <f>SUMIF('20.01'!$AG:$AG,$B:$B,'20.01'!$D:$D)*1.2</f>
        <v>0</v>
      </c>
      <c r="BQ63" s="110">
        <f>SUMIF('20.01'!$AH:$AH,$B:$B,'20.01'!$D:$D)*1.2</f>
        <v>0</v>
      </c>
      <c r="BR63" s="110">
        <f>SUMIF('20.01'!$AI:$AI,$B:$B,'20.01'!$D:$D)*1.2</f>
        <v>0</v>
      </c>
      <c r="BS63" s="110">
        <f t="shared" si="55"/>
        <v>0</v>
      </c>
      <c r="BT63" s="17">
        <f>SUMIF('20.01'!$AJ:$AJ,$B:$B,'20.01'!$D:$D)*1.2</f>
        <v>0</v>
      </c>
      <c r="BU63" s="17">
        <f>SUMIF('20.01'!$AK:$AK,$B:$B,'20.01'!$D:$D)*1.2</f>
        <v>0</v>
      </c>
      <c r="BV63" s="110">
        <f>SUMIF('20.01'!$AL:$AL,$B:$B,'20.01'!$D:$D)*1.2</f>
        <v>0</v>
      </c>
      <c r="BW63" s="110">
        <f>SUMIF('20.01'!$AM:$AM,$B:$B,'20.01'!$D:$D)*1.2</f>
        <v>0</v>
      </c>
      <c r="BX63" s="110">
        <f>SUMIF('20.01'!$AN:$AN,$B:$B,'20.01'!$D:$D)*1.2</f>
        <v>0</v>
      </c>
      <c r="BY63" s="110">
        <f t="shared" si="3"/>
        <v>811111.51643031416</v>
      </c>
      <c r="BZ63" s="17">
        <f t="shared" si="81"/>
        <v>735323.8030326562</v>
      </c>
      <c r="CA63" s="17">
        <f t="shared" si="5"/>
        <v>32719.45019822937</v>
      </c>
      <c r="CB63" s="17">
        <f t="shared" si="6"/>
        <v>2175.021472655656</v>
      </c>
      <c r="CC63" s="17">
        <f>SUMIF('20.01'!$AO:$AO,$B:$B,'20.01'!$D:$D)*1.2</f>
        <v>0</v>
      </c>
      <c r="CD63" s="17">
        <f t="shared" si="7"/>
        <v>34145.628058069255</v>
      </c>
      <c r="CE63" s="17">
        <f>SUMIF('20.01'!$AQ:$AQ,$B:$B,'20.01'!$D:$D)*1.2</f>
        <v>0</v>
      </c>
      <c r="CF63" s="17">
        <f t="shared" si="8"/>
        <v>3106.7123803241907</v>
      </c>
      <c r="CG63" s="17">
        <f>SUMIF('20.01'!$AR:$AR,$B:$B,'20.01'!$D:$D)*1.2</f>
        <v>0</v>
      </c>
      <c r="CH63" s="17">
        <f t="shared" si="9"/>
        <v>1829.6281651984759</v>
      </c>
      <c r="CI63" s="17">
        <f>SUMIF('20.01'!$AT:$AT,$B:$B,'20.01'!$D:$D)*1.2</f>
        <v>0</v>
      </c>
      <c r="CJ63" s="17">
        <f>SUMIF('20.01'!$AU:$AU,$B:$B,'20.01'!$D:$D)*1.2</f>
        <v>0</v>
      </c>
      <c r="CK63" s="17">
        <f>SUMIF('20.01'!$AV:$AV,$B:$B,'20.01'!$D:$D)*1.2</f>
        <v>0</v>
      </c>
      <c r="CL63" s="17">
        <f t="shared" si="10"/>
        <v>1811.2731231809564</v>
      </c>
      <c r="CM63" s="17">
        <f>SUMIF('20.01'!$AW:$AW,$B:$B,'20.01'!$D:$D)*1.2</f>
        <v>0</v>
      </c>
      <c r="CN63" s="17">
        <f>SUMIF('20.01'!$AX:$AX,$B:$B,'20.01'!$D:$D)*1.2</f>
        <v>0</v>
      </c>
      <c r="CO63" s="110">
        <f t="shared" si="56"/>
        <v>607612.25538417581</v>
      </c>
      <c r="CP63" s="17">
        <f t="shared" si="57"/>
        <v>479309.68865293905</v>
      </c>
      <c r="CQ63" s="17">
        <f t="shared" si="11"/>
        <v>147873.63407861916</v>
      </c>
      <c r="CR63" s="17">
        <f t="shared" si="12"/>
        <v>331436.05457431992</v>
      </c>
      <c r="CS63" s="17">
        <f t="shared" si="58"/>
        <v>128302.56673123679</v>
      </c>
      <c r="CT63" s="17">
        <f t="shared" si="13"/>
        <v>4674.1750563425621</v>
      </c>
      <c r="CU63" s="17">
        <f t="shared" si="14"/>
        <v>4521.0186876472253</v>
      </c>
      <c r="CV63" s="17">
        <f t="shared" si="15"/>
        <v>4672.5716252958246</v>
      </c>
      <c r="CW63" s="17">
        <f t="shared" si="16"/>
        <v>48.997058201419833</v>
      </c>
      <c r="CX63" s="17">
        <f t="shared" si="17"/>
        <v>68992.783944139519</v>
      </c>
      <c r="CY63" s="17">
        <f t="shared" si="18"/>
        <v>45393.020359610229</v>
      </c>
      <c r="CZ63" s="110">
        <f t="shared" si="59"/>
        <v>150825.26856571733</v>
      </c>
      <c r="DA63" s="17">
        <f t="shared" si="60"/>
        <v>5697.3323490023067</v>
      </c>
      <c r="DB63" s="17">
        <f t="shared" si="19"/>
        <v>5406.5594061505144</v>
      </c>
      <c r="DC63" s="17">
        <f t="shared" si="20"/>
        <v>290.77294285179238</v>
      </c>
      <c r="DD63" s="17">
        <f t="shared" si="21"/>
        <v>10039.353131323687</v>
      </c>
      <c r="DE63" s="17">
        <f t="shared" si="22"/>
        <v>3463.8413645251308</v>
      </c>
      <c r="DF63" s="17">
        <f t="shared" si="23"/>
        <v>4203.8540617185372</v>
      </c>
      <c r="DG63" s="17">
        <f t="shared" si="61"/>
        <v>127420.88765914766</v>
      </c>
      <c r="DH63" s="110">
        <f t="shared" si="62"/>
        <v>94126.749636804932</v>
      </c>
      <c r="DI63" s="17">
        <f t="shared" si="24"/>
        <v>84435.532185448261</v>
      </c>
      <c r="DJ63" s="17">
        <f t="shared" si="25"/>
        <v>9338.0737122631708</v>
      </c>
      <c r="DK63" s="17">
        <f t="shared" si="26"/>
        <v>353.14373909350178</v>
      </c>
      <c r="DL63" s="110">
        <f t="shared" si="63"/>
        <v>712270.3010826325</v>
      </c>
      <c r="DM63" s="17">
        <f t="shared" si="27"/>
        <v>296581.09103174158</v>
      </c>
      <c r="DN63" s="17">
        <f t="shared" si="28"/>
        <v>263005.87317909161</v>
      </c>
      <c r="DO63" s="17">
        <f t="shared" si="29"/>
        <v>152683.33687179931</v>
      </c>
      <c r="DP63" s="110">
        <f t="shared" si="64"/>
        <v>45772.561620489541</v>
      </c>
      <c r="DQ63" s="17">
        <f>SUMIF('20.01'!$BB:$BB,$B:$B,'20.01'!$D:$D)*1.2</f>
        <v>6559.4879999999994</v>
      </c>
      <c r="DR63" s="17">
        <f t="shared" si="30"/>
        <v>38924.523034386199</v>
      </c>
      <c r="DS63" s="17">
        <f t="shared" si="31"/>
        <v>288.550586103348</v>
      </c>
      <c r="DT63" s="110">
        <f t="shared" si="65"/>
        <v>0</v>
      </c>
      <c r="DU63" s="17">
        <f>SUMIF('20.01'!$BD:$BD,$B:$B,'20.01'!$D:$D)*1.2</f>
        <v>0</v>
      </c>
      <c r="DV63" s="17">
        <f t="shared" si="32"/>
        <v>0</v>
      </c>
      <c r="DW63" s="17">
        <f t="shared" si="33"/>
        <v>0</v>
      </c>
      <c r="DX63" s="110">
        <f t="shared" si="34"/>
        <v>2638620.0755467284</v>
      </c>
      <c r="DY63" s="110"/>
      <c r="DZ63" s="110">
        <f t="shared" si="66"/>
        <v>2638620.0755467284</v>
      </c>
      <c r="EA63" s="257"/>
      <c r="EB63" s="110">
        <f t="shared" si="35"/>
        <v>886.55421686746979</v>
      </c>
      <c r="EC63" s="110">
        <f>SUMIF(еирц!$B:$B,$B:$B,еирц!$K:$K)</f>
        <v>2312751.77</v>
      </c>
      <c r="ED63" s="110">
        <f>SUMIF(еирц!$B:$B,$B:$B,еирц!$P:$P)</f>
        <v>2340072.0499999998</v>
      </c>
      <c r="EE63" s="110">
        <f>SUMIF(еирц!$B:$B,$B:$B,еирц!$S:$S)</f>
        <v>234224.31</v>
      </c>
      <c r="EF63" s="177">
        <f t="shared" si="67"/>
        <v>-324981.75132986112</v>
      </c>
      <c r="EG63" s="181">
        <f t="shared" si="68"/>
        <v>0</v>
      </c>
      <c r="EH63" s="177">
        <f t="shared" si="69"/>
        <v>-324981.75132986112</v>
      </c>
    </row>
    <row r="64" spans="1:138" ht="12" customHeight="1" x14ac:dyDescent="0.25">
      <c r="A64" s="5">
        <f t="shared" si="70"/>
        <v>60</v>
      </c>
      <c r="B64" s="6" t="s">
        <v>141</v>
      </c>
      <c r="C64" s="7">
        <f t="shared" si="0"/>
        <v>4404.8</v>
      </c>
      <c r="D64" s="8">
        <v>4242.8</v>
      </c>
      <c r="E64" s="8">
        <v>162</v>
      </c>
      <c r="F64" s="8">
        <v>1118.2</v>
      </c>
      <c r="G64" s="91">
        <f t="shared" si="1"/>
        <v>4404.8</v>
      </c>
      <c r="H64" s="87">
        <f t="shared" si="2"/>
        <v>0</v>
      </c>
      <c r="I64" s="91">
        <v>2</v>
      </c>
      <c r="J64" s="112">
        <v>6.9142599594203972E-3</v>
      </c>
      <c r="K64" s="17">
        <v>0</v>
      </c>
      <c r="L64" s="112">
        <f t="shared" si="36"/>
        <v>0</v>
      </c>
      <c r="M64" s="116">
        <v>3.4064168470737743</v>
      </c>
      <c r="N64" s="120">
        <f t="shared" si="37"/>
        <v>4404.8</v>
      </c>
      <c r="O64" s="116">
        <v>3.086232237275059</v>
      </c>
      <c r="P64" s="120">
        <f t="shared" si="38"/>
        <v>4404.8</v>
      </c>
      <c r="Q64" s="116">
        <v>1.6009280232373433</v>
      </c>
      <c r="R64" s="120">
        <f t="shared" si="39"/>
        <v>4404.8</v>
      </c>
      <c r="S64" s="5" t="s">
        <v>98</v>
      </c>
      <c r="T64" s="87">
        <v>41.1</v>
      </c>
      <c r="U64" s="88">
        <v>4.68</v>
      </c>
      <c r="V64" s="88">
        <v>7.92</v>
      </c>
      <c r="W64" s="88">
        <v>12.32</v>
      </c>
      <c r="X64" s="88">
        <v>6.34</v>
      </c>
      <c r="Y64" s="88">
        <v>2.89</v>
      </c>
      <c r="Z64" s="88">
        <v>1.66</v>
      </c>
      <c r="AA64" s="88">
        <v>5.29</v>
      </c>
      <c r="AB64" s="88">
        <v>0</v>
      </c>
      <c r="AC64" s="257"/>
      <c r="AD64" s="110">
        <f t="shared" si="40"/>
        <v>362223.83754398674</v>
      </c>
      <c r="AE64" s="110">
        <f t="shared" si="41"/>
        <v>127151.02010512218</v>
      </c>
      <c r="AF64" s="16">
        <f>SUMIF('20.01'!$I:$I,$B:$B,'20.01'!$D:$D)*1.2</f>
        <v>53763.48</v>
      </c>
      <c r="AG64" s="17">
        <f>IF(S64=$S$248,$AG$248,0)/$G$248*G64</f>
        <v>9358.0807056722333</v>
      </c>
      <c r="AH64" s="17">
        <f t="shared" si="43"/>
        <v>3363.5008610580016</v>
      </c>
      <c r="AI64" s="16">
        <f>SUMIF('20.01'!$J:$J,$B:$B,'20.01'!$D:$D)*1.2</f>
        <v>0</v>
      </c>
      <c r="AJ64" s="17">
        <f t="shared" si="44"/>
        <v>1366.8511313008141</v>
      </c>
      <c r="AK64" s="17">
        <f t="shared" si="45"/>
        <v>3325.2451500406155</v>
      </c>
      <c r="AL64" s="17">
        <f t="shared" si="46"/>
        <v>55973.862257050503</v>
      </c>
      <c r="AM64" s="110">
        <f t="shared" si="47"/>
        <v>0</v>
      </c>
      <c r="AN64" s="17">
        <f>SUMIF('20.01'!$K:$K,$B:$B,'20.01'!$D:$D)*1.2</f>
        <v>0</v>
      </c>
      <c r="AO64" s="17">
        <f>SUMIF('20.01'!$L:$L,$B:$B,'20.01'!$D:$D)*1.2</f>
        <v>0</v>
      </c>
      <c r="AP64" s="17">
        <f>SUMIF('20.01'!$M:$M,$B:$B,'20.01'!$D:$D)*1.2</f>
        <v>0</v>
      </c>
      <c r="AQ64" s="110">
        <f t="shared" si="48"/>
        <v>1237.3614388645476</v>
      </c>
      <c r="AR64" s="17">
        <f t="shared" si="49"/>
        <v>1237.3614388645476</v>
      </c>
      <c r="AS64" s="17">
        <f>(SUMIF('20.01'!$N:$N,$B:$B,'20.01'!$D:$D)+SUMIF('20.01'!$O:$O,$B:$B,'20.01'!$D:$D))*1.2</f>
        <v>0</v>
      </c>
      <c r="AT64" s="110">
        <f>SUMIF('20.01'!$P:$P,$B:$B,'20.01'!$D:$D)*1.2</f>
        <v>0</v>
      </c>
      <c r="AU64" s="110">
        <f t="shared" si="50"/>
        <v>0</v>
      </c>
      <c r="AV64" s="17">
        <f>SUMIF('20.01'!$Q:$Q,$B:$B,'20.01'!$D:$D)*1.2</f>
        <v>0</v>
      </c>
      <c r="AW64" s="17">
        <f>SUMIF('20.01'!$R:$R,$B:$B,'20.01'!$D:$D)*1.2</f>
        <v>0</v>
      </c>
      <c r="AX64" s="110">
        <f t="shared" si="51"/>
        <v>183085.45199999999</v>
      </c>
      <c r="AY64" s="17">
        <f>SUMIF('20.01'!$S:$S,$B:$B,'20.01'!$D:$D)*1.2</f>
        <v>183085.45199999999</v>
      </c>
      <c r="AZ64" s="17">
        <f>SUMIF('20.01'!$T:$T,$B:$B,'20.01'!$D:$D)*1.2</f>
        <v>0</v>
      </c>
      <c r="BA64" s="110">
        <f t="shared" si="52"/>
        <v>0</v>
      </c>
      <c r="BB64" s="17">
        <f>SUMIF('20.01'!$U:$U,$B:$B,'20.01'!$D:$D)*1.2</f>
        <v>0</v>
      </c>
      <c r="BC64" s="17">
        <f>SUMIF('20.01'!$V:$V,$B:$B,'20.01'!$D:$D)*1.2</f>
        <v>0</v>
      </c>
      <c r="BD64" s="17">
        <f>SUMIF('20.01'!$W:$W,$B:$B,'20.01'!$D:$D)*1.2</f>
        <v>0</v>
      </c>
      <c r="BE64" s="110">
        <f>SUMIF('20.01'!$X:$X,$B:$B,'20.01'!$D:$D)*1.2</f>
        <v>0</v>
      </c>
      <c r="BF64" s="110">
        <f t="shared" si="53"/>
        <v>0</v>
      </c>
      <c r="BG64" s="17">
        <f>SUMIF('20.01'!$Y:$Y,$B:$B,'20.01'!$D:$D)*1.2</f>
        <v>0</v>
      </c>
      <c r="BH64" s="17">
        <f>SUMIF('20.01'!$Z:$Z,$B:$B,'20.01'!$D:$D)*1.2</f>
        <v>0</v>
      </c>
      <c r="BI64" s="17">
        <f>SUMIF('20.01'!$AA:$AA,$B:$B,'20.01'!$D:$D)*1.2</f>
        <v>0</v>
      </c>
      <c r="BJ64" s="17">
        <f>SUMIF('20.01'!$AB:$AB,$B:$B,'20.01'!$D:$D)*1.2</f>
        <v>0</v>
      </c>
      <c r="BK64" s="17">
        <f>SUMIF('20.01'!$AC:$AC,$B:$B,'20.01'!$D:$D)*1.2</f>
        <v>0</v>
      </c>
      <c r="BL64" s="17">
        <f>SUMIF('20.01'!$AD:$AD,$B:$B,'20.01'!$D:$D)*1.2</f>
        <v>0</v>
      </c>
      <c r="BM64" s="110">
        <f t="shared" si="54"/>
        <v>50750.003999999994</v>
      </c>
      <c r="BN64" s="17">
        <f>SUMIF('20.01'!$AE:$AE,$B:$B,'20.01'!$D:$D)*1.2</f>
        <v>50750.003999999994</v>
      </c>
      <c r="BO64" s="17">
        <f>SUMIF('20.01'!$AF:$AF,$B:$B,'20.01'!$D:$D)*1.2</f>
        <v>0</v>
      </c>
      <c r="BP64" s="110">
        <f>SUMIF('20.01'!$AG:$AG,$B:$B,'20.01'!$D:$D)*1.2</f>
        <v>0</v>
      </c>
      <c r="BQ64" s="110">
        <f>SUMIF('20.01'!$AH:$AH,$B:$B,'20.01'!$D:$D)*1.2</f>
        <v>0</v>
      </c>
      <c r="BR64" s="110">
        <f>SUMIF('20.01'!$AI:$AI,$B:$B,'20.01'!$D:$D)*1.2</f>
        <v>0</v>
      </c>
      <c r="BS64" s="110">
        <f t="shared" si="55"/>
        <v>0</v>
      </c>
      <c r="BT64" s="17">
        <f>SUMIF('20.01'!$AJ:$AJ,$B:$B,'20.01'!$D:$D)*1.2</f>
        <v>0</v>
      </c>
      <c r="BU64" s="17">
        <f>SUMIF('20.01'!$AK:$AK,$B:$B,'20.01'!$D:$D)*1.2</f>
        <v>0</v>
      </c>
      <c r="BV64" s="110">
        <f>SUMIF('20.01'!$AL:$AL,$B:$B,'20.01'!$D:$D)*1.2</f>
        <v>0</v>
      </c>
      <c r="BW64" s="110">
        <f>SUMIF('20.01'!$AM:$AM,$B:$B,'20.01'!$D:$D)*1.2</f>
        <v>0</v>
      </c>
      <c r="BX64" s="110">
        <f>SUMIF('20.01'!$AN:$AN,$B:$B,'20.01'!$D:$D)*1.2</f>
        <v>0</v>
      </c>
      <c r="BY64" s="110">
        <f t="shared" si="3"/>
        <v>287012.92172202771</v>
      </c>
      <c r="BZ64" s="17">
        <f>IF(S64=$S$248,$BZ$248,0)/$G$248*G64</f>
        <v>223732.34531459547</v>
      </c>
      <c r="CA64" s="17">
        <f t="shared" si="5"/>
        <v>27319.806541916489</v>
      </c>
      <c r="CB64" s="17">
        <f t="shared" si="6"/>
        <v>1816.0808172957147</v>
      </c>
      <c r="CC64" s="17">
        <f>SUMIF('20.01'!$AO:$AO,$B:$B,'20.01'!$D:$D)*1.2</f>
        <v>0</v>
      </c>
      <c r="CD64" s="17">
        <f t="shared" si="7"/>
        <v>28510.624327335718</v>
      </c>
      <c r="CE64" s="17">
        <f>SUMIF('20.01'!$AQ:$AQ,$B:$B,'20.01'!$D:$D)*1.2</f>
        <v>0</v>
      </c>
      <c r="CF64" s="17">
        <f t="shared" si="8"/>
        <v>2594.0161187802237</v>
      </c>
      <c r="CG64" s="17">
        <f>SUMIF('20.01'!$AR:$AR,$B:$B,'20.01'!$D:$D)*1.2</f>
        <v>0</v>
      </c>
      <c r="CH64" s="17">
        <f t="shared" si="9"/>
        <v>1527.6872690106802</v>
      </c>
      <c r="CI64" s="17">
        <f>SUMIF('20.01'!$AT:$AT,$B:$B,'20.01'!$D:$D)*1.2</f>
        <v>0</v>
      </c>
      <c r="CJ64" s="17">
        <f>SUMIF('20.01'!$AU:$AU,$B:$B,'20.01'!$D:$D)*1.2</f>
        <v>0</v>
      </c>
      <c r="CK64" s="17">
        <f>SUMIF('20.01'!$AV:$AV,$B:$B,'20.01'!$D:$D)*1.2</f>
        <v>0</v>
      </c>
      <c r="CL64" s="17">
        <f t="shared" si="10"/>
        <v>1512.3613330933792</v>
      </c>
      <c r="CM64" s="17">
        <f>SUMIF('20.01'!$AW:$AW,$B:$B,'20.01'!$D:$D)*1.2</f>
        <v>0</v>
      </c>
      <c r="CN64" s="17">
        <f>SUMIF('20.01'!$AX:$AX,$B:$B,'20.01'!$D:$D)*1.2</f>
        <v>0</v>
      </c>
      <c r="CO64" s="110">
        <f t="shared" si="56"/>
        <v>507338.88158339378</v>
      </c>
      <c r="CP64" s="17">
        <f t="shared" si="57"/>
        <v>400209.90231593634</v>
      </c>
      <c r="CQ64" s="17">
        <f t="shared" si="11"/>
        <v>123470.26160899992</v>
      </c>
      <c r="CR64" s="17">
        <f t="shared" si="12"/>
        <v>276739.64070693642</v>
      </c>
      <c r="CS64" s="17">
        <f t="shared" si="58"/>
        <v>107128.97926745741</v>
      </c>
      <c r="CT64" s="17">
        <f t="shared" si="13"/>
        <v>3902.8026910195704</v>
      </c>
      <c r="CU64" s="17">
        <f t="shared" si="14"/>
        <v>3774.9214968653523</v>
      </c>
      <c r="CV64" s="17">
        <f t="shared" si="15"/>
        <v>3901.4638718849337</v>
      </c>
      <c r="CW64" s="17">
        <f t="shared" si="16"/>
        <v>40.911144382806619</v>
      </c>
      <c r="CX64" s="17">
        <f t="shared" si="17"/>
        <v>57607.004357430626</v>
      </c>
      <c r="CY64" s="17">
        <f t="shared" si="18"/>
        <v>37901.875705874125</v>
      </c>
      <c r="CZ64" s="110">
        <f t="shared" si="59"/>
        <v>125934.79211551601</v>
      </c>
      <c r="DA64" s="17">
        <f t="shared" si="60"/>
        <v>4757.1098119542585</v>
      </c>
      <c r="DB64" s="17">
        <f t="shared" si="19"/>
        <v>4514.3227083138499</v>
      </c>
      <c r="DC64" s="17">
        <f t="shared" si="20"/>
        <v>242.78710364040873</v>
      </c>
      <c r="DD64" s="17">
        <f t="shared" si="21"/>
        <v>8382.5731695390496</v>
      </c>
      <c r="DE64" s="17">
        <f t="shared" si="22"/>
        <v>2892.2086220090468</v>
      </c>
      <c r="DF64" s="17">
        <f t="shared" si="23"/>
        <v>3510.0980915264704</v>
      </c>
      <c r="DG64" s="17">
        <f t="shared" si="61"/>
        <v>106392.80242048719</v>
      </c>
      <c r="DH64" s="110">
        <f t="shared" si="62"/>
        <v>78593.14795687118</v>
      </c>
      <c r="DI64" s="17">
        <f t="shared" si="24"/>
        <v>70501.258138348581</v>
      </c>
      <c r="DJ64" s="17">
        <f t="shared" si="25"/>
        <v>7797.0248811513165</v>
      </c>
      <c r="DK64" s="17">
        <f t="shared" si="26"/>
        <v>294.86493737127637</v>
      </c>
      <c r="DL64" s="110">
        <f t="shared" si="63"/>
        <v>594725.36100814957</v>
      </c>
      <c r="DM64" s="17">
        <f t="shared" si="27"/>
        <v>247636.74150662153</v>
      </c>
      <c r="DN64" s="17">
        <f t="shared" si="28"/>
        <v>219602.39341153231</v>
      </c>
      <c r="DO64" s="17">
        <f t="shared" si="29"/>
        <v>127486.22608999565</v>
      </c>
      <c r="DP64" s="110">
        <f t="shared" si="64"/>
        <v>190958.16423009263</v>
      </c>
      <c r="DQ64" s="17">
        <f>SUMIF('20.01'!$BB:$BB,$B:$B,'20.01'!$D:$D)*1.2</f>
        <v>0</v>
      </c>
      <c r="DR64" s="17">
        <f t="shared" si="30"/>
        <v>189552.99281346027</v>
      </c>
      <c r="DS64" s="17">
        <f t="shared" si="31"/>
        <v>1405.1714166323673</v>
      </c>
      <c r="DT64" s="110">
        <f t="shared" si="65"/>
        <v>0</v>
      </c>
      <c r="DU64" s="17">
        <f>SUMIF('20.01'!$BD:$BD,$B:$B,'20.01'!$D:$D)*1.2</f>
        <v>0</v>
      </c>
      <c r="DV64" s="17">
        <f t="shared" si="32"/>
        <v>0</v>
      </c>
      <c r="DW64" s="17">
        <f t="shared" si="33"/>
        <v>0</v>
      </c>
      <c r="DX64" s="110">
        <f t="shared" si="34"/>
        <v>2146787.1061600377</v>
      </c>
      <c r="DY64" s="110">
        <f>EC64*EG64</f>
        <v>41046.547200000001</v>
      </c>
      <c r="DZ64" s="110">
        <f t="shared" si="66"/>
        <v>2187833.6533600376</v>
      </c>
      <c r="EA64" s="257"/>
      <c r="EB64" s="110">
        <f t="shared" si="35"/>
        <v>0</v>
      </c>
      <c r="EC64" s="110">
        <f>SUMIF(еирц!$B:$B,$B:$B,еирц!$K:$K)</f>
        <v>2052327.36</v>
      </c>
      <c r="ED64" s="110">
        <f>SUMIF(еирц!$B:$B,$B:$B,еирц!$P:$P)</f>
        <v>2010174.2199999997</v>
      </c>
      <c r="EE64" s="110">
        <f>SUMIF(еирц!$B:$B,$B:$B,еирц!$S:$S)</f>
        <v>275605.24</v>
      </c>
      <c r="EF64" s="177">
        <f t="shared" si="67"/>
        <v>-94459.746160037583</v>
      </c>
      <c r="EG64" s="182">
        <v>0.02</v>
      </c>
      <c r="EH64" s="177">
        <f t="shared" si="69"/>
        <v>-135506.2933600375</v>
      </c>
    </row>
    <row r="65" spans="1:138" ht="12" customHeight="1" x14ac:dyDescent="0.25">
      <c r="A65" s="5">
        <f t="shared" si="70"/>
        <v>61</v>
      </c>
      <c r="B65" s="6" t="s">
        <v>142</v>
      </c>
      <c r="C65" s="7">
        <f t="shared" si="0"/>
        <v>6112.2000000000007</v>
      </c>
      <c r="D65" s="8">
        <v>5951.6</v>
      </c>
      <c r="E65" s="8">
        <v>160.6</v>
      </c>
      <c r="F65" s="8">
        <v>792.3</v>
      </c>
      <c r="G65" s="87">
        <f t="shared" si="1"/>
        <v>6112.2000000000007</v>
      </c>
      <c r="H65" s="87">
        <f t="shared" si="2"/>
        <v>6112.2000000000007</v>
      </c>
      <c r="I65" s="91">
        <v>2</v>
      </c>
      <c r="J65" s="112">
        <v>9.6040326235636801E-3</v>
      </c>
      <c r="K65" s="17">
        <v>2</v>
      </c>
      <c r="L65" s="112">
        <f t="shared" si="36"/>
        <v>4.8192771084337345E-3</v>
      </c>
      <c r="M65" s="116">
        <v>3.4064182466237205</v>
      </c>
      <c r="N65" s="120">
        <f t="shared" si="37"/>
        <v>6112.2000000000007</v>
      </c>
      <c r="O65" s="116">
        <v>3.0862322095418726</v>
      </c>
      <c r="P65" s="120">
        <f t="shared" si="38"/>
        <v>6112.2000000000007</v>
      </c>
      <c r="Q65" s="116">
        <v>1.600926601484582</v>
      </c>
      <c r="R65" s="120">
        <f t="shared" si="39"/>
        <v>6112.2000000000007</v>
      </c>
      <c r="S65" s="5" t="s">
        <v>143</v>
      </c>
      <c r="T65" s="87">
        <v>41.34</v>
      </c>
      <c r="U65" s="88">
        <v>4.68</v>
      </c>
      <c r="V65" s="88">
        <v>7.92</v>
      </c>
      <c r="W65" s="88">
        <v>12.32</v>
      </c>
      <c r="X65" s="88">
        <v>6.34</v>
      </c>
      <c r="Y65" s="88">
        <v>2.89</v>
      </c>
      <c r="Z65" s="88">
        <v>1.66</v>
      </c>
      <c r="AA65" s="88">
        <v>5.29</v>
      </c>
      <c r="AB65" s="88">
        <v>0.24</v>
      </c>
      <c r="AC65" s="257"/>
      <c r="AD65" s="110">
        <f t="shared" si="40"/>
        <v>159741.78542804139</v>
      </c>
      <c r="AE65" s="110">
        <f t="shared" si="41"/>
        <v>158024.79473910481</v>
      </c>
      <c r="AF65" s="16">
        <f>SUMIF('20.01'!$I:$I,$B:$B,'20.01'!$D:$D)*1.2</f>
        <v>52870.992000000006</v>
      </c>
      <c r="AG65" s="17">
        <f>IF(S65=$S$246,$AG$246,0)/$G$246*G65</f>
        <v>16305.07822463923</v>
      </c>
      <c r="AH65" s="17">
        <f t="shared" si="43"/>
        <v>4667.2697881762442</v>
      </c>
      <c r="AI65" s="16">
        <f>SUMIF('20.01'!$J:$J,$B:$B,'20.01'!$D:$D)*1.2</f>
        <v>0</v>
      </c>
      <c r="AJ65" s="17">
        <f t="shared" si="44"/>
        <v>1896.6735117909636</v>
      </c>
      <c r="AK65" s="17">
        <f t="shared" si="45"/>
        <v>4614.1852992367994</v>
      </c>
      <c r="AL65" s="17">
        <f t="shared" si="46"/>
        <v>77670.595915261554</v>
      </c>
      <c r="AM65" s="110">
        <f t="shared" si="47"/>
        <v>0</v>
      </c>
      <c r="AN65" s="17">
        <f>SUMIF('20.01'!$K:$K,$B:$B,'20.01'!$D:$D)*1.2</f>
        <v>0</v>
      </c>
      <c r="AO65" s="17">
        <f>SUMIF('20.01'!$L:$L,$B:$B,'20.01'!$D:$D)*1.2</f>
        <v>0</v>
      </c>
      <c r="AP65" s="17">
        <f>SUMIF('20.01'!$M:$M,$B:$B,'20.01'!$D:$D)*1.2</f>
        <v>0</v>
      </c>
      <c r="AQ65" s="110">
        <f t="shared" si="48"/>
        <v>1716.9906889365893</v>
      </c>
      <c r="AR65" s="17">
        <f t="shared" si="49"/>
        <v>1716.9906889365893</v>
      </c>
      <c r="AS65" s="17">
        <f>(SUMIF('20.01'!$N:$N,$B:$B,'20.01'!$D:$D)+SUMIF('20.01'!$O:$O,$B:$B,'20.01'!$D:$D))*1.2</f>
        <v>0</v>
      </c>
      <c r="AT65" s="110">
        <f>SUMIF('20.01'!$P:$P,$B:$B,'20.01'!$D:$D)*1.2</f>
        <v>0</v>
      </c>
      <c r="AU65" s="110">
        <f t="shared" si="50"/>
        <v>0</v>
      </c>
      <c r="AV65" s="17">
        <f>SUMIF('20.01'!$Q:$Q,$B:$B,'20.01'!$D:$D)*1.2</f>
        <v>0</v>
      </c>
      <c r="AW65" s="17">
        <f>SUMIF('20.01'!$R:$R,$B:$B,'20.01'!$D:$D)*1.2</f>
        <v>0</v>
      </c>
      <c r="AX65" s="110">
        <f t="shared" si="51"/>
        <v>0</v>
      </c>
      <c r="AY65" s="17">
        <f>SUMIF('20.01'!$S:$S,$B:$B,'20.01'!$D:$D)*1.2</f>
        <v>0</v>
      </c>
      <c r="AZ65" s="17">
        <f>SUMIF('20.01'!$T:$T,$B:$B,'20.01'!$D:$D)*1.2</f>
        <v>0</v>
      </c>
      <c r="BA65" s="110">
        <f t="shared" si="52"/>
        <v>0</v>
      </c>
      <c r="BB65" s="17">
        <f>SUMIF('20.01'!$U:$U,$B:$B,'20.01'!$D:$D)*1.2</f>
        <v>0</v>
      </c>
      <c r="BC65" s="17">
        <f>SUMIF('20.01'!$V:$V,$B:$B,'20.01'!$D:$D)*1.2</f>
        <v>0</v>
      </c>
      <c r="BD65" s="17">
        <f>SUMIF('20.01'!$W:$W,$B:$B,'20.01'!$D:$D)*1.2</f>
        <v>0</v>
      </c>
      <c r="BE65" s="110">
        <f>SUMIF('20.01'!$X:$X,$B:$B,'20.01'!$D:$D)*1.2</f>
        <v>0</v>
      </c>
      <c r="BF65" s="110">
        <f t="shared" si="53"/>
        <v>0</v>
      </c>
      <c r="BG65" s="17">
        <f>SUMIF('20.01'!$Y:$Y,$B:$B,'20.01'!$D:$D)*1.2</f>
        <v>0</v>
      </c>
      <c r="BH65" s="17">
        <f>SUMIF('20.01'!$Z:$Z,$B:$B,'20.01'!$D:$D)*1.2</f>
        <v>0</v>
      </c>
      <c r="BI65" s="17">
        <f>SUMIF('20.01'!$AA:$AA,$B:$B,'20.01'!$D:$D)*1.2</f>
        <v>0</v>
      </c>
      <c r="BJ65" s="17">
        <f>SUMIF('20.01'!$AB:$AB,$B:$B,'20.01'!$D:$D)*1.2</f>
        <v>0</v>
      </c>
      <c r="BK65" s="17">
        <f>SUMIF('20.01'!$AC:$AC,$B:$B,'20.01'!$D:$D)*1.2</f>
        <v>0</v>
      </c>
      <c r="BL65" s="17">
        <f>SUMIF('20.01'!$AD:$AD,$B:$B,'20.01'!$D:$D)*1.2</f>
        <v>0</v>
      </c>
      <c r="BM65" s="110">
        <f t="shared" si="54"/>
        <v>0</v>
      </c>
      <c r="BN65" s="17">
        <f>SUMIF('20.01'!$AE:$AE,$B:$B,'20.01'!$D:$D)*1.2</f>
        <v>0</v>
      </c>
      <c r="BO65" s="17">
        <f>SUMIF('20.01'!$AF:$AF,$B:$B,'20.01'!$D:$D)*1.2</f>
        <v>0</v>
      </c>
      <c r="BP65" s="110">
        <f>SUMIF('20.01'!$AG:$AG,$B:$B,'20.01'!$D:$D)*1.2</f>
        <v>0</v>
      </c>
      <c r="BQ65" s="110">
        <f>SUMIF('20.01'!$AH:$AH,$B:$B,'20.01'!$D:$D)*1.2</f>
        <v>0</v>
      </c>
      <c r="BR65" s="110">
        <f>SUMIF('20.01'!$AI:$AI,$B:$B,'20.01'!$D:$D)*1.2</f>
        <v>0</v>
      </c>
      <c r="BS65" s="110">
        <f t="shared" si="55"/>
        <v>0</v>
      </c>
      <c r="BT65" s="17">
        <f>SUMIF('20.01'!$AJ:$AJ,$B:$B,'20.01'!$D:$D)*1.2</f>
        <v>0</v>
      </c>
      <c r="BU65" s="17">
        <f>SUMIF('20.01'!$AK:$AK,$B:$B,'20.01'!$D:$D)*1.2</f>
        <v>0</v>
      </c>
      <c r="BV65" s="110">
        <f>SUMIF('20.01'!$AL:$AL,$B:$B,'20.01'!$D:$D)*1.2</f>
        <v>0</v>
      </c>
      <c r="BW65" s="110">
        <f>SUMIF('20.01'!$AM:$AM,$B:$B,'20.01'!$D:$D)*1.2</f>
        <v>0</v>
      </c>
      <c r="BX65" s="110">
        <f>SUMIF('20.01'!$AN:$AN,$B:$B,'20.01'!$D:$D)*1.2</f>
        <v>0</v>
      </c>
      <c r="BY65" s="110">
        <f t="shared" si="3"/>
        <v>462390.94230745221</v>
      </c>
      <c r="BZ65" s="17">
        <f t="shared" ref="BZ65:BZ128" si="82">IF(S65=$S$246,$BZ$246,0)/$G$246*G65</f>
        <v>374581.38475262403</v>
      </c>
      <c r="CA65" s="17">
        <f t="shared" si="5"/>
        <v>37909.580808550214</v>
      </c>
      <c r="CB65" s="17">
        <f t="shared" si="6"/>
        <v>2520.0347737638185</v>
      </c>
      <c r="CC65" s="17">
        <f>SUMIF('20.01'!$AO:$AO,$B:$B,'20.01'!$D:$D)*1.2</f>
        <v>0</v>
      </c>
      <c r="CD65" s="17">
        <f t="shared" si="7"/>
        <v>39561.986472380442</v>
      </c>
      <c r="CE65" s="17">
        <f>SUMIF('20.01'!$AQ:$AQ,$B:$B,'20.01'!$D:$D)*1.2</f>
        <v>0</v>
      </c>
      <c r="CF65" s="17">
        <f t="shared" si="8"/>
        <v>3599.515374411661</v>
      </c>
      <c r="CG65" s="17">
        <f>SUMIF('20.01'!$AR:$AR,$B:$B,'20.01'!$D:$D)*1.2</f>
        <v>0</v>
      </c>
      <c r="CH65" s="17">
        <f t="shared" si="9"/>
        <v>2119.8533703339722</v>
      </c>
      <c r="CI65" s="17">
        <f>SUMIF('20.01'!$AT:$AT,$B:$B,'20.01'!$D:$D)*1.2</f>
        <v>0</v>
      </c>
      <c r="CJ65" s="17">
        <f>SUMIF('20.01'!$AU:$AU,$B:$B,'20.01'!$D:$D)*1.2</f>
        <v>0</v>
      </c>
      <c r="CK65" s="17">
        <f>SUMIF('20.01'!$AV:$AV,$B:$B,'20.01'!$D:$D)*1.2</f>
        <v>0</v>
      </c>
      <c r="CL65" s="17">
        <f t="shared" si="10"/>
        <v>2098.5867553880662</v>
      </c>
      <c r="CM65" s="17">
        <f>SUMIF('20.01'!$AW:$AW,$B:$B,'20.01'!$D:$D)*1.2</f>
        <v>0</v>
      </c>
      <c r="CN65" s="17">
        <f>SUMIF('20.01'!$AX:$AX,$B:$B,'20.01'!$D:$D)*1.2</f>
        <v>0</v>
      </c>
      <c r="CO65" s="110">
        <f t="shared" si="56"/>
        <v>703994.89466355322</v>
      </c>
      <c r="CP65" s="17">
        <f t="shared" si="57"/>
        <v>555340.30260975892</v>
      </c>
      <c r="CQ65" s="17">
        <f t="shared" si="11"/>
        <v>171330.12463824224</v>
      </c>
      <c r="CR65" s="17">
        <f t="shared" si="12"/>
        <v>384010.17797151674</v>
      </c>
      <c r="CS65" s="17">
        <f t="shared" si="58"/>
        <v>148654.59205379433</v>
      </c>
      <c r="CT65" s="17">
        <f t="shared" si="13"/>
        <v>5415.617192165324</v>
      </c>
      <c r="CU65" s="17">
        <f t="shared" si="14"/>
        <v>5238.1663578687812</v>
      </c>
      <c r="CV65" s="17">
        <f t="shared" si="15"/>
        <v>5413.7594164854463</v>
      </c>
      <c r="CW65" s="17">
        <f t="shared" si="16"/>
        <v>56.769228272927407</v>
      </c>
      <c r="CX65" s="17">
        <f t="shared" si="17"/>
        <v>79936.780792201127</v>
      </c>
      <c r="CY65" s="17">
        <f t="shared" si="18"/>
        <v>52593.499066800723</v>
      </c>
      <c r="CZ65" s="110">
        <f t="shared" si="59"/>
        <v>174749.96285153856</v>
      </c>
      <c r="DA65" s="17">
        <f t="shared" si="60"/>
        <v>6601.0730549915606</v>
      </c>
      <c r="DB65" s="17">
        <f t="shared" si="19"/>
        <v>6264.1761845613692</v>
      </c>
      <c r="DC65" s="17">
        <f t="shared" si="20"/>
        <v>336.89687043019126</v>
      </c>
      <c r="DD65" s="17">
        <f t="shared" si="21"/>
        <v>11631.847922007035</v>
      </c>
      <c r="DE65" s="17">
        <f t="shared" si="22"/>
        <v>4013.2940291145337</v>
      </c>
      <c r="DF65" s="17">
        <f t="shared" si="23"/>
        <v>4870.6914173238501</v>
      </c>
      <c r="DG65" s="17">
        <f t="shared" si="61"/>
        <v>147633.05642810158</v>
      </c>
      <c r="DH65" s="110">
        <f t="shared" si="62"/>
        <v>109057.62780194063</v>
      </c>
      <c r="DI65" s="17">
        <f t="shared" si="24"/>
        <v>97829.1386653683</v>
      </c>
      <c r="DJ65" s="17">
        <f t="shared" si="25"/>
        <v>10819.327887434862</v>
      </c>
      <c r="DK65" s="17">
        <f t="shared" si="26"/>
        <v>409.16124913746722</v>
      </c>
      <c r="DL65" s="110">
        <f t="shared" si="63"/>
        <v>825254.34788276698</v>
      </c>
      <c r="DM65" s="17">
        <f t="shared" si="27"/>
        <v>343626.33750380774</v>
      </c>
      <c r="DN65" s="17">
        <f t="shared" si="28"/>
        <v>304725.24269205594</v>
      </c>
      <c r="DO65" s="17">
        <f t="shared" si="29"/>
        <v>176902.76768690324</v>
      </c>
      <c r="DP65" s="110">
        <f t="shared" si="64"/>
        <v>270163.20527975971</v>
      </c>
      <c r="DQ65" s="17">
        <f>SUMIF('20.01'!$BB:$BB,$B:$B,'20.01'!$D:$D)*1.2</f>
        <v>4918.848</v>
      </c>
      <c r="DR65" s="17">
        <f t="shared" si="30"/>
        <v>263292.54866882518</v>
      </c>
      <c r="DS65" s="17">
        <f t="shared" si="31"/>
        <v>1951.8086109345129</v>
      </c>
      <c r="DT65" s="110">
        <f t="shared" si="65"/>
        <v>13654.824000000001</v>
      </c>
      <c r="DU65" s="17">
        <f>SUMIF('20.01'!$BD:$BD,$B:$B,'20.01'!$D:$D)*1.2</f>
        <v>13654.824000000001</v>
      </c>
      <c r="DV65" s="17">
        <f t="shared" si="32"/>
        <v>0</v>
      </c>
      <c r="DW65" s="17">
        <f t="shared" si="33"/>
        <v>0</v>
      </c>
      <c r="DX65" s="110">
        <f t="shared" si="34"/>
        <v>2719007.5902150525</v>
      </c>
      <c r="DY65" s="110">
        <f>EC65*EG65</f>
        <v>231665.6496</v>
      </c>
      <c r="DZ65" s="110">
        <f t="shared" si="66"/>
        <v>2950673.2398150526</v>
      </c>
      <c r="EA65" s="257"/>
      <c r="EB65" s="110">
        <f t="shared" si="35"/>
        <v>1773.1084337349396</v>
      </c>
      <c r="EC65" s="110">
        <f>SUMIF(еирц!$B:$B,$B:$B,еирц!$K:$K)</f>
        <v>2895820.62</v>
      </c>
      <c r="ED65" s="110">
        <f>SUMIF(еирц!$B:$B,$B:$B,еирц!$P:$P)</f>
        <v>2847634.04</v>
      </c>
      <c r="EE65" s="110">
        <f>SUMIF(еирц!$B:$B,$B:$B,еирц!$S:$S)</f>
        <v>383493.44</v>
      </c>
      <c r="EF65" s="177">
        <f t="shared" si="67"/>
        <v>178586.13821868272</v>
      </c>
      <c r="EG65" s="182">
        <v>0.08</v>
      </c>
      <c r="EH65" s="177">
        <f t="shared" si="69"/>
        <v>-53079.511381317396</v>
      </c>
    </row>
    <row r="66" spans="1:138" ht="12" customHeight="1" x14ac:dyDescent="0.25">
      <c r="A66" s="5">
        <f t="shared" si="70"/>
        <v>62</v>
      </c>
      <c r="B66" s="6" t="s">
        <v>144</v>
      </c>
      <c r="C66" s="7">
        <f t="shared" si="0"/>
        <v>2826.5</v>
      </c>
      <c r="D66" s="8">
        <v>2826.5</v>
      </c>
      <c r="E66" s="8">
        <v>0</v>
      </c>
      <c r="F66" s="8">
        <v>514.29999999999995</v>
      </c>
      <c r="G66" s="87">
        <f t="shared" si="1"/>
        <v>2826.5</v>
      </c>
      <c r="H66" s="87">
        <f t="shared" si="2"/>
        <v>2826.5</v>
      </c>
      <c r="I66" s="91">
        <v>1</v>
      </c>
      <c r="J66" s="112">
        <v>4.4428156332483263E-3</v>
      </c>
      <c r="K66" s="17">
        <v>1</v>
      </c>
      <c r="L66" s="112">
        <f t="shared" si="36"/>
        <v>2.4096385542168672E-3</v>
      </c>
      <c r="M66" s="116">
        <v>3.4064181683325678</v>
      </c>
      <c r="N66" s="120">
        <f t="shared" si="37"/>
        <v>2826.5</v>
      </c>
      <c r="O66" s="116">
        <v>3.0862311729594181</v>
      </c>
      <c r="P66" s="120">
        <f t="shared" si="38"/>
        <v>2826.5</v>
      </c>
      <c r="Q66" s="116">
        <v>1.6009272348391201</v>
      </c>
      <c r="R66" s="120">
        <f t="shared" si="39"/>
        <v>2826.5</v>
      </c>
      <c r="S66" s="5" t="s">
        <v>143</v>
      </c>
      <c r="T66" s="87">
        <v>41.34</v>
      </c>
      <c r="U66" s="88">
        <v>4.68</v>
      </c>
      <c r="V66" s="88">
        <v>7.92</v>
      </c>
      <c r="W66" s="88">
        <v>12.32</v>
      </c>
      <c r="X66" s="88">
        <v>6.34</v>
      </c>
      <c r="Y66" s="88">
        <v>2.89</v>
      </c>
      <c r="Z66" s="88">
        <v>1.66</v>
      </c>
      <c r="AA66" s="88">
        <v>5.29</v>
      </c>
      <c r="AB66" s="88">
        <v>0.24</v>
      </c>
      <c r="AC66" s="257"/>
      <c r="AD66" s="110">
        <f t="shared" si="40"/>
        <v>373429.46074111573</v>
      </c>
      <c r="AE66" s="110">
        <f t="shared" si="41"/>
        <v>261242.94390712047</v>
      </c>
      <c r="AF66" s="131">
        <f>SUMIF('20.01'!$I:$I,$B:$B,'20.01'!$D:$D)*1.2/(G66+G67)*G66</f>
        <v>212616.06267907168</v>
      </c>
      <c r="AG66" s="17">
        <f t="shared" ref="AG66:AG129" si="83">IF(S66=$S$246,$AG$246,0)/$G$246*G66</f>
        <v>7540.0516347538987</v>
      </c>
      <c r="AH66" s="17">
        <f t="shared" si="43"/>
        <v>2158.3125644252727</v>
      </c>
      <c r="AI66" s="16">
        <f>SUMIF('20.01'!$J:$J,$B:$B,'20.01'!$D:$D)*1.2</f>
        <v>0</v>
      </c>
      <c r="AJ66" s="17">
        <f t="shared" si="44"/>
        <v>877.08970273831972</v>
      </c>
      <c r="AK66" s="17">
        <f t="shared" si="45"/>
        <v>2133.7643971553307</v>
      </c>
      <c r="AL66" s="17">
        <f t="shared" si="46"/>
        <v>35917.662928975944</v>
      </c>
      <c r="AM66" s="110">
        <f t="shared" si="47"/>
        <v>0</v>
      </c>
      <c r="AN66" s="17">
        <f>SUMIF('20.01'!$K:$K,$B:$B,'20.01'!$D:$D)*1.2</f>
        <v>0</v>
      </c>
      <c r="AO66" s="17">
        <f>SUMIF('20.01'!$L:$L,$B:$B,'20.01'!$D:$D)*1.2</f>
        <v>0</v>
      </c>
      <c r="AP66" s="17">
        <f>SUMIF('20.01'!$M:$M,$B:$B,'20.01'!$D:$D)*1.2</f>
        <v>0</v>
      </c>
      <c r="AQ66" s="110">
        <f t="shared" si="48"/>
        <v>793.99793564989193</v>
      </c>
      <c r="AR66" s="17">
        <f t="shared" si="49"/>
        <v>793.99793564989193</v>
      </c>
      <c r="AS66" s="17">
        <f>(SUMIF('20.01'!$N:$N,$B:$B,'20.01'!$D:$D)+SUMIF('20.01'!$O:$O,$B:$B,'20.01'!$D:$D))*1.2</f>
        <v>0</v>
      </c>
      <c r="AT66" s="110">
        <f>SUMIF('20.01'!$P:$P,$B:$B,'20.01'!$D:$D)*1.2</f>
        <v>0</v>
      </c>
      <c r="AU66" s="110">
        <f t="shared" si="50"/>
        <v>10171.634720093038</v>
      </c>
      <c r="AV66" s="108">
        <f>SUMIF('20.01'!$Q:$Q,$B:$B,'20.01'!$D:$D)*1.2/(G66+G67)*G66</f>
        <v>10171.634720093038</v>
      </c>
      <c r="AW66" s="17">
        <f>SUMIF('20.01'!$R:$R,$B:$B,'20.01'!$D:$D)*1.2</f>
        <v>0</v>
      </c>
      <c r="AX66" s="110">
        <f t="shared" si="51"/>
        <v>0</v>
      </c>
      <c r="AY66" s="17">
        <f>SUMIF('20.01'!$S:$S,$B:$B,'20.01'!$D:$D)*1.2</f>
        <v>0</v>
      </c>
      <c r="AZ66" s="17">
        <f>SUMIF('20.01'!$T:$T,$B:$B,'20.01'!$D:$D)*1.2</f>
        <v>0</v>
      </c>
      <c r="BA66" s="110">
        <f t="shared" si="52"/>
        <v>0</v>
      </c>
      <c r="BB66" s="17">
        <f>SUMIF('20.01'!$U:$U,$B:$B,'20.01'!$D:$D)*1.2</f>
        <v>0</v>
      </c>
      <c r="BC66" s="17">
        <f>SUMIF('20.01'!$V:$V,$B:$B,'20.01'!$D:$D)*1.2</f>
        <v>0</v>
      </c>
      <c r="BD66" s="17">
        <f>SUMIF('20.01'!$W:$W,$B:$B,'20.01'!$D:$D)*1.2</f>
        <v>0</v>
      </c>
      <c r="BE66" s="110">
        <f>SUMIF('20.01'!$X:$X,$B:$B,'20.01'!$D:$D)*1.2</f>
        <v>0</v>
      </c>
      <c r="BF66" s="110">
        <f t="shared" si="53"/>
        <v>101220.88417825235</v>
      </c>
      <c r="BG66" s="108">
        <f>SUMIF('20.01'!$Y:$Y,$B:$B,'20.01'!$D:$D)*1.2/(G66+G67)*G66</f>
        <v>101220.88417825235</v>
      </c>
      <c r="BH66" s="17">
        <f>SUMIF('20.01'!$Z:$Z,$B:$B,'20.01'!$D:$D)*1.2</f>
        <v>0</v>
      </c>
      <c r="BI66" s="17">
        <f>SUMIF('20.01'!$AA:$AA,$B:$B,'20.01'!$D:$D)*1.2</f>
        <v>0</v>
      </c>
      <c r="BJ66" s="17">
        <f>SUMIF('20.01'!$AB:$AB,$B:$B,'20.01'!$D:$D)*1.2</f>
        <v>0</v>
      </c>
      <c r="BK66" s="17">
        <f>SUMIF('20.01'!$AC:$AC,$B:$B,'20.01'!$D:$D)*1.2</f>
        <v>0</v>
      </c>
      <c r="BL66" s="17">
        <f>SUMIF('20.01'!$AD:$AD,$B:$B,'20.01'!$D:$D)*1.2</f>
        <v>0</v>
      </c>
      <c r="BM66" s="110">
        <f t="shared" si="54"/>
        <v>0</v>
      </c>
      <c r="BN66" s="17">
        <f>SUMIF('20.01'!$AE:$AE,$B:$B,'20.01'!$D:$D)*1.2</f>
        <v>0</v>
      </c>
      <c r="BO66" s="17">
        <f>SUMIF('20.01'!$AF:$AF,$B:$B,'20.01'!$D:$D)*1.2</f>
        <v>0</v>
      </c>
      <c r="BP66" s="110">
        <f>SUMIF('20.01'!$AG:$AG,$B:$B,'20.01'!$D:$D)*1.2</f>
        <v>0</v>
      </c>
      <c r="BQ66" s="110">
        <f>SUMIF('20.01'!$AH:$AH,$B:$B,'20.01'!$D:$D)*1.2</f>
        <v>0</v>
      </c>
      <c r="BR66" s="110">
        <f>SUMIF('20.01'!$AI:$AI,$B:$B,'20.01'!$D:$D)*1.2</f>
        <v>0</v>
      </c>
      <c r="BS66" s="110">
        <f t="shared" si="55"/>
        <v>0</v>
      </c>
      <c r="BT66" s="17">
        <f>SUMIF('20.01'!$AJ:$AJ,$B:$B,'20.01'!$D:$D)*1.2</f>
        <v>0</v>
      </c>
      <c r="BU66" s="17">
        <f>SUMIF('20.01'!$AK:$AK,$B:$B,'20.01'!$D:$D)*1.2</f>
        <v>0</v>
      </c>
      <c r="BV66" s="110">
        <f>SUMIF('20.01'!$AL:$AL,$B:$B,'20.01'!$D:$D)*1.2</f>
        <v>0</v>
      </c>
      <c r="BW66" s="110">
        <f>SUMIF('20.01'!$AM:$AM,$B:$B,'20.01'!$D:$D)*1.2</f>
        <v>0</v>
      </c>
      <c r="BX66" s="110">
        <f>SUMIF('20.01'!$AN:$AN,$B:$B,'20.01'!$D:$D)*1.2</f>
        <v>0</v>
      </c>
      <c r="BY66" s="110">
        <f t="shared" si="3"/>
        <v>213826.11799875883</v>
      </c>
      <c r="BZ66" s="17">
        <f t="shared" si="82"/>
        <v>173219.83639332672</v>
      </c>
      <c r="CA66" s="17">
        <f t="shared" si="5"/>
        <v>17530.74672873387</v>
      </c>
      <c r="CB66" s="17">
        <f t="shared" si="6"/>
        <v>1165.3542567395425</v>
      </c>
      <c r="CC66" s="17">
        <f>SUMIF('20.01'!$AO:$AO,$B:$B,'20.01'!$D:$D)*1.2</f>
        <v>0</v>
      </c>
      <c r="CD66" s="17">
        <f t="shared" si="7"/>
        <v>18294.878237653105</v>
      </c>
      <c r="CE66" s="17">
        <f>SUMIF('20.01'!$AQ:$AQ,$B:$B,'20.01'!$D:$D)*1.2</f>
        <v>0</v>
      </c>
      <c r="CF66" s="17">
        <f t="shared" si="8"/>
        <v>1664.5447147957459</v>
      </c>
      <c r="CG66" s="17">
        <f>SUMIF('20.01'!$AR:$AR,$B:$B,'20.01'!$D:$D)*1.2</f>
        <v>0</v>
      </c>
      <c r="CH66" s="17">
        <f t="shared" si="9"/>
        <v>980.2960556344641</v>
      </c>
      <c r="CI66" s="17">
        <f>SUMIF('20.01'!$AT:$AT,$B:$B,'20.01'!$D:$D)*1.2</f>
        <v>0</v>
      </c>
      <c r="CJ66" s="17">
        <f>SUMIF('20.01'!$AU:$AU,$B:$B,'20.01'!$D:$D)*1.2</f>
        <v>0</v>
      </c>
      <c r="CK66" s="17">
        <f>SUMIF('20.01'!$AV:$AV,$B:$B,'20.01'!$D:$D)*1.2</f>
        <v>0</v>
      </c>
      <c r="CL66" s="17">
        <f t="shared" si="10"/>
        <v>970.46161187532618</v>
      </c>
      <c r="CM66" s="17">
        <f>SUMIF('20.01'!$AW:$AW,$B:$B,'20.01'!$D:$D)*1.2</f>
        <v>0</v>
      </c>
      <c r="CN66" s="17">
        <f>SUMIF('20.01'!$AX:$AX,$B:$B,'20.01'!$D:$D)*1.2</f>
        <v>0</v>
      </c>
      <c r="CO66" s="110">
        <f t="shared" si="56"/>
        <v>325552.43116497056</v>
      </c>
      <c r="CP66" s="17">
        <f t="shared" si="57"/>
        <v>256809.22831819695</v>
      </c>
      <c r="CQ66" s="17">
        <f t="shared" si="11"/>
        <v>79229.180538920788</v>
      </c>
      <c r="CR66" s="17">
        <f t="shared" si="12"/>
        <v>177580.04777927618</v>
      </c>
      <c r="CS66" s="17">
        <f t="shared" si="58"/>
        <v>68743.202846773609</v>
      </c>
      <c r="CT66" s="17">
        <f t="shared" si="13"/>
        <v>2504.3751830200722</v>
      </c>
      <c r="CU66" s="17">
        <f t="shared" si="14"/>
        <v>2422.3155673106426</v>
      </c>
      <c r="CV66" s="17">
        <f t="shared" si="15"/>
        <v>2503.5160810667376</v>
      </c>
      <c r="CW66" s="17">
        <f t="shared" si="16"/>
        <v>26.252122593080937</v>
      </c>
      <c r="CX66" s="17">
        <f t="shared" si="17"/>
        <v>36965.627909616254</v>
      </c>
      <c r="CY66" s="17">
        <f t="shared" si="18"/>
        <v>24321.115983166819</v>
      </c>
      <c r="CZ66" s="110">
        <f t="shared" si="59"/>
        <v>80810.636104818841</v>
      </c>
      <c r="DA66" s="17">
        <f t="shared" si="60"/>
        <v>3052.5723945442955</v>
      </c>
      <c r="DB66" s="17">
        <f t="shared" si="19"/>
        <v>2896.7792260827046</v>
      </c>
      <c r="DC66" s="17">
        <f t="shared" si="20"/>
        <v>155.79316846159082</v>
      </c>
      <c r="DD66" s="17">
        <f t="shared" si="21"/>
        <v>5378.9827151521349</v>
      </c>
      <c r="DE66" s="17">
        <f t="shared" si="22"/>
        <v>1855.8907714558143</v>
      </c>
      <c r="DF66" s="17">
        <f t="shared" si="23"/>
        <v>2252.3820050171557</v>
      </c>
      <c r="DG66" s="17">
        <f t="shared" si="61"/>
        <v>68270.808218649443</v>
      </c>
      <c r="DH66" s="110">
        <f t="shared" si="62"/>
        <v>50432.149632241279</v>
      </c>
      <c r="DI66" s="17">
        <f t="shared" si="24"/>
        <v>45239.694453333243</v>
      </c>
      <c r="DJ66" s="17">
        <f t="shared" si="25"/>
        <v>5003.2443758114323</v>
      </c>
      <c r="DK66" s="17">
        <f t="shared" si="26"/>
        <v>189.21080309660204</v>
      </c>
      <c r="DL66" s="110">
        <f t="shared" si="63"/>
        <v>381627.14150234614</v>
      </c>
      <c r="DM66" s="17">
        <f t="shared" si="27"/>
        <v>158905.11484482058</v>
      </c>
      <c r="DN66" s="17">
        <f t="shared" si="28"/>
        <v>140915.8565605013</v>
      </c>
      <c r="DO66" s="17">
        <f t="shared" si="29"/>
        <v>81806.170097024311</v>
      </c>
      <c r="DP66" s="110">
        <f t="shared" si="64"/>
        <v>125161.19140779864</v>
      </c>
      <c r="DQ66" s="108">
        <f>SUMIF('20.01'!$BB:$BB,$B:$B,'20.01'!$D:$D)*1.2/2</f>
        <v>2459.424</v>
      </c>
      <c r="DR66" s="17">
        <f t="shared" si="30"/>
        <v>121798.86274788601</v>
      </c>
      <c r="DS66" s="17">
        <f t="shared" si="31"/>
        <v>902.90465991262852</v>
      </c>
      <c r="DT66" s="110">
        <f t="shared" si="65"/>
        <v>6800.836614685204</v>
      </c>
      <c r="DU66" s="108">
        <f>(SUMIF('20.01'!$BD:$BD,$B:$B,'20.01'!$D:$D)/(G66+G67)*G66)*1.2</f>
        <v>6800.836614685204</v>
      </c>
      <c r="DV66" s="17">
        <f t="shared" si="32"/>
        <v>0</v>
      </c>
      <c r="DW66" s="17">
        <f t="shared" si="33"/>
        <v>0</v>
      </c>
      <c r="DX66" s="110">
        <f t="shared" si="34"/>
        <v>1557639.9651667352</v>
      </c>
      <c r="DY66" s="110"/>
      <c r="DZ66" s="110">
        <f t="shared" si="66"/>
        <v>1557639.9651667352</v>
      </c>
      <c r="EA66" s="257"/>
      <c r="EB66" s="110">
        <f t="shared" si="35"/>
        <v>886.55421686746979</v>
      </c>
      <c r="EC66" s="110">
        <f>SUMIF(еирц!$B:$B,$B:$B,еирц!$K:$K)</f>
        <v>1346387.35</v>
      </c>
      <c r="ED66" s="110">
        <f>SUMIF(еирц!$B:$B,$B:$B,еирц!$P:$P)</f>
        <v>1345308.1199999999</v>
      </c>
      <c r="EE66" s="110">
        <f>SUMIF(еирц!$B:$B,$B:$B,еирц!$S:$S)</f>
        <v>276189.05000000005</v>
      </c>
      <c r="EF66" s="177">
        <f t="shared" si="67"/>
        <v>-210366.06094986759</v>
      </c>
      <c r="EG66" s="181">
        <f t="shared" si="68"/>
        <v>0</v>
      </c>
      <c r="EH66" s="177">
        <f t="shared" si="69"/>
        <v>-210366.06094986759</v>
      </c>
    </row>
    <row r="67" spans="1:138" ht="12" customHeight="1" x14ac:dyDescent="0.25">
      <c r="A67" s="5">
        <f t="shared" si="70"/>
        <v>63</v>
      </c>
      <c r="B67" s="6" t="s">
        <v>145</v>
      </c>
      <c r="C67" s="7">
        <f t="shared" si="0"/>
        <v>2848.6</v>
      </c>
      <c r="D67" s="8">
        <v>2848.6</v>
      </c>
      <c r="E67" s="8">
        <v>0</v>
      </c>
      <c r="F67" s="8">
        <v>471.5</v>
      </c>
      <c r="G67" s="87">
        <f t="shared" si="1"/>
        <v>2848.6</v>
      </c>
      <c r="H67" s="87">
        <f t="shared" si="2"/>
        <v>2848.6</v>
      </c>
      <c r="I67" s="91">
        <v>1</v>
      </c>
      <c r="J67" s="112">
        <v>4.4681519130079887E-3</v>
      </c>
      <c r="K67" s="17">
        <v>1</v>
      </c>
      <c r="L67" s="112">
        <f t="shared" si="36"/>
        <v>2.4096385542168672E-3</v>
      </c>
      <c r="M67" s="116">
        <v>3.406416841217403</v>
      </c>
      <c r="N67" s="120">
        <f t="shared" si="37"/>
        <v>2848.6</v>
      </c>
      <c r="O67" s="116">
        <v>3.0862333872214802</v>
      </c>
      <c r="P67" s="120">
        <f t="shared" si="38"/>
        <v>2848.6</v>
      </c>
      <c r="Q67" s="116">
        <v>1.6009288254726926</v>
      </c>
      <c r="R67" s="120">
        <f t="shared" si="39"/>
        <v>2848.6</v>
      </c>
      <c r="S67" s="5" t="s">
        <v>143</v>
      </c>
      <c r="T67" s="87">
        <v>41.34</v>
      </c>
      <c r="U67" s="88">
        <v>4.68</v>
      </c>
      <c r="V67" s="88">
        <v>7.92</v>
      </c>
      <c r="W67" s="88">
        <v>12.32</v>
      </c>
      <c r="X67" s="88">
        <v>6.34</v>
      </c>
      <c r="Y67" s="88">
        <v>2.89</v>
      </c>
      <c r="Z67" s="88">
        <v>1.66</v>
      </c>
      <c r="AA67" s="88">
        <v>5.29</v>
      </c>
      <c r="AB67" s="88">
        <v>0.24</v>
      </c>
      <c r="AC67" s="257"/>
      <c r="AD67" s="110">
        <f t="shared" si="40"/>
        <v>376349.25238533248</v>
      </c>
      <c r="AE67" s="110">
        <f t="shared" si="41"/>
        <v>263285.56519151718</v>
      </c>
      <c r="AF67" s="131">
        <f>426894.54/(G66+G67)*G67</f>
        <v>214278.47732092821</v>
      </c>
      <c r="AG67" s="17">
        <f t="shared" si="83"/>
        <v>7599.0062220979853</v>
      </c>
      <c r="AH67" s="17">
        <f t="shared" si="43"/>
        <v>2175.1881022543189</v>
      </c>
      <c r="AI67" s="16">
        <f>SUMIF('20.01'!$J:$J,$B:$B,'20.01'!$D:$D)*1.2</f>
        <v>0</v>
      </c>
      <c r="AJ67" s="17">
        <f t="shared" si="44"/>
        <v>883.94754191416155</v>
      </c>
      <c r="AK67" s="17">
        <f t="shared" si="45"/>
        <v>2150.4479963688923</v>
      </c>
      <c r="AL67" s="17">
        <f t="shared" si="46"/>
        <v>36198.498007953604</v>
      </c>
      <c r="AM67" s="110">
        <f t="shared" si="47"/>
        <v>0</v>
      </c>
      <c r="AN67" s="17">
        <f>SUMIF('20.01'!$K:$K,$B:$B,'20.01'!$D:$D)*1.2</f>
        <v>0</v>
      </c>
      <c r="AO67" s="17">
        <f>SUMIF('20.01'!$L:$L,$B:$B,'20.01'!$D:$D)*1.2</f>
        <v>0</v>
      </c>
      <c r="AP67" s="17">
        <f>SUMIF('20.01'!$M:$M,$B:$B,'20.01'!$D:$D)*1.2</f>
        <v>0</v>
      </c>
      <c r="AQ67" s="110">
        <f t="shared" si="48"/>
        <v>800.20609216072239</v>
      </c>
      <c r="AR67" s="17">
        <f t="shared" si="49"/>
        <v>800.20609216072239</v>
      </c>
      <c r="AS67" s="17">
        <f>(SUMIF('20.01'!$N:$N,$B:$B,'20.01'!$D:$D)+SUMIF('20.01'!$O:$O,$B:$B,'20.01'!$D:$D))*1.2</f>
        <v>0</v>
      </c>
      <c r="AT67" s="110">
        <f>SUMIF('20.01'!$P:$P,$B:$B,'20.01'!$D:$D)*1.2</f>
        <v>0</v>
      </c>
      <c r="AU67" s="110">
        <f t="shared" si="50"/>
        <v>10251.165279906962</v>
      </c>
      <c r="AV67" s="108">
        <f>20422.8/(G66+G67)*G67</f>
        <v>10251.165279906962</v>
      </c>
      <c r="AW67" s="17">
        <f>SUMIF('20.01'!$R:$R,$B:$B,'20.01'!$D:$D)*1.2</f>
        <v>0</v>
      </c>
      <c r="AX67" s="110">
        <f t="shared" si="51"/>
        <v>0</v>
      </c>
      <c r="AY67" s="17">
        <f>SUMIF('20.01'!$S:$S,$B:$B,'20.01'!$D:$D)*1.2</f>
        <v>0</v>
      </c>
      <c r="AZ67" s="17">
        <f>SUMIF('20.01'!$T:$T,$B:$B,'20.01'!$D:$D)*1.2</f>
        <v>0</v>
      </c>
      <c r="BA67" s="110">
        <f t="shared" si="52"/>
        <v>0</v>
      </c>
      <c r="BB67" s="17">
        <f>SUMIF('20.01'!$U:$U,$B:$B,'20.01'!$D:$D)*1.2</f>
        <v>0</v>
      </c>
      <c r="BC67" s="17">
        <f>SUMIF('20.01'!$V:$V,$B:$B,'20.01'!$D:$D)*1.2</f>
        <v>0</v>
      </c>
      <c r="BD67" s="17">
        <f>SUMIF('20.01'!$W:$W,$B:$B,'20.01'!$D:$D)*1.2</f>
        <v>0</v>
      </c>
      <c r="BE67" s="110">
        <f>SUMIF('20.01'!$X:$X,$B:$B,'20.01'!$D:$D)*1.2</f>
        <v>0</v>
      </c>
      <c r="BF67" s="110">
        <f t="shared" si="53"/>
        <v>102012.31582174764</v>
      </c>
      <c r="BG67" s="108">
        <f>203233.2/(G66+G67)*G67</f>
        <v>102012.31582174764</v>
      </c>
      <c r="BH67" s="17">
        <f>SUMIF('20.01'!$Z:$Z,$B:$B,'20.01'!$D:$D)*1.2</f>
        <v>0</v>
      </c>
      <c r="BI67" s="17">
        <f>SUMIF('20.01'!$AA:$AA,$B:$B,'20.01'!$D:$D)*1.2</f>
        <v>0</v>
      </c>
      <c r="BJ67" s="17">
        <f>SUMIF('20.01'!$AB:$AB,$B:$B,'20.01'!$D:$D)*1.2</f>
        <v>0</v>
      </c>
      <c r="BK67" s="17">
        <f>SUMIF('20.01'!$AC:$AC,$B:$B,'20.01'!$D:$D)*1.2</f>
        <v>0</v>
      </c>
      <c r="BL67" s="17">
        <f>SUMIF('20.01'!$AD:$AD,$B:$B,'20.01'!$D:$D)*1.2</f>
        <v>0</v>
      </c>
      <c r="BM67" s="110">
        <f t="shared" si="54"/>
        <v>0</v>
      </c>
      <c r="BN67" s="17">
        <f>SUMIF('20.01'!$AE:$AE,$B:$B,'20.01'!$D:$D)*1.2</f>
        <v>0</v>
      </c>
      <c r="BO67" s="17">
        <f>SUMIF('20.01'!$AF:$AF,$B:$B,'20.01'!$D:$D)*1.2</f>
        <v>0</v>
      </c>
      <c r="BP67" s="110">
        <f>SUMIF('20.01'!$AG:$AG,$B:$B,'20.01'!$D:$D)*1.2</f>
        <v>0</v>
      </c>
      <c r="BQ67" s="110">
        <f>SUMIF('20.01'!$AH:$AH,$B:$B,'20.01'!$D:$D)*1.2</f>
        <v>0</v>
      </c>
      <c r="BR67" s="110">
        <f>SUMIF('20.01'!$AI:$AI,$B:$B,'20.01'!$D:$D)*1.2</f>
        <v>0</v>
      </c>
      <c r="BS67" s="110">
        <f t="shared" si="55"/>
        <v>0</v>
      </c>
      <c r="BT67" s="17">
        <f>SUMIF('20.01'!$AJ:$AJ,$B:$B,'20.01'!$D:$D)*1.2</f>
        <v>0</v>
      </c>
      <c r="BU67" s="17">
        <f>SUMIF('20.01'!$AK:$AK,$B:$B,'20.01'!$D:$D)*1.2</f>
        <v>0</v>
      </c>
      <c r="BV67" s="110">
        <f>SUMIF('20.01'!$AL:$AL,$B:$B,'20.01'!$D:$D)*1.2</f>
        <v>0</v>
      </c>
      <c r="BW67" s="110">
        <f>SUMIF('20.01'!$AM:$AM,$B:$B,'20.01'!$D:$D)*1.2</f>
        <v>0</v>
      </c>
      <c r="BX67" s="110">
        <f>SUMIF('20.01'!$AN:$AN,$B:$B,'20.01'!$D:$D)*1.2</f>
        <v>0</v>
      </c>
      <c r="BY67" s="110">
        <f t="shared" si="3"/>
        <v>215497.99389041722</v>
      </c>
      <c r="BZ67" s="17">
        <f t="shared" si="82"/>
        <v>174574.21756590501</v>
      </c>
      <c r="CA67" s="17">
        <f t="shared" si="5"/>
        <v>17667.817134785531</v>
      </c>
      <c r="CB67" s="17">
        <f t="shared" si="6"/>
        <v>1174.4659953116084</v>
      </c>
      <c r="CC67" s="17">
        <f>SUMIF('20.01'!$AO:$AO,$B:$B,'20.01'!$D:$D)*1.2</f>
        <v>0</v>
      </c>
      <c r="CD67" s="17">
        <f t="shared" si="7"/>
        <v>18437.923278888604</v>
      </c>
      <c r="CE67" s="17">
        <f>SUMIF('20.01'!$AQ:$AQ,$B:$B,'20.01'!$D:$D)*1.2</f>
        <v>0</v>
      </c>
      <c r="CF67" s="17">
        <f t="shared" si="8"/>
        <v>1677.5595522968908</v>
      </c>
      <c r="CG67" s="17">
        <f>SUMIF('20.01'!$AR:$AR,$B:$B,'20.01'!$D:$D)*1.2</f>
        <v>0</v>
      </c>
      <c r="CH67" s="17">
        <f t="shared" si="9"/>
        <v>987.96085055026867</v>
      </c>
      <c r="CI67" s="17">
        <f>SUMIF('20.01'!$AT:$AT,$B:$B,'20.01'!$D:$D)*1.2</f>
        <v>0</v>
      </c>
      <c r="CJ67" s="17">
        <f>SUMIF('20.01'!$AU:$AU,$B:$B,'20.01'!$D:$D)*1.2</f>
        <v>0</v>
      </c>
      <c r="CK67" s="17">
        <f>SUMIF('20.01'!$AV:$AV,$B:$B,'20.01'!$D:$D)*1.2</f>
        <v>0</v>
      </c>
      <c r="CL67" s="17">
        <f t="shared" si="10"/>
        <v>978.04951267930437</v>
      </c>
      <c r="CM67" s="17">
        <f>SUMIF('20.01'!$AW:$AW,$B:$B,'20.01'!$D:$D)*1.2</f>
        <v>0</v>
      </c>
      <c r="CN67" s="17">
        <f>SUMIF('20.01'!$AX:$AX,$B:$B,'20.01'!$D:$D)*1.2</f>
        <v>0</v>
      </c>
      <c r="CO67" s="110">
        <f t="shared" si="56"/>
        <v>328097.87914966745</v>
      </c>
      <c r="CP67" s="17">
        <f t="shared" si="57"/>
        <v>258817.18301334366</v>
      </c>
      <c r="CQ67" s="17">
        <f t="shared" si="11"/>
        <v>79848.662191109048</v>
      </c>
      <c r="CR67" s="17">
        <f t="shared" si="12"/>
        <v>178968.52082223463</v>
      </c>
      <c r="CS67" s="17">
        <f t="shared" si="58"/>
        <v>69280.696136323822</v>
      </c>
      <c r="CT67" s="17">
        <f t="shared" si="13"/>
        <v>2523.9565350613757</v>
      </c>
      <c r="CU67" s="17">
        <f t="shared" si="14"/>
        <v>2441.2553069312207</v>
      </c>
      <c r="CV67" s="17">
        <f t="shared" si="15"/>
        <v>2523.0907159125095</v>
      </c>
      <c r="CW67" s="17">
        <f t="shared" si="16"/>
        <v>26.45738419198668</v>
      </c>
      <c r="CX67" s="17">
        <f t="shared" si="17"/>
        <v>37254.656877174188</v>
      </c>
      <c r="CY67" s="17">
        <f t="shared" si="18"/>
        <v>24511.279317052536</v>
      </c>
      <c r="CZ67" s="110">
        <f t="shared" si="59"/>
        <v>81442.482932314495</v>
      </c>
      <c r="DA67" s="17">
        <f t="shared" si="60"/>
        <v>3076.4400223240332</v>
      </c>
      <c r="DB67" s="17">
        <f t="shared" si="19"/>
        <v>2919.4287293186599</v>
      </c>
      <c r="DC67" s="17">
        <f t="shared" si="20"/>
        <v>157.01129300537329</v>
      </c>
      <c r="DD67" s="17">
        <f t="shared" si="21"/>
        <v>5421.0402131195369</v>
      </c>
      <c r="DE67" s="17">
        <f t="shared" si="22"/>
        <v>1870.4017164581753</v>
      </c>
      <c r="DF67" s="17">
        <f t="shared" si="23"/>
        <v>2269.9930583732071</v>
      </c>
      <c r="DG67" s="17">
        <f t="shared" si="61"/>
        <v>68804.607922039548</v>
      </c>
      <c r="DH67" s="110">
        <f t="shared" si="62"/>
        <v>50826.471410720857</v>
      </c>
      <c r="DI67" s="17">
        <f t="shared" si="24"/>
        <v>45593.417166023377</v>
      </c>
      <c r="DJ67" s="17">
        <f t="shared" si="25"/>
        <v>5042.3640293424533</v>
      </c>
      <c r="DK67" s="17">
        <f t="shared" si="26"/>
        <v>190.69021535502586</v>
      </c>
      <c r="DL67" s="110">
        <f t="shared" si="63"/>
        <v>384611.0296421664</v>
      </c>
      <c r="DM67" s="17">
        <f t="shared" si="27"/>
        <v>160147.57125312433</v>
      </c>
      <c r="DN67" s="17">
        <f t="shared" si="28"/>
        <v>142017.65752635556</v>
      </c>
      <c r="DO67" s="17">
        <f t="shared" si="29"/>
        <v>82445.800862686519</v>
      </c>
      <c r="DP67" s="110">
        <f t="shared" si="64"/>
        <v>125860.92926835355</v>
      </c>
      <c r="DQ67" s="108">
        <f>DQ66</f>
        <v>2459.424</v>
      </c>
      <c r="DR67" s="17">
        <f t="shared" si="30"/>
        <v>122493.4515662685</v>
      </c>
      <c r="DS67" s="17">
        <f t="shared" si="31"/>
        <v>908.0537020850411</v>
      </c>
      <c r="DT67" s="110">
        <f t="shared" si="65"/>
        <v>6854.0113853147959</v>
      </c>
      <c r="DU67" s="108">
        <f>(11379.04/(G66+G67)*G67)*1.2</f>
        <v>6854.0113853147959</v>
      </c>
      <c r="DV67" s="17">
        <f t="shared" si="32"/>
        <v>0</v>
      </c>
      <c r="DW67" s="17">
        <f t="shared" si="33"/>
        <v>0</v>
      </c>
      <c r="DX67" s="110">
        <f t="shared" si="34"/>
        <v>1569540.0500642874</v>
      </c>
      <c r="DY67" s="110"/>
      <c r="DZ67" s="110">
        <f t="shared" si="66"/>
        <v>1569540.0500642874</v>
      </c>
      <c r="EA67" s="257"/>
      <c r="EB67" s="110">
        <f t="shared" si="35"/>
        <v>886.55421686746979</v>
      </c>
      <c r="EC67" s="110">
        <f>SUMIF(еирц!$B:$B,$B:$B,еирц!$K:$K)</f>
        <v>1385921.82</v>
      </c>
      <c r="ED67" s="110">
        <f>SUMIF(еирц!$B:$B,$B:$B,еирц!$P:$P)</f>
        <v>1348542.45</v>
      </c>
      <c r="EE67" s="110">
        <f>SUMIF(еирц!$B:$B,$B:$B,еирц!$S:$S)</f>
        <v>186691.42</v>
      </c>
      <c r="EF67" s="177">
        <f t="shared" si="67"/>
        <v>-182731.67584741977</v>
      </c>
      <c r="EG67" s="181">
        <f t="shared" si="68"/>
        <v>0</v>
      </c>
      <c r="EH67" s="177">
        <f t="shared" si="69"/>
        <v>-182731.67584741977</v>
      </c>
    </row>
    <row r="68" spans="1:138" ht="12" customHeight="1" x14ac:dyDescent="0.25">
      <c r="A68" s="5">
        <f t="shared" si="70"/>
        <v>64</v>
      </c>
      <c r="B68" s="6" t="s">
        <v>146</v>
      </c>
      <c r="C68" s="7">
        <f t="shared" si="0"/>
        <v>9513.2000000000044</v>
      </c>
      <c r="D68" s="8">
        <v>9513.2000000000044</v>
      </c>
      <c r="E68" s="8">
        <v>0</v>
      </c>
      <c r="F68" s="8">
        <v>2004.8</v>
      </c>
      <c r="G68" s="87">
        <f t="shared" si="1"/>
        <v>9513.2000000000044</v>
      </c>
      <c r="H68" s="87">
        <f t="shared" si="2"/>
        <v>9513.2000000000044</v>
      </c>
      <c r="I68" s="91">
        <v>5</v>
      </c>
      <c r="J68" s="112">
        <v>1.4941303268564014E-2</v>
      </c>
      <c r="K68" s="17">
        <v>5</v>
      </c>
      <c r="L68" s="112">
        <f t="shared" si="36"/>
        <v>1.2048192771084338E-2</v>
      </c>
      <c r="M68" s="116">
        <v>3.4064172920716653</v>
      </c>
      <c r="N68" s="120">
        <f t="shared" si="37"/>
        <v>9513.2000000000044</v>
      </c>
      <c r="O68" s="116">
        <v>3.0862330394577842</v>
      </c>
      <c r="P68" s="120">
        <f t="shared" si="38"/>
        <v>9513.2000000000044</v>
      </c>
      <c r="Q68" s="116">
        <v>1.600927021488993</v>
      </c>
      <c r="R68" s="120">
        <f t="shared" si="39"/>
        <v>9513.2000000000044</v>
      </c>
      <c r="S68" s="5" t="s">
        <v>143</v>
      </c>
      <c r="T68" s="87">
        <v>41.34</v>
      </c>
      <c r="U68" s="88">
        <v>4.68</v>
      </c>
      <c r="V68" s="88">
        <v>7.92</v>
      </c>
      <c r="W68" s="88">
        <v>12.32</v>
      </c>
      <c r="X68" s="88">
        <v>6.34</v>
      </c>
      <c r="Y68" s="88">
        <v>2.89</v>
      </c>
      <c r="Z68" s="88">
        <v>1.66</v>
      </c>
      <c r="AA68" s="88">
        <v>5.29</v>
      </c>
      <c r="AB68" s="88">
        <v>0.24</v>
      </c>
      <c r="AC68" s="257"/>
      <c r="AD68" s="110">
        <f t="shared" si="40"/>
        <v>319749.68888381327</v>
      </c>
      <c r="AE68" s="110">
        <f t="shared" si="41"/>
        <v>280088.36028115114</v>
      </c>
      <c r="AF68" s="16">
        <f>SUMIF('20.01'!$I:$I,$B:$B,'20.01'!$D:$D)*1.2</f>
        <v>116424.024</v>
      </c>
      <c r="AG68" s="17">
        <f t="shared" si="83"/>
        <v>25377.682367500733</v>
      </c>
      <c r="AH68" s="17">
        <f t="shared" si="43"/>
        <v>7264.2699762570364</v>
      </c>
      <c r="AI68" s="16">
        <f>SUMIF('20.01'!$J:$J,$B:$B,'20.01'!$D:$D)*1.2</f>
        <v>0</v>
      </c>
      <c r="AJ68" s="17">
        <f t="shared" si="44"/>
        <v>2952.0360021546744</v>
      </c>
      <c r="AK68" s="17">
        <f t="shared" si="45"/>
        <v>7181.6477845455865</v>
      </c>
      <c r="AL68" s="17">
        <f t="shared" si="46"/>
        <v>120888.70015069313</v>
      </c>
      <c r="AM68" s="110">
        <f t="shared" si="47"/>
        <v>8780.5560000000005</v>
      </c>
      <c r="AN68" s="17">
        <f>SUMIF('20.01'!$K:$K,$B:$B,'20.01'!$D:$D)*1.2</f>
        <v>8780.5560000000005</v>
      </c>
      <c r="AO68" s="17">
        <f>SUMIF('20.01'!$L:$L,$B:$B,'20.01'!$D:$D)*1.2</f>
        <v>0</v>
      </c>
      <c r="AP68" s="17">
        <f>SUMIF('20.01'!$M:$M,$B:$B,'20.01'!$D:$D)*1.2</f>
        <v>0</v>
      </c>
      <c r="AQ68" s="110">
        <f t="shared" si="48"/>
        <v>2672.3726026621457</v>
      </c>
      <c r="AR68" s="17">
        <f t="shared" si="49"/>
        <v>2672.3726026621457</v>
      </c>
      <c r="AS68" s="17">
        <f>(SUMIF('20.01'!$N:$N,$B:$B,'20.01'!$D:$D)+SUMIF('20.01'!$O:$O,$B:$B,'20.01'!$D:$D))*1.2</f>
        <v>0</v>
      </c>
      <c r="AT68" s="110">
        <f>SUMIF('20.01'!$P:$P,$B:$B,'20.01'!$D:$D)*1.2</f>
        <v>0</v>
      </c>
      <c r="AU68" s="110">
        <f t="shared" si="50"/>
        <v>28208.399999999998</v>
      </c>
      <c r="AV68" s="17">
        <f>SUMIF('20.01'!$Q:$Q,$B:$B,'20.01'!$D:$D)*1.2</f>
        <v>28208.399999999998</v>
      </c>
      <c r="AW68" s="17">
        <f>SUMIF('20.01'!$R:$R,$B:$B,'20.01'!$D:$D)*1.2</f>
        <v>0</v>
      </c>
      <c r="AX68" s="110">
        <f t="shared" si="51"/>
        <v>0</v>
      </c>
      <c r="AY68" s="17">
        <f>SUMIF('20.01'!$S:$S,$B:$B,'20.01'!$D:$D)*1.2</f>
        <v>0</v>
      </c>
      <c r="AZ68" s="17">
        <f>SUMIF('20.01'!$T:$T,$B:$B,'20.01'!$D:$D)*1.2</f>
        <v>0</v>
      </c>
      <c r="BA68" s="110">
        <f t="shared" si="52"/>
        <v>0</v>
      </c>
      <c r="BB68" s="17">
        <f>SUMIF('20.01'!$U:$U,$B:$B,'20.01'!$D:$D)*1.2</f>
        <v>0</v>
      </c>
      <c r="BC68" s="17">
        <f>SUMIF('20.01'!$V:$V,$B:$B,'20.01'!$D:$D)*1.2</f>
        <v>0</v>
      </c>
      <c r="BD68" s="17">
        <f>SUMIF('20.01'!$W:$W,$B:$B,'20.01'!$D:$D)*1.2</f>
        <v>0</v>
      </c>
      <c r="BE68" s="110">
        <f>SUMIF('20.01'!$X:$X,$B:$B,'20.01'!$D:$D)*1.2</f>
        <v>0</v>
      </c>
      <c r="BF68" s="110">
        <f t="shared" si="53"/>
        <v>0</v>
      </c>
      <c r="BG68" s="17">
        <f>SUMIF('20.01'!$Y:$Y,$B:$B,'20.01'!$D:$D)*1.2</f>
        <v>0</v>
      </c>
      <c r="BH68" s="17">
        <f>SUMIF('20.01'!$Z:$Z,$B:$B,'20.01'!$D:$D)*1.2</f>
        <v>0</v>
      </c>
      <c r="BI68" s="17">
        <f>SUMIF('20.01'!$AA:$AA,$B:$B,'20.01'!$D:$D)*1.2</f>
        <v>0</v>
      </c>
      <c r="BJ68" s="17">
        <f>SUMIF('20.01'!$AB:$AB,$B:$B,'20.01'!$D:$D)*1.2</f>
        <v>0</v>
      </c>
      <c r="BK68" s="17">
        <f>SUMIF('20.01'!$AC:$AC,$B:$B,'20.01'!$D:$D)*1.2</f>
        <v>0</v>
      </c>
      <c r="BL68" s="17">
        <f>SUMIF('20.01'!$AD:$AD,$B:$B,'20.01'!$D:$D)*1.2</f>
        <v>0</v>
      </c>
      <c r="BM68" s="110">
        <f t="shared" si="54"/>
        <v>0</v>
      </c>
      <c r="BN68" s="17">
        <f>SUMIF('20.01'!$AE:$AE,$B:$B,'20.01'!$D:$D)*1.2</f>
        <v>0</v>
      </c>
      <c r="BO68" s="17">
        <f>SUMIF('20.01'!$AF:$AF,$B:$B,'20.01'!$D:$D)*1.2</f>
        <v>0</v>
      </c>
      <c r="BP68" s="110">
        <f>SUMIF('20.01'!$AG:$AG,$B:$B,'20.01'!$D:$D)*1.2</f>
        <v>0</v>
      </c>
      <c r="BQ68" s="110">
        <f>SUMIF('20.01'!$AH:$AH,$B:$B,'20.01'!$D:$D)*1.2</f>
        <v>0</v>
      </c>
      <c r="BR68" s="110">
        <f>SUMIF('20.01'!$AI:$AI,$B:$B,'20.01'!$D:$D)*1.2</f>
        <v>0</v>
      </c>
      <c r="BS68" s="110">
        <f t="shared" si="55"/>
        <v>0</v>
      </c>
      <c r="BT68" s="17">
        <f>SUMIF('20.01'!$AJ:$AJ,$B:$B,'20.01'!$D:$D)*1.2</f>
        <v>0</v>
      </c>
      <c r="BU68" s="17">
        <f>SUMIF('20.01'!$AK:$AK,$B:$B,'20.01'!$D:$D)*1.2</f>
        <v>0</v>
      </c>
      <c r="BV68" s="110">
        <f>SUMIF('20.01'!$AL:$AL,$B:$B,'20.01'!$D:$D)*1.2</f>
        <v>0</v>
      </c>
      <c r="BW68" s="110">
        <f>SUMIF('20.01'!$AM:$AM,$B:$B,'20.01'!$D:$D)*1.2</f>
        <v>0</v>
      </c>
      <c r="BX68" s="110">
        <f>SUMIF('20.01'!$AN:$AN,$B:$B,'20.01'!$D:$D)*1.2</f>
        <v>0</v>
      </c>
      <c r="BY68" s="110">
        <f t="shared" si="3"/>
        <v>719678.26844004705</v>
      </c>
      <c r="BZ68" s="17">
        <f t="shared" si="82"/>
        <v>583009.00321139104</v>
      </c>
      <c r="CA68" s="17">
        <f t="shared" si="5"/>
        <v>59003.537866545594</v>
      </c>
      <c r="CB68" s="17">
        <f t="shared" si="6"/>
        <v>3922.2530037907736</v>
      </c>
      <c r="CC68" s="17">
        <f>SUMIF('20.01'!$AO:$AO,$B:$B,'20.01'!$D:$D)*1.2</f>
        <v>0</v>
      </c>
      <c r="CD68" s="17">
        <f t="shared" si="7"/>
        <v>61575.388519526481</v>
      </c>
      <c r="CE68" s="17">
        <f>SUMIF('20.01'!$AQ:$AQ,$B:$B,'20.01'!$D:$D)*1.2</f>
        <v>0</v>
      </c>
      <c r="CF68" s="17">
        <f t="shared" si="8"/>
        <v>5602.3869735697499</v>
      </c>
      <c r="CG68" s="17">
        <f>SUMIF('20.01'!$AR:$AR,$B:$B,'20.01'!$D:$D)*1.2</f>
        <v>0</v>
      </c>
      <c r="CH68" s="17">
        <f t="shared" si="9"/>
        <v>3299.3994114494208</v>
      </c>
      <c r="CI68" s="17">
        <f>SUMIF('20.01'!$AT:$AT,$B:$B,'20.01'!$D:$D)*1.2</f>
        <v>0</v>
      </c>
      <c r="CJ68" s="17">
        <f>SUMIF('20.01'!$AU:$AU,$B:$B,'20.01'!$D:$D)*1.2</f>
        <v>0</v>
      </c>
      <c r="CK68" s="17">
        <f>SUMIF('20.01'!$AV:$AV,$B:$B,'20.01'!$D:$D)*1.2</f>
        <v>0</v>
      </c>
      <c r="CL68" s="17">
        <f t="shared" si="10"/>
        <v>3266.2994537740515</v>
      </c>
      <c r="CM68" s="17">
        <f>SUMIF('20.01'!$AW:$AW,$B:$B,'20.01'!$D:$D)*1.2</f>
        <v>0</v>
      </c>
      <c r="CN68" s="17">
        <f>SUMIF('20.01'!$AX:$AX,$B:$B,'20.01'!$D:$D)*1.2</f>
        <v>0</v>
      </c>
      <c r="CO68" s="110">
        <f t="shared" si="56"/>
        <v>1095717.45556646</v>
      </c>
      <c r="CP68" s="17">
        <f t="shared" si="57"/>
        <v>864347.26723391912</v>
      </c>
      <c r="CQ68" s="17">
        <f t="shared" si="11"/>
        <v>266663.02504965913</v>
      </c>
      <c r="CR68" s="17">
        <f t="shared" si="12"/>
        <v>597684.24218426005</v>
      </c>
      <c r="CS68" s="17">
        <f t="shared" si="58"/>
        <v>231370.18833254091</v>
      </c>
      <c r="CT68" s="17">
        <f t="shared" si="13"/>
        <v>8429.018924856382</v>
      </c>
      <c r="CU68" s="17">
        <f t="shared" si="14"/>
        <v>8152.8294551351901</v>
      </c>
      <c r="CV68" s="17">
        <f t="shared" si="15"/>
        <v>8426.1274305339102</v>
      </c>
      <c r="CW68" s="17">
        <f t="shared" si="16"/>
        <v>88.35722365204235</v>
      </c>
      <c r="CX68" s="17">
        <f t="shared" si="17"/>
        <v>124415.85403494127</v>
      </c>
      <c r="CY68" s="17">
        <f t="shared" si="18"/>
        <v>81858.001263422135</v>
      </c>
      <c r="CZ68" s="110">
        <f t="shared" si="59"/>
        <v>271985.75743582624</v>
      </c>
      <c r="DA68" s="17">
        <f t="shared" si="60"/>
        <v>10274.095773493298</v>
      </c>
      <c r="DB68" s="17">
        <f t="shared" si="19"/>
        <v>9749.7400083389348</v>
      </c>
      <c r="DC68" s="17">
        <f t="shared" si="20"/>
        <v>524.35576515436287</v>
      </c>
      <c r="DD68" s="17">
        <f t="shared" si="21"/>
        <v>18104.135278890964</v>
      </c>
      <c r="DE68" s="17">
        <f t="shared" si="22"/>
        <v>6246.4037102471111</v>
      </c>
      <c r="DF68" s="17">
        <f t="shared" si="23"/>
        <v>7580.881121574108</v>
      </c>
      <c r="DG68" s="17">
        <f t="shared" si="61"/>
        <v>229780.24155162077</v>
      </c>
      <c r="DH68" s="110">
        <f t="shared" si="62"/>
        <v>169740.35941320995</v>
      </c>
      <c r="DI68" s="17">
        <f t="shared" si="24"/>
        <v>152264.02309338405</v>
      </c>
      <c r="DJ68" s="17">
        <f t="shared" si="25"/>
        <v>16839.506243045937</v>
      </c>
      <c r="DK68" s="17">
        <f t="shared" si="26"/>
        <v>636.83007677997352</v>
      </c>
      <c r="DL68" s="110">
        <f t="shared" si="63"/>
        <v>1284449.0792641505</v>
      </c>
      <c r="DM68" s="17">
        <f t="shared" si="27"/>
        <v>534829.69698982767</v>
      </c>
      <c r="DN68" s="17">
        <f t="shared" si="28"/>
        <v>474282.93884003593</v>
      </c>
      <c r="DO68" s="17">
        <f t="shared" si="29"/>
        <v>275336.44343428692</v>
      </c>
      <c r="DP68" s="110">
        <f t="shared" si="64"/>
        <v>420437.62036492804</v>
      </c>
      <c r="DQ68" s="17">
        <f>SUMIF('20.01'!$BB:$BB,$B:$B,'20.01'!$D:$D)*1.2</f>
        <v>7788.42</v>
      </c>
      <c r="DR68" s="17">
        <f t="shared" si="30"/>
        <v>409612.70876590785</v>
      </c>
      <c r="DS68" s="17">
        <f t="shared" si="31"/>
        <v>3036.4915990202189</v>
      </c>
      <c r="DT68" s="110">
        <f t="shared" si="65"/>
        <v>16878.887999999999</v>
      </c>
      <c r="DU68" s="17">
        <f>SUMIF('20.01'!$BD:$BD,$B:$B,'20.01'!$D:$D)*1.2</f>
        <v>16878.887999999999</v>
      </c>
      <c r="DV68" s="17">
        <f t="shared" si="32"/>
        <v>0</v>
      </c>
      <c r="DW68" s="17">
        <f t="shared" si="33"/>
        <v>0</v>
      </c>
      <c r="DX68" s="110">
        <f t="shared" si="34"/>
        <v>4298637.1173684355</v>
      </c>
      <c r="DY68" s="110">
        <f>EC68*EG68</f>
        <v>356383.47909248824</v>
      </c>
      <c r="DZ68" s="110">
        <f t="shared" si="66"/>
        <v>4655020.5964609236</v>
      </c>
      <c r="EA68" s="257"/>
      <c r="EB68" s="110">
        <f t="shared" si="35"/>
        <v>4432.7710843373497</v>
      </c>
      <c r="EC68" s="110">
        <f>SUMIF(еирц!$B:$B,$B:$B,еирц!$K:$K)</f>
        <v>4629547.08</v>
      </c>
      <c r="ED68" s="110">
        <f>SUMIF(еирц!$B:$B,$B:$B,еирц!$P:$P)</f>
        <v>4606873.8900000006</v>
      </c>
      <c r="EE68" s="110">
        <f>SUMIF(еирц!$B:$B,$B:$B,еирц!$S:$S)</f>
        <v>1089061.96</v>
      </c>
      <c r="EF68" s="177">
        <f t="shared" si="67"/>
        <v>335342.73371590208</v>
      </c>
      <c r="EG68" s="181">
        <f t="shared" si="68"/>
        <v>7.698020409644224E-2</v>
      </c>
      <c r="EH68" s="177">
        <f t="shared" si="69"/>
        <v>-21040.745376585983</v>
      </c>
    </row>
    <row r="69" spans="1:138" ht="12" customHeight="1" x14ac:dyDescent="0.25">
      <c r="A69" s="5">
        <f t="shared" si="70"/>
        <v>65</v>
      </c>
      <c r="B69" s="6" t="s">
        <v>147</v>
      </c>
      <c r="C69" s="7">
        <f t="shared" ref="C69:C139" si="84">SUM(D69:E69)</f>
        <v>2869.6</v>
      </c>
      <c r="D69" s="8">
        <v>2869.6</v>
      </c>
      <c r="E69" s="8">
        <v>0</v>
      </c>
      <c r="F69" s="8">
        <v>487.4</v>
      </c>
      <c r="G69" s="87">
        <f t="shared" ref="G69:G132" si="85">C69</f>
        <v>2869.6</v>
      </c>
      <c r="H69" s="87">
        <f t="shared" ref="H69:H132" si="86">IF(AB69&gt;0,G69,0)</f>
        <v>2869.6</v>
      </c>
      <c r="I69" s="91">
        <v>1</v>
      </c>
      <c r="J69" s="112">
        <v>4.5062783289944652E-3</v>
      </c>
      <c r="K69" s="17">
        <v>1</v>
      </c>
      <c r="L69" s="112">
        <f t="shared" si="36"/>
        <v>2.4096385542168672E-3</v>
      </c>
      <c r="M69" s="116">
        <v>3.4064177332358985</v>
      </c>
      <c r="N69" s="120">
        <f t="shared" si="37"/>
        <v>2869.6</v>
      </c>
      <c r="O69" s="116">
        <v>3.0862333298534996</v>
      </c>
      <c r="P69" s="120">
        <f t="shared" si="38"/>
        <v>2869.6</v>
      </c>
      <c r="Q69" s="116">
        <v>1.6009258308104537</v>
      </c>
      <c r="R69" s="120">
        <f t="shared" si="39"/>
        <v>2869.6</v>
      </c>
      <c r="S69" s="5" t="s">
        <v>143</v>
      </c>
      <c r="T69" s="87">
        <v>41.34</v>
      </c>
      <c r="U69" s="88">
        <v>4.68</v>
      </c>
      <c r="V69" s="88">
        <v>7.92</v>
      </c>
      <c r="W69" s="88">
        <v>12.32</v>
      </c>
      <c r="X69" s="88">
        <v>6.34</v>
      </c>
      <c r="Y69" s="88">
        <v>2.89</v>
      </c>
      <c r="Z69" s="88">
        <v>1.66</v>
      </c>
      <c r="AA69" s="88">
        <v>5.29</v>
      </c>
      <c r="AB69" s="88">
        <v>0.24</v>
      </c>
      <c r="AC69" s="257"/>
      <c r="AD69" s="110">
        <f t="shared" si="40"/>
        <v>135094.4795585965</v>
      </c>
      <c r="AE69" s="110">
        <f t="shared" si="41"/>
        <v>52945.546313190207</v>
      </c>
      <c r="AF69" s="131">
        <f>SUMIF('20.01'!$I:$I,$B:$B,'20.01'!$D:$D)*1.2/(G69+G70)*G69</f>
        <v>3577.1761125856692</v>
      </c>
      <c r="AG69" s="17">
        <f t="shared" si="83"/>
        <v>7655.0264182168003</v>
      </c>
      <c r="AH69" s="17">
        <f t="shared" si="43"/>
        <v>2191.2236811868961</v>
      </c>
      <c r="AI69" s="16">
        <f>SUMIF('20.01'!$J:$J,$B:$B,'20.01'!$D:$D)*1.2</f>
        <v>0</v>
      </c>
      <c r="AJ69" s="17">
        <f t="shared" si="44"/>
        <v>890.46404067853609</v>
      </c>
      <c r="AK69" s="17">
        <f t="shared" si="45"/>
        <v>2166.3011901917339</v>
      </c>
      <c r="AL69" s="17">
        <f t="shared" si="46"/>
        <v>36465.354870330571</v>
      </c>
      <c r="AM69" s="110">
        <f t="shared" si="47"/>
        <v>0</v>
      </c>
      <c r="AN69" s="17">
        <f>SUMIF('20.01'!$K:$K,$B:$B,'20.01'!$D:$D)*1.2</f>
        <v>0</v>
      </c>
      <c r="AO69" s="17">
        <f>SUMIF('20.01'!$L:$L,$B:$B,'20.01'!$D:$D)*1.2</f>
        <v>0</v>
      </c>
      <c r="AP69" s="17">
        <f>SUMIF('20.01'!$M:$M,$B:$B,'20.01'!$D:$D)*1.2</f>
        <v>0</v>
      </c>
      <c r="AQ69" s="110">
        <f t="shared" si="48"/>
        <v>806.10524540630809</v>
      </c>
      <c r="AR69" s="17">
        <f t="shared" si="49"/>
        <v>806.10524540630809</v>
      </c>
      <c r="AS69" s="17">
        <f>(SUMIF('20.01'!$N:$N,$B:$B,'20.01'!$D:$D)+SUMIF('20.01'!$O:$O,$B:$B,'20.01'!$D:$D))*1.2</f>
        <v>0</v>
      </c>
      <c r="AT69" s="110">
        <f>SUMIF('20.01'!$P:$P,$B:$B,'20.01'!$D:$D)*1.2</f>
        <v>0</v>
      </c>
      <c r="AU69" s="110">
        <f t="shared" si="50"/>
        <v>0</v>
      </c>
      <c r="AV69" s="17">
        <f>SUMIF('20.01'!$Q:$Q,$B:$B,'20.01'!$D:$D)*1.2</f>
        <v>0</v>
      </c>
      <c r="AW69" s="17">
        <f>SUMIF('20.01'!$R:$R,$B:$B,'20.01'!$D:$D)*1.2</f>
        <v>0</v>
      </c>
      <c r="AX69" s="110">
        <f t="shared" si="51"/>
        <v>0</v>
      </c>
      <c r="AY69" s="17">
        <f>SUMIF('20.01'!$S:$S,$B:$B,'20.01'!$D:$D)*1.2</f>
        <v>0</v>
      </c>
      <c r="AZ69" s="17">
        <f>SUMIF('20.01'!$T:$T,$B:$B,'20.01'!$D:$D)*1.2</f>
        <v>0</v>
      </c>
      <c r="BA69" s="110">
        <f t="shared" si="52"/>
        <v>81342.827999999994</v>
      </c>
      <c r="BB69" s="17">
        <f>SUMIF('20.01'!$U:$U,$B:$B,'20.01'!$D:$D)*1.2</f>
        <v>81342.827999999994</v>
      </c>
      <c r="BC69" s="17">
        <f>SUMIF('20.01'!$V:$V,$B:$B,'20.01'!$D:$D)*1.2</f>
        <v>0</v>
      </c>
      <c r="BD69" s="17">
        <f>SUMIF('20.01'!$W:$W,$B:$B,'20.01'!$D:$D)*1.2</f>
        <v>0</v>
      </c>
      <c r="BE69" s="110">
        <f>SUMIF('20.01'!$X:$X,$B:$B,'20.01'!$D:$D)*1.2</f>
        <v>0</v>
      </c>
      <c r="BF69" s="110">
        <f t="shared" si="53"/>
        <v>0</v>
      </c>
      <c r="BG69" s="17">
        <f>SUMIF('20.01'!$Y:$Y,$B:$B,'20.01'!$D:$D)*1.2</f>
        <v>0</v>
      </c>
      <c r="BH69" s="17">
        <f>SUMIF('20.01'!$Z:$Z,$B:$B,'20.01'!$D:$D)*1.2</f>
        <v>0</v>
      </c>
      <c r="BI69" s="17">
        <f>SUMIF('20.01'!$AA:$AA,$B:$B,'20.01'!$D:$D)*1.2</f>
        <v>0</v>
      </c>
      <c r="BJ69" s="17">
        <f>SUMIF('20.01'!$AB:$AB,$B:$B,'20.01'!$D:$D)*1.2</f>
        <v>0</v>
      </c>
      <c r="BK69" s="17">
        <f>SUMIF('20.01'!$AC:$AC,$B:$B,'20.01'!$D:$D)*1.2</f>
        <v>0</v>
      </c>
      <c r="BL69" s="17">
        <f>SUMIF('20.01'!$AD:$AD,$B:$B,'20.01'!$D:$D)*1.2</f>
        <v>0</v>
      </c>
      <c r="BM69" s="110">
        <f t="shared" si="54"/>
        <v>0</v>
      </c>
      <c r="BN69" s="17">
        <f>SUMIF('20.01'!$AE:$AE,$B:$B,'20.01'!$D:$D)*1.2</f>
        <v>0</v>
      </c>
      <c r="BO69" s="17">
        <f>SUMIF('20.01'!$AF:$AF,$B:$B,'20.01'!$D:$D)*1.2</f>
        <v>0</v>
      </c>
      <c r="BP69" s="110">
        <f>SUMIF('20.01'!$AG:$AG,$B:$B,'20.01'!$D:$D)*1.2</f>
        <v>0</v>
      </c>
      <c r="BQ69" s="110">
        <f>SUMIF('20.01'!$AH:$AH,$B:$B,'20.01'!$D:$D)*1.2</f>
        <v>0</v>
      </c>
      <c r="BR69" s="110">
        <f>SUMIF('20.01'!$AI:$AI,$B:$B,'20.01'!$D:$D)*1.2</f>
        <v>0</v>
      </c>
      <c r="BS69" s="110">
        <f t="shared" si="55"/>
        <v>0</v>
      </c>
      <c r="BT69" s="17">
        <f>SUMIF('20.01'!$AJ:$AJ,$B:$B,'20.01'!$D:$D)*1.2</f>
        <v>0</v>
      </c>
      <c r="BU69" s="17">
        <f>SUMIF('20.01'!$AK:$AK,$B:$B,'20.01'!$D:$D)*1.2</f>
        <v>0</v>
      </c>
      <c r="BV69" s="110">
        <f>SUMIF('20.01'!$AL:$AL,$B:$B,'20.01'!$D:$D)*1.2</f>
        <v>0</v>
      </c>
      <c r="BW69" s="110">
        <f>SUMIF('20.01'!$AM:$AM,$B:$B,'20.01'!$D:$D)*1.2</f>
        <v>0</v>
      </c>
      <c r="BX69" s="110">
        <f>SUMIF('20.01'!$AN:$AN,$B:$B,'20.01'!$D:$D)*1.2</f>
        <v>0</v>
      </c>
      <c r="BY69" s="110">
        <f t="shared" ref="BY69:BY132" si="87">SUM(BZ69:CN69)</f>
        <v>217086.6542399569</v>
      </c>
      <c r="BZ69" s="17">
        <f t="shared" si="82"/>
        <v>175861.18610093414</v>
      </c>
      <c r="CA69" s="17">
        <f t="shared" ref="CA69:CA132" si="88">$CA$244/$G$244*G69</f>
        <v>17798.065031938691</v>
      </c>
      <c r="CB69" s="17">
        <f t="shared" ref="CB69:CB132" si="89">$CB$244/$G$244*G69</f>
        <v>1183.1242084343858</v>
      </c>
      <c r="CC69" s="17">
        <f>SUMIF('20.01'!$AO:$AO,$B:$B,'20.01'!$D:$D)*1.2</f>
        <v>0</v>
      </c>
      <c r="CD69" s="17">
        <f t="shared" ref="CD69:CD132" si="90">$CD$244/$G$244*G69</f>
        <v>18573.848431193826</v>
      </c>
      <c r="CE69" s="17">
        <f>SUMIF('20.01'!$AQ:$AQ,$B:$B,'20.01'!$D:$D)*1.2</f>
        <v>0</v>
      </c>
      <c r="CF69" s="17">
        <f t="shared" ref="CF69:CF132" si="91">$CF$244/$G$244*G69</f>
        <v>1689.9265924563497</v>
      </c>
      <c r="CG69" s="17">
        <f>SUMIF('20.01'!$AR:$AR,$B:$B,'20.01'!$D:$D)*1.2</f>
        <v>0</v>
      </c>
      <c r="CH69" s="17">
        <f t="shared" ref="CH69:CH132" si="92">$CH$244/$G$244*G69</f>
        <v>995.24413983677982</v>
      </c>
      <c r="CI69" s="17">
        <f>SUMIF('20.01'!$AT:$AT,$B:$B,'20.01'!$D:$D)*1.2</f>
        <v>0</v>
      </c>
      <c r="CJ69" s="17">
        <f>SUMIF('20.01'!$AU:$AU,$B:$B,'20.01'!$D:$D)*1.2</f>
        <v>0</v>
      </c>
      <c r="CK69" s="17">
        <f>SUMIF('20.01'!$AV:$AV,$B:$B,'20.01'!$D:$D)*1.2</f>
        <v>0</v>
      </c>
      <c r="CL69" s="17">
        <f t="shared" ref="CL69:CL132" si="93">$CL$244/$G$244*G69</f>
        <v>985.25973516272268</v>
      </c>
      <c r="CM69" s="17">
        <f>SUMIF('20.01'!$AW:$AW,$B:$B,'20.01'!$D:$D)*1.2</f>
        <v>0</v>
      </c>
      <c r="CN69" s="17">
        <f>SUMIF('20.01'!$AX:$AX,$B:$B,'20.01'!$D:$D)*1.2</f>
        <v>0</v>
      </c>
      <c r="CO69" s="110">
        <f t="shared" si="56"/>
        <v>330516.63062833878</v>
      </c>
      <c r="CP69" s="17">
        <f t="shared" si="57"/>
        <v>260725.19426212559</v>
      </c>
      <c r="CQ69" s="17">
        <f t="shared" ref="CQ69:CQ132" si="94">$CQ$244/$G$244*G69</f>
        <v>80437.309914907863</v>
      </c>
      <c r="CR69" s="17">
        <f t="shared" ref="CR69:CR132" si="95">$CR$244/$G$244*G69</f>
        <v>180287.88434721774</v>
      </c>
      <c r="CS69" s="17">
        <f t="shared" si="58"/>
        <v>69791.436366213165</v>
      </c>
      <c r="CT69" s="17">
        <f t="shared" ref="CT69:CT132" si="96">$CT$244/$G$244*G69</f>
        <v>2542.5632496707585</v>
      </c>
      <c r="CU69" s="17">
        <f t="shared" ref="CU69:CU132" si="97">$CU$244/$G$244*G69</f>
        <v>2459.2523445797347</v>
      </c>
      <c r="CV69" s="17">
        <f t="shared" ref="CV69:CV132" si="98">$CV$244/$G$244*G69</f>
        <v>2541.6910476664107</v>
      </c>
      <c r="CW69" s="17">
        <f t="shared" ref="CW69:CW132" si="99">$CW$244/$G$244*G69</f>
        <v>26.652429150222911</v>
      </c>
      <c r="CX69" s="17">
        <f t="shared" ref="CX69:CX132" si="100">$CX$244/$G$244*G69</f>
        <v>37529.299787523363</v>
      </c>
      <c r="CY69" s="17">
        <f t="shared" ref="CY69:CY132" si="101">$CY$244/$G$244*G69</f>
        <v>24691.977507622676</v>
      </c>
      <c r="CZ69" s="110">
        <f t="shared" si="59"/>
        <v>82042.880370206301</v>
      </c>
      <c r="DA69" s="17">
        <f t="shared" si="60"/>
        <v>3099.1196686305716</v>
      </c>
      <c r="DB69" s="17">
        <f t="shared" ref="DB69:DB132" si="102">$DB$244/$G$244*G69</f>
        <v>2940.9508817148167</v>
      </c>
      <c r="DC69" s="17">
        <f t="shared" ref="DC69:DC132" si="103">$DC$244/$G$244*G69</f>
        <v>158.16878691575482</v>
      </c>
      <c r="DD69" s="17">
        <f t="shared" ref="DD69:DD132" si="104">$DD$244/$G$244*G69</f>
        <v>5461.0043514596027</v>
      </c>
      <c r="DE69" s="17">
        <f t="shared" ref="DE69:DE132" si="105">$DE$244/$G$244*G69</f>
        <v>1884.1903972296495</v>
      </c>
      <c r="DF69" s="17">
        <f t="shared" ref="DF69:DF132" si="106">$DF$244/$G$244*G69</f>
        <v>2286.7275434626677</v>
      </c>
      <c r="DG69" s="17">
        <f t="shared" si="61"/>
        <v>69311.838409423814</v>
      </c>
      <c r="DH69" s="110">
        <f t="shared" si="62"/>
        <v>51201.166313348505</v>
      </c>
      <c r="DI69" s="17">
        <f t="shared" ref="DI69:DI132" si="107">$DI$244/$G$244*G69</f>
        <v>45929.533770842056</v>
      </c>
      <c r="DJ69" s="17">
        <f t="shared" ref="DJ69:DJ132" si="108">$DJ$244/$G$244*G69</f>
        <v>5079.5365507972701</v>
      </c>
      <c r="DK69" s="17">
        <f t="shared" ref="DK69:DK132" si="109">$DK$244/$G$244*G69</f>
        <v>192.0959917091842</v>
      </c>
      <c r="DL69" s="110">
        <f t="shared" si="63"/>
        <v>387446.39846281003</v>
      </c>
      <c r="DM69" s="17">
        <f t="shared" ref="DM69:DM132" si="110">IF(M69&gt;0,$DM$246*0.53/$N$244*N69,0)</f>
        <v>161328.18593974781</v>
      </c>
      <c r="DN69" s="17">
        <f t="shared" ref="DN69:DN132" si="111">IF(O69&gt;0,$DM$246*0.47/$P$244*P69,0)</f>
        <v>143064.61772015371</v>
      </c>
      <c r="DO69" s="17">
        <f t="shared" ref="DO69:DO132" si="112">IF(Q69&gt;0,$DO$246/$R$244*R69,0)</f>
        <v>83053.594802908527</v>
      </c>
      <c r="DP69" s="110">
        <f t="shared" si="64"/>
        <v>126913.90535663771</v>
      </c>
      <c r="DQ69" s="108">
        <f>SUMIF('20.01'!$BB:$BB,$B:$B,'20.01'!$D:$D)*1.2/2</f>
        <v>2459.424</v>
      </c>
      <c r="DR69" s="17">
        <f t="shared" ref="DR69:DR132" si="113">$DR$244*J69</f>
        <v>123538.67929821703</v>
      </c>
      <c r="DS69" s="17">
        <f t="shared" ref="DS69:DS132" si="114">$DS$244*J69</f>
        <v>915.8020584206804</v>
      </c>
      <c r="DT69" s="110">
        <f t="shared" si="65"/>
        <v>6833.2580822070713</v>
      </c>
      <c r="DU69" s="108">
        <f>(SUMIF('20.01'!$BD:$BD,$B:$B,'20.01'!$D:$D)/(G69+G70)*G69)*1.2</f>
        <v>6833.2580822070713</v>
      </c>
      <c r="DV69" s="17">
        <f t="shared" ref="DV69:DV132" si="115">$DV$244/$H$244*H69</f>
        <v>0</v>
      </c>
      <c r="DW69" s="17">
        <f t="shared" ref="DW69:DW132" si="116">$DW$244/$H$244*H69</f>
        <v>0</v>
      </c>
      <c r="DX69" s="110">
        <f t="shared" ref="DX69:DX132" si="117">SUM(AD69,BY69,CO69,CZ69,DH69,DL69,DP69,DT69)</f>
        <v>1337135.3730121017</v>
      </c>
      <c r="DY69" s="110">
        <f>EC69*EG69</f>
        <v>111694.0944</v>
      </c>
      <c r="DZ69" s="110">
        <f t="shared" si="66"/>
        <v>1448829.4674121018</v>
      </c>
      <c r="EA69" s="257"/>
      <c r="EB69" s="110">
        <f t="shared" ref="EB69:EB132" si="118">$EB$245*L69</f>
        <v>886.55421686746979</v>
      </c>
      <c r="EC69" s="110">
        <f>SUMIF(еирц!$B:$B,$B:$B,еирц!$K:$K)</f>
        <v>1396176.18</v>
      </c>
      <c r="ED69" s="110">
        <f>SUMIF(еирц!$B:$B,$B:$B,еирц!$P:$P)</f>
        <v>1393211.34</v>
      </c>
      <c r="EE69" s="110">
        <f>SUMIF(еирц!$B:$B,$B:$B,еирц!$S:$S)</f>
        <v>224414.48</v>
      </c>
      <c r="EF69" s="177">
        <f t="shared" si="67"/>
        <v>59927.361204765737</v>
      </c>
      <c r="EG69" s="182">
        <v>0.08</v>
      </c>
      <c r="EH69" s="177">
        <f t="shared" si="69"/>
        <v>-51766.733195234323</v>
      </c>
    </row>
    <row r="70" spans="1:138" ht="12" customHeight="1" x14ac:dyDescent="0.25">
      <c r="A70" s="5">
        <f t="shared" si="70"/>
        <v>66</v>
      </c>
      <c r="B70" s="6" t="s">
        <v>148</v>
      </c>
      <c r="C70" s="7">
        <f t="shared" si="84"/>
        <v>2864.7</v>
      </c>
      <c r="D70" s="8">
        <v>2864.7</v>
      </c>
      <c r="E70" s="8">
        <v>0</v>
      </c>
      <c r="F70" s="8">
        <v>487.4</v>
      </c>
      <c r="G70" s="87">
        <f t="shared" si="85"/>
        <v>2864.7</v>
      </c>
      <c r="H70" s="87">
        <f t="shared" si="86"/>
        <v>2864.7</v>
      </c>
      <c r="I70" s="91">
        <v>1</v>
      </c>
      <c r="J70" s="112">
        <v>4.4889058755310613E-3</v>
      </c>
      <c r="K70" s="17">
        <v>1</v>
      </c>
      <c r="L70" s="112">
        <f t="shared" ref="L70:L133" si="119">K70*100/$K$244/100</f>
        <v>2.4096385542168672E-3</v>
      </c>
      <c r="M70" s="116">
        <v>3.4064179941931649</v>
      </c>
      <c r="N70" s="120">
        <f t="shared" ref="N70:N133" si="120">IF(M70&gt;0,G70,0)</f>
        <v>2864.7</v>
      </c>
      <c r="O70" s="116">
        <v>3.0862327911288352</v>
      </c>
      <c r="P70" s="120">
        <f t="shared" ref="P70:P133" si="121">IF(O70&gt;0,G70,0)</f>
        <v>2864.7</v>
      </c>
      <c r="Q70" s="116">
        <v>1.60092601532165</v>
      </c>
      <c r="R70" s="120">
        <f t="shared" ref="R70:R133" si="122">IF(Q70&gt;0,G70,0)</f>
        <v>2864.7</v>
      </c>
      <c r="S70" s="5" t="s">
        <v>143</v>
      </c>
      <c r="T70" s="87">
        <v>41.34</v>
      </c>
      <c r="U70" s="88">
        <v>4.68</v>
      </c>
      <c r="V70" s="88">
        <v>7.92</v>
      </c>
      <c r="W70" s="88">
        <v>12.32</v>
      </c>
      <c r="X70" s="88">
        <v>6.34</v>
      </c>
      <c r="Y70" s="88">
        <v>2.89</v>
      </c>
      <c r="Z70" s="88">
        <v>1.66</v>
      </c>
      <c r="AA70" s="88">
        <v>5.29</v>
      </c>
      <c r="AB70" s="88">
        <v>0.24</v>
      </c>
      <c r="AC70" s="257"/>
      <c r="AD70" s="110">
        <f t="shared" ref="AD70:AD133" si="123">SUM(AE70,AM70,AQ70,AT70,AU70,AX70,BA70,BE70,BF70,BM70,BP70,BQ70,BR70,BS70,BV70,BW70,BX70)</f>
        <v>53659.867653997571</v>
      </c>
      <c r="AE70" s="110">
        <f t="shared" ref="AE70:AE133" si="124">SUM(AF70:AL70)</f>
        <v>52855.1388776819</v>
      </c>
      <c r="AF70" s="131">
        <f>7148.244/(G69+G70)*G70</f>
        <v>3571.0678874143314</v>
      </c>
      <c r="AG70" s="17">
        <f t="shared" si="83"/>
        <v>7641.9550391224102</v>
      </c>
      <c r="AH70" s="17">
        <f t="shared" ref="AH70:AH133" si="125">$AH$244/$G$244*G70</f>
        <v>2187.4820461026279</v>
      </c>
      <c r="AI70" s="16">
        <f>SUMIF('20.01'!$J:$J,$B:$B,'20.01'!$D:$D)*1.2</f>
        <v>0</v>
      </c>
      <c r="AJ70" s="17">
        <f t="shared" ref="AJ70:AJ133" si="126">$AJ$244/$G$244*G70</f>
        <v>888.94352430018205</v>
      </c>
      <c r="AK70" s="17">
        <f t="shared" ref="AK70:AK133" si="127">$AK$244/$G$244*G70</f>
        <v>2162.6021116330708</v>
      </c>
      <c r="AL70" s="17">
        <f t="shared" ref="AL70:AL133" si="128">$AL$244/$G$244*G70</f>
        <v>36403.088269109277</v>
      </c>
      <c r="AM70" s="110">
        <f t="shared" ref="AM70:AM133" si="129">SUM(AN70:AP70)</f>
        <v>0</v>
      </c>
      <c r="AN70" s="17">
        <f>SUMIF('20.01'!$K:$K,$B:$B,'20.01'!$D:$D)*1.2</f>
        <v>0</v>
      </c>
      <c r="AO70" s="17">
        <f>SUMIF('20.01'!$L:$L,$B:$B,'20.01'!$D:$D)*1.2</f>
        <v>0</v>
      </c>
      <c r="AP70" s="17">
        <f>SUMIF('20.01'!$M:$M,$B:$B,'20.01'!$D:$D)*1.2</f>
        <v>0</v>
      </c>
      <c r="AQ70" s="110">
        <f t="shared" ref="AQ70:AQ133" si="130">SUM(AR70:AS70)</f>
        <v>804.72877631567133</v>
      </c>
      <c r="AR70" s="17">
        <f t="shared" ref="AR70:AR133" si="131">$AR$244/$G$244*G70</f>
        <v>804.72877631567133</v>
      </c>
      <c r="AS70" s="17">
        <f>(SUMIF('20.01'!$N:$N,$B:$B,'20.01'!$D:$D)+SUMIF('20.01'!$O:$O,$B:$B,'20.01'!$D:$D))*1.2</f>
        <v>0</v>
      </c>
      <c r="AT70" s="110">
        <f>SUMIF('20.01'!$P:$P,$B:$B,'20.01'!$D:$D)*1.2</f>
        <v>0</v>
      </c>
      <c r="AU70" s="110">
        <f t="shared" ref="AU70:AU133" si="132">SUM(AV70:AW70)</f>
        <v>0</v>
      </c>
      <c r="AV70" s="17">
        <f>SUMIF('20.01'!$Q:$Q,$B:$B,'20.01'!$D:$D)*1.2</f>
        <v>0</v>
      </c>
      <c r="AW70" s="17">
        <f>SUMIF('20.01'!$R:$R,$B:$B,'20.01'!$D:$D)*1.2</f>
        <v>0</v>
      </c>
      <c r="AX70" s="110">
        <f t="shared" ref="AX70:AX133" si="133">SUM(AY70:AZ70)</f>
        <v>0</v>
      </c>
      <c r="AY70" s="17">
        <f>SUMIF('20.01'!$S:$S,$B:$B,'20.01'!$D:$D)*1.2</f>
        <v>0</v>
      </c>
      <c r="AZ70" s="17">
        <f>SUMIF('20.01'!$T:$T,$B:$B,'20.01'!$D:$D)*1.2</f>
        <v>0</v>
      </c>
      <c r="BA70" s="110">
        <f t="shared" ref="BA70:BA133" si="134">SUM(BB70:BD70)</f>
        <v>0</v>
      </c>
      <c r="BB70" s="17">
        <f>SUMIF('20.01'!$U:$U,$B:$B,'20.01'!$D:$D)*1.2</f>
        <v>0</v>
      </c>
      <c r="BC70" s="17">
        <f>SUMIF('20.01'!$V:$V,$B:$B,'20.01'!$D:$D)*1.2</f>
        <v>0</v>
      </c>
      <c r="BD70" s="17">
        <f>SUMIF('20.01'!$W:$W,$B:$B,'20.01'!$D:$D)*1.2</f>
        <v>0</v>
      </c>
      <c r="BE70" s="110">
        <f>SUMIF('20.01'!$X:$X,$B:$B,'20.01'!$D:$D)*1.2</f>
        <v>0</v>
      </c>
      <c r="BF70" s="110">
        <f t="shared" ref="BF70:BF133" si="135">SUM(BG70:BL70)</f>
        <v>0</v>
      </c>
      <c r="BG70" s="17">
        <f>SUMIF('20.01'!$Y:$Y,$B:$B,'20.01'!$D:$D)*1.2</f>
        <v>0</v>
      </c>
      <c r="BH70" s="17">
        <f>SUMIF('20.01'!$Z:$Z,$B:$B,'20.01'!$D:$D)*1.2</f>
        <v>0</v>
      </c>
      <c r="BI70" s="17">
        <f>SUMIF('20.01'!$AA:$AA,$B:$B,'20.01'!$D:$D)*1.2</f>
        <v>0</v>
      </c>
      <c r="BJ70" s="17">
        <f>SUMIF('20.01'!$AB:$AB,$B:$B,'20.01'!$D:$D)*1.2</f>
        <v>0</v>
      </c>
      <c r="BK70" s="17">
        <f>SUMIF('20.01'!$AC:$AC,$B:$B,'20.01'!$D:$D)*1.2</f>
        <v>0</v>
      </c>
      <c r="BL70" s="17">
        <f>SUMIF('20.01'!$AD:$AD,$B:$B,'20.01'!$D:$D)*1.2</f>
        <v>0</v>
      </c>
      <c r="BM70" s="110">
        <f t="shared" ref="BM70:BM133" si="136">SUM(BN70:BO70)</f>
        <v>0</v>
      </c>
      <c r="BN70" s="17">
        <f>SUMIF('20.01'!$AE:$AE,$B:$B,'20.01'!$D:$D)*1.2</f>
        <v>0</v>
      </c>
      <c r="BO70" s="17">
        <f>SUMIF('20.01'!$AF:$AF,$B:$B,'20.01'!$D:$D)*1.2</f>
        <v>0</v>
      </c>
      <c r="BP70" s="110">
        <f>SUMIF('20.01'!$AG:$AG,$B:$B,'20.01'!$D:$D)*1.2</f>
        <v>0</v>
      </c>
      <c r="BQ70" s="110">
        <f>SUMIF('20.01'!$AH:$AH,$B:$B,'20.01'!$D:$D)*1.2</f>
        <v>0</v>
      </c>
      <c r="BR70" s="110">
        <f>SUMIF('20.01'!$AI:$AI,$B:$B,'20.01'!$D:$D)*1.2</f>
        <v>0</v>
      </c>
      <c r="BS70" s="110">
        <f t="shared" ref="BS70:BS133" si="137">SUM(BT70:BU70)</f>
        <v>0</v>
      </c>
      <c r="BT70" s="17">
        <f>SUMIF('20.01'!$AJ:$AJ,$B:$B,'20.01'!$D:$D)*1.2</f>
        <v>0</v>
      </c>
      <c r="BU70" s="17">
        <f>SUMIF('20.01'!$AK:$AK,$B:$B,'20.01'!$D:$D)*1.2</f>
        <v>0</v>
      </c>
      <c r="BV70" s="110">
        <f>SUMIF('20.01'!$AL:$AL,$B:$B,'20.01'!$D:$D)*1.2</f>
        <v>0</v>
      </c>
      <c r="BW70" s="110">
        <f>SUMIF('20.01'!$AM:$AM,$B:$B,'20.01'!$D:$D)*1.2</f>
        <v>0</v>
      </c>
      <c r="BX70" s="110">
        <f>SUMIF('20.01'!$AN:$AN,$B:$B,'20.01'!$D:$D)*1.2</f>
        <v>0</v>
      </c>
      <c r="BY70" s="110">
        <f t="shared" si="87"/>
        <v>216715.96682506427</v>
      </c>
      <c r="BZ70" s="17">
        <f t="shared" si="82"/>
        <v>175560.89344276069</v>
      </c>
      <c r="CA70" s="17">
        <f t="shared" si="88"/>
        <v>17767.673855936286</v>
      </c>
      <c r="CB70" s="17">
        <f t="shared" si="89"/>
        <v>1181.1039587057376</v>
      </c>
      <c r="CC70" s="17">
        <f>SUMIF('20.01'!$AO:$AO,$B:$B,'20.01'!$D:$D)*1.2</f>
        <v>0</v>
      </c>
      <c r="CD70" s="17">
        <f t="shared" si="90"/>
        <v>18542.132562322608</v>
      </c>
      <c r="CE70" s="17">
        <f>SUMIF('20.01'!$AQ:$AQ,$B:$B,'20.01'!$D:$D)*1.2</f>
        <v>0</v>
      </c>
      <c r="CF70" s="17">
        <f t="shared" si="91"/>
        <v>1687.0409497524759</v>
      </c>
      <c r="CG70" s="17">
        <f>SUMIF('20.01'!$AR:$AR,$B:$B,'20.01'!$D:$D)*1.2</f>
        <v>0</v>
      </c>
      <c r="CH70" s="17">
        <f t="shared" si="92"/>
        <v>993.54470566992711</v>
      </c>
      <c r="CI70" s="17">
        <f>SUMIF('20.01'!$AT:$AT,$B:$B,'20.01'!$D:$D)*1.2</f>
        <v>0</v>
      </c>
      <c r="CJ70" s="17">
        <f>SUMIF('20.01'!$AU:$AU,$B:$B,'20.01'!$D:$D)*1.2</f>
        <v>0</v>
      </c>
      <c r="CK70" s="17">
        <f>SUMIF('20.01'!$AV:$AV,$B:$B,'20.01'!$D:$D)*1.2</f>
        <v>0</v>
      </c>
      <c r="CL70" s="17">
        <f t="shared" si="93"/>
        <v>983.57734991659174</v>
      </c>
      <c r="CM70" s="17">
        <f>SUMIF('20.01'!$AW:$AW,$B:$B,'20.01'!$D:$D)*1.2</f>
        <v>0</v>
      </c>
      <c r="CN70" s="17">
        <f>SUMIF('20.01'!$AX:$AX,$B:$B,'20.01'!$D:$D)*1.2</f>
        <v>0</v>
      </c>
      <c r="CO70" s="110">
        <f t="shared" ref="CO70:CO133" si="138">SUM(CP70,CS70)</f>
        <v>329952.25528331543</v>
      </c>
      <c r="CP70" s="17">
        <f t="shared" ref="CP70:CP133" si="139">SUM(CQ70:CR70)</f>
        <v>260279.99163740978</v>
      </c>
      <c r="CQ70" s="17">
        <f t="shared" si="94"/>
        <v>80299.958779354798</v>
      </c>
      <c r="CR70" s="17">
        <f t="shared" si="95"/>
        <v>179980.032858055</v>
      </c>
      <c r="CS70" s="17">
        <f t="shared" ref="CS70:CS133" si="140">SUM(CT70:CY70)</f>
        <v>69672.263645905652</v>
      </c>
      <c r="CT70" s="17">
        <f t="shared" si="96"/>
        <v>2538.2216829285694</v>
      </c>
      <c r="CU70" s="17">
        <f t="shared" si="97"/>
        <v>2455.0530357950811</v>
      </c>
      <c r="CV70" s="17">
        <f t="shared" si="98"/>
        <v>2537.3509702571669</v>
      </c>
      <c r="CW70" s="17">
        <f t="shared" si="99"/>
        <v>26.606918659967789</v>
      </c>
      <c r="CX70" s="17">
        <f t="shared" si="100"/>
        <v>37465.216441775221</v>
      </c>
      <c r="CY70" s="17">
        <f t="shared" si="101"/>
        <v>24649.814596489643</v>
      </c>
      <c r="CZ70" s="110">
        <f t="shared" ref="CZ70:CZ133" si="141">SUM(DA70,DD70,DE70,DF70,DG70)</f>
        <v>81902.787634698208</v>
      </c>
      <c r="DA70" s="17">
        <f t="shared" ref="DA70:DA133" si="142">SUM(DB70:DC70)</f>
        <v>3093.8277511590454</v>
      </c>
      <c r="DB70" s="17">
        <f t="shared" si="102"/>
        <v>2935.929046155713</v>
      </c>
      <c r="DC70" s="17">
        <f t="shared" si="103"/>
        <v>157.89870500333245</v>
      </c>
      <c r="DD70" s="17">
        <f t="shared" si="104"/>
        <v>5451.67938584692</v>
      </c>
      <c r="DE70" s="17">
        <f t="shared" si="105"/>
        <v>1880.9730383829722</v>
      </c>
      <c r="DF70" s="17">
        <f t="shared" si="106"/>
        <v>2282.8228302751268</v>
      </c>
      <c r="DG70" s="17">
        <f t="shared" ref="DG70:DG133" si="143">$DG$244/$G$244*G70</f>
        <v>69193.484629034152</v>
      </c>
      <c r="DH70" s="110">
        <f t="shared" ref="DH70:DH133" si="144">SUM(DI70:DK70)</f>
        <v>51113.737502735385</v>
      </c>
      <c r="DI70" s="17">
        <f t="shared" si="107"/>
        <v>45851.106563051027</v>
      </c>
      <c r="DJ70" s="17">
        <f t="shared" si="108"/>
        <v>5070.8629624578125</v>
      </c>
      <c r="DK70" s="17">
        <f t="shared" si="109"/>
        <v>191.76797722654726</v>
      </c>
      <c r="DL70" s="110">
        <f t="shared" ref="DL70:DL133" si="145">SUM(DM70:DO70)</f>
        <v>386784.81240465987</v>
      </c>
      <c r="DM70" s="17">
        <f t="shared" si="110"/>
        <v>161052.70917953565</v>
      </c>
      <c r="DN70" s="17">
        <f t="shared" si="111"/>
        <v>142820.32700826749</v>
      </c>
      <c r="DO70" s="17">
        <f t="shared" si="112"/>
        <v>82911.776216856713</v>
      </c>
      <c r="DP70" s="110">
        <f t="shared" ref="DP70:DP133" si="146">SUM(DQ70:DS70)</f>
        <v>126434.11260354279</v>
      </c>
      <c r="DQ70" s="108">
        <f>DQ69</f>
        <v>2459.424</v>
      </c>
      <c r="DR70" s="17">
        <f t="shared" si="113"/>
        <v>123062.417114581</v>
      </c>
      <c r="DS70" s="17">
        <f t="shared" si="114"/>
        <v>912.27148896179096</v>
      </c>
      <c r="DT70" s="110">
        <f t="shared" ref="DT70:DT133" si="147">SUM(DU70:DW70)</f>
        <v>6821.5899177929305</v>
      </c>
      <c r="DU70" s="108">
        <f>(11379.04/(G69+G70)*G70)*1.2</f>
        <v>6821.5899177929305</v>
      </c>
      <c r="DV70" s="17">
        <f t="shared" si="115"/>
        <v>0</v>
      </c>
      <c r="DW70" s="17">
        <f t="shared" si="116"/>
        <v>0</v>
      </c>
      <c r="DX70" s="110">
        <f t="shared" si="117"/>
        <v>1253385.1298258065</v>
      </c>
      <c r="DY70" s="110">
        <f>EC70*EG70</f>
        <v>181218.8222</v>
      </c>
      <c r="DZ70" s="110">
        <f t="shared" ref="DZ70:DZ133" si="148">DX70+DY70</f>
        <v>1434603.9520258065</v>
      </c>
      <c r="EA70" s="257"/>
      <c r="EB70" s="110">
        <f t="shared" si="118"/>
        <v>886.55421686746979</v>
      </c>
      <c r="EC70" s="110">
        <f>SUMIF(еирц!$B:$B,$B:$B,еирц!$K:$K)</f>
        <v>1393990.94</v>
      </c>
      <c r="ED70" s="110">
        <f>SUMIF(еирц!$B:$B,$B:$B,еирц!$P:$P)</f>
        <v>1420163.58</v>
      </c>
      <c r="EE70" s="110">
        <f>SUMIF(еирц!$B:$B,$B:$B,еирц!$S:$S)</f>
        <v>186416.4</v>
      </c>
      <c r="EF70" s="177">
        <f t="shared" ref="EF70:EF133" si="149">(EB70+EC70)-DX70</f>
        <v>141492.36439106101</v>
      </c>
      <c r="EG70" s="183">
        <v>0.13</v>
      </c>
      <c r="EH70" s="177">
        <f t="shared" ref="EH70:EH133" si="150">(EB70+EC70)-DZ70</f>
        <v>-39726.457808939042</v>
      </c>
    </row>
    <row r="71" spans="1:138" ht="12" customHeight="1" x14ac:dyDescent="0.25">
      <c r="A71" s="5">
        <f t="shared" ref="A71:A134" si="151">A70+1</f>
        <v>67</v>
      </c>
      <c r="B71" s="6" t="s">
        <v>149</v>
      </c>
      <c r="C71" s="7">
        <f t="shared" si="84"/>
        <v>6521.800000000002</v>
      </c>
      <c r="D71" s="8">
        <v>6015.2000000000016</v>
      </c>
      <c r="E71" s="8">
        <v>506.6</v>
      </c>
      <c r="F71" s="8">
        <v>1729.2</v>
      </c>
      <c r="G71" s="91">
        <f t="shared" si="85"/>
        <v>6521.800000000002</v>
      </c>
      <c r="H71" s="87">
        <f t="shared" si="86"/>
        <v>0</v>
      </c>
      <c r="I71" s="91">
        <v>4</v>
      </c>
      <c r="J71" s="112">
        <v>1.024158406199854E-2</v>
      </c>
      <c r="K71" s="17">
        <v>2</v>
      </c>
      <c r="L71" s="112">
        <f t="shared" si="119"/>
        <v>4.8192771084337345E-3</v>
      </c>
      <c r="M71" s="116">
        <v>3.4064170001379885</v>
      </c>
      <c r="N71" s="120">
        <f t="shared" si="120"/>
        <v>6521.800000000002</v>
      </c>
      <c r="O71" s="116">
        <v>3.0862323536175893</v>
      </c>
      <c r="P71" s="120">
        <f t="shared" si="121"/>
        <v>6521.800000000002</v>
      </c>
      <c r="Q71" s="116">
        <v>1.6009265933796362</v>
      </c>
      <c r="R71" s="120">
        <f t="shared" si="122"/>
        <v>6521.800000000002</v>
      </c>
      <c r="S71" s="5" t="s">
        <v>143</v>
      </c>
      <c r="T71" s="87">
        <v>41.1</v>
      </c>
      <c r="U71" s="88">
        <v>4.68</v>
      </c>
      <c r="V71" s="88">
        <v>7.92</v>
      </c>
      <c r="W71" s="88">
        <v>12.32</v>
      </c>
      <c r="X71" s="88">
        <v>6.34</v>
      </c>
      <c r="Y71" s="88">
        <v>2.89</v>
      </c>
      <c r="Z71" s="88">
        <v>1.66</v>
      </c>
      <c r="AA71" s="88">
        <v>5.29</v>
      </c>
      <c r="AB71" s="88">
        <v>0</v>
      </c>
      <c r="AC71" s="257"/>
      <c r="AD71" s="110">
        <f t="shared" si="123"/>
        <v>648557.62883488764</v>
      </c>
      <c r="AE71" s="110">
        <f t="shared" si="124"/>
        <v>287399.25656645623</v>
      </c>
      <c r="AF71" s="16">
        <f>SUMIF('20.01'!$I:$I,$B:$B,'20.01'!$D:$D)*1.2</f>
        <v>175198.728</v>
      </c>
      <c r="AG71" s="17">
        <f t="shared" si="83"/>
        <v>17397.738811794796</v>
      </c>
      <c r="AH71" s="17">
        <f t="shared" si="125"/>
        <v>4980.0399372611882</v>
      </c>
      <c r="AI71" s="16">
        <f>SUMIF('20.01'!$J:$J,$B:$B,'20.01'!$D:$D)*1.2</f>
        <v>0</v>
      </c>
      <c r="AJ71" s="17">
        <f t="shared" si="126"/>
        <v>2023.776268642765</v>
      </c>
      <c r="AK71" s="17">
        <f t="shared" si="127"/>
        <v>4923.3980701813689</v>
      </c>
      <c r="AL71" s="17">
        <f t="shared" si="128"/>
        <v>82875.575478576109</v>
      </c>
      <c r="AM71" s="110">
        <f t="shared" si="129"/>
        <v>0</v>
      </c>
      <c r="AN71" s="17">
        <f>SUMIF('20.01'!$K:$K,$B:$B,'20.01'!$D:$D)*1.2</f>
        <v>0</v>
      </c>
      <c r="AO71" s="17">
        <f>SUMIF('20.01'!$L:$L,$B:$B,'20.01'!$D:$D)*1.2</f>
        <v>0</v>
      </c>
      <c r="AP71" s="17">
        <f>SUMIF('20.01'!$M:$M,$B:$B,'20.01'!$D:$D)*1.2</f>
        <v>0</v>
      </c>
      <c r="AQ71" s="110">
        <f t="shared" si="130"/>
        <v>1832.0522684314406</v>
      </c>
      <c r="AR71" s="17">
        <f t="shared" si="131"/>
        <v>1832.0522684314406</v>
      </c>
      <c r="AS71" s="17">
        <f>(SUMIF('20.01'!$N:$N,$B:$B,'20.01'!$D:$D)+SUMIF('20.01'!$O:$O,$B:$B,'20.01'!$D:$D))*1.2</f>
        <v>0</v>
      </c>
      <c r="AT71" s="110">
        <f>SUMIF('20.01'!$P:$P,$B:$B,'20.01'!$D:$D)*1.2</f>
        <v>0</v>
      </c>
      <c r="AU71" s="110">
        <f t="shared" si="132"/>
        <v>0</v>
      </c>
      <c r="AV71" s="17">
        <f>SUMIF('20.01'!$Q:$Q,$B:$B,'20.01'!$D:$D)*1.2</f>
        <v>0</v>
      </c>
      <c r="AW71" s="17">
        <f>SUMIF('20.01'!$R:$R,$B:$B,'20.01'!$D:$D)*1.2</f>
        <v>0</v>
      </c>
      <c r="AX71" s="110">
        <f t="shared" si="133"/>
        <v>0</v>
      </c>
      <c r="AY71" s="17">
        <f>SUMIF('20.01'!$S:$S,$B:$B,'20.01'!$D:$D)*1.2</f>
        <v>0</v>
      </c>
      <c r="AZ71" s="17">
        <f>SUMIF('20.01'!$T:$T,$B:$B,'20.01'!$D:$D)*1.2</f>
        <v>0</v>
      </c>
      <c r="BA71" s="110">
        <f t="shared" si="134"/>
        <v>62119.199999999997</v>
      </c>
      <c r="BB71" s="17">
        <f>SUMIF('20.01'!$U:$U,$B:$B,'20.01'!$D:$D)*1.2</f>
        <v>0</v>
      </c>
      <c r="BC71" s="17">
        <f>SUMIF('20.01'!$V:$V,$B:$B,'20.01'!$D:$D)*1.2</f>
        <v>62119.199999999997</v>
      </c>
      <c r="BD71" s="17">
        <f>SUMIF('20.01'!$W:$W,$B:$B,'20.01'!$D:$D)*1.2</f>
        <v>0</v>
      </c>
      <c r="BE71" s="110">
        <f>SUMIF('20.01'!$X:$X,$B:$B,'20.01'!$D:$D)*1.2</f>
        <v>0</v>
      </c>
      <c r="BF71" s="110">
        <f t="shared" si="135"/>
        <v>0</v>
      </c>
      <c r="BG71" s="17">
        <f>SUMIF('20.01'!$Y:$Y,$B:$B,'20.01'!$D:$D)*1.2</f>
        <v>0</v>
      </c>
      <c r="BH71" s="17">
        <f>SUMIF('20.01'!$Z:$Z,$B:$B,'20.01'!$D:$D)*1.2</f>
        <v>0</v>
      </c>
      <c r="BI71" s="17">
        <f>SUMIF('20.01'!$AA:$AA,$B:$B,'20.01'!$D:$D)*1.2</f>
        <v>0</v>
      </c>
      <c r="BJ71" s="17">
        <f>SUMIF('20.01'!$AB:$AB,$B:$B,'20.01'!$D:$D)*1.2</f>
        <v>0</v>
      </c>
      <c r="BK71" s="17">
        <f>SUMIF('20.01'!$AC:$AC,$B:$B,'20.01'!$D:$D)*1.2</f>
        <v>0</v>
      </c>
      <c r="BL71" s="17">
        <f>SUMIF('20.01'!$AD:$AD,$B:$B,'20.01'!$D:$D)*1.2</f>
        <v>0</v>
      </c>
      <c r="BM71" s="110">
        <f t="shared" si="136"/>
        <v>0</v>
      </c>
      <c r="BN71" s="17">
        <f>SUMIF('20.01'!$AE:$AE,$B:$B,'20.01'!$D:$D)*1.2</f>
        <v>0</v>
      </c>
      <c r="BO71" s="17">
        <f>SUMIF('20.01'!$AF:$AF,$B:$B,'20.01'!$D:$D)*1.2</f>
        <v>0</v>
      </c>
      <c r="BP71" s="110">
        <f>SUMIF('20.01'!$AG:$AG,$B:$B,'20.01'!$D:$D)*1.2</f>
        <v>0</v>
      </c>
      <c r="BQ71" s="110">
        <f>SUMIF('20.01'!$AH:$AH,$B:$B,'20.01'!$D:$D)*1.2</f>
        <v>0</v>
      </c>
      <c r="BR71" s="110">
        <f>SUMIF('20.01'!$AI:$AI,$B:$B,'20.01'!$D:$D)*1.2</f>
        <v>0</v>
      </c>
      <c r="BS71" s="110">
        <f t="shared" si="137"/>
        <v>0</v>
      </c>
      <c r="BT71" s="17">
        <f>SUMIF('20.01'!$AJ:$AJ,$B:$B,'20.01'!$D:$D)*1.2</f>
        <v>0</v>
      </c>
      <c r="BU71" s="17">
        <f>SUMIF('20.01'!$AK:$AK,$B:$B,'20.01'!$D:$D)*1.2</f>
        <v>0</v>
      </c>
      <c r="BV71" s="110">
        <f>SUMIF('20.01'!$AL:$AL,$B:$B,'20.01'!$D:$D)*1.2</f>
        <v>297207.12</v>
      </c>
      <c r="BW71" s="110">
        <f>SUMIF('20.01'!$AM:$AM,$B:$B,'20.01'!$D:$D)*1.2</f>
        <v>0</v>
      </c>
      <c r="BX71" s="110">
        <f>SUMIF('20.01'!$AN:$AN,$B:$B,'20.01'!$D:$D)*1.2</f>
        <v>0</v>
      </c>
      <c r="BY71" s="110">
        <f t="shared" si="87"/>
        <v>498177.38417275972</v>
      </c>
      <c r="BZ71" s="17">
        <f t="shared" si="82"/>
        <v>399683.39960728766</v>
      </c>
      <c r="CA71" s="17">
        <f t="shared" si="88"/>
        <v>40450.035031118554</v>
      </c>
      <c r="CB71" s="17">
        <f t="shared" si="89"/>
        <v>2688.9111592442778</v>
      </c>
      <c r="CC71" s="17">
        <f>SUMIF('20.01'!$AO:$AO,$B:$B,'20.01'!$D:$D)*1.2</f>
        <v>0</v>
      </c>
      <c r="CD71" s="17">
        <f t="shared" si="90"/>
        <v>42213.174204962343</v>
      </c>
      <c r="CE71" s="17">
        <f>SUMIF('20.01'!$AQ:$AQ,$B:$B,'20.01'!$D:$D)*1.2</f>
        <v>0</v>
      </c>
      <c r="CF71" s="17">
        <f t="shared" si="91"/>
        <v>3840.7315481885366</v>
      </c>
      <c r="CG71" s="17">
        <f>SUMIF('20.01'!$AR:$AR,$B:$B,'20.01'!$D:$D)*1.2</f>
        <v>0</v>
      </c>
      <c r="CH71" s="17">
        <f t="shared" si="92"/>
        <v>2261.9121937508758</v>
      </c>
      <c r="CI71" s="17">
        <f>SUMIF('20.01'!$AT:$AT,$B:$B,'20.01'!$D:$D)*1.2</f>
        <v>0</v>
      </c>
      <c r="CJ71" s="17">
        <f>SUMIF('20.01'!$AU:$AU,$B:$B,'20.01'!$D:$D)*1.2</f>
        <v>0</v>
      </c>
      <c r="CK71" s="17">
        <f>SUMIF('20.01'!$AV:$AV,$B:$B,'20.01'!$D:$D)*1.2</f>
        <v>0</v>
      </c>
      <c r="CL71" s="17">
        <f t="shared" si="93"/>
        <v>2239.2204282075018</v>
      </c>
      <c r="CM71" s="17">
        <f>SUMIF('20.01'!$AW:$AW,$B:$B,'20.01'!$D:$D)*1.2</f>
        <v>4800</v>
      </c>
      <c r="CN71" s="17">
        <f>SUMIF('20.01'!$AX:$AX,$B:$B,'20.01'!$D:$D)*1.2</f>
        <v>0</v>
      </c>
      <c r="CO71" s="110">
        <f t="shared" si="138"/>
        <v>751172.06636182754</v>
      </c>
      <c r="CP71" s="17">
        <f t="shared" si="139"/>
        <v>592555.60772885813</v>
      </c>
      <c r="CQ71" s="17">
        <f t="shared" si="94"/>
        <v>182811.5583367181</v>
      </c>
      <c r="CR71" s="17">
        <f t="shared" si="95"/>
        <v>409744.04939214006</v>
      </c>
      <c r="CS71" s="17">
        <f t="shared" si="140"/>
        <v>158616.45863296947</v>
      </c>
      <c r="CT71" s="17">
        <f t="shared" si="96"/>
        <v>5778.5367304511983</v>
      </c>
      <c r="CU71" s="17">
        <f t="shared" si="97"/>
        <v>5589.1942921940754</v>
      </c>
      <c r="CV71" s="17">
        <f t="shared" si="98"/>
        <v>5776.5544586948708</v>
      </c>
      <c r="CW71" s="17">
        <f t="shared" si="99"/>
        <v>60.573533744049286</v>
      </c>
      <c r="CX71" s="17">
        <f t="shared" si="100"/>
        <v>85293.625367392655</v>
      </c>
      <c r="CY71" s="17">
        <f t="shared" si="101"/>
        <v>56117.974250492625</v>
      </c>
      <c r="CZ71" s="110">
        <f t="shared" si="141"/>
        <v>186460.57192584738</v>
      </c>
      <c r="DA71" s="17">
        <f t="shared" si="142"/>
        <v>7043.4341562848022</v>
      </c>
      <c r="DB71" s="17">
        <f t="shared" si="102"/>
        <v>6683.9606427264071</v>
      </c>
      <c r="DC71" s="17">
        <f t="shared" si="103"/>
        <v>359.47351355839498</v>
      </c>
      <c r="DD71" s="17">
        <f t="shared" si="104"/>
        <v>12411.338925058979</v>
      </c>
      <c r="DE71" s="17">
        <f t="shared" si="105"/>
        <v>4282.2389645429093</v>
      </c>
      <c r="DF71" s="17">
        <f t="shared" si="106"/>
        <v>5197.0935645925674</v>
      </c>
      <c r="DG71" s="17">
        <f t="shared" si="143"/>
        <v>157526.46631536813</v>
      </c>
      <c r="DH71" s="110">
        <f t="shared" si="144"/>
        <v>116365.96266462101</v>
      </c>
      <c r="DI71" s="17">
        <f t="shared" si="107"/>
        <v>104385.01301459361</v>
      </c>
      <c r="DJ71" s="17">
        <f t="shared" si="108"/>
        <v>11544.369067810721</v>
      </c>
      <c r="DK71" s="17">
        <f t="shared" si="109"/>
        <v>436.58058221667062</v>
      </c>
      <c r="DL71" s="110">
        <f t="shared" si="145"/>
        <v>880557.54164160695</v>
      </c>
      <c r="DM71" s="17">
        <f t="shared" si="110"/>
        <v>366653.94586766366</v>
      </c>
      <c r="DN71" s="17">
        <f t="shared" si="111"/>
        <v>325145.95199585269</v>
      </c>
      <c r="DO71" s="17">
        <f t="shared" si="112"/>
        <v>188757.64377809066</v>
      </c>
      <c r="DP71" s="110">
        <f t="shared" si="146"/>
        <v>295971.24113979068</v>
      </c>
      <c r="DQ71" s="17">
        <f>SUMIF('20.01'!$BB:$BB,$B:$B,'20.01'!$D:$D)*1.2</f>
        <v>13118.975999999999</v>
      </c>
      <c r="DR71" s="17">
        <f t="shared" si="113"/>
        <v>280770.88820727449</v>
      </c>
      <c r="DS71" s="17">
        <f t="shared" si="114"/>
        <v>2081.3769325161929</v>
      </c>
      <c r="DT71" s="110">
        <f t="shared" si="147"/>
        <v>0</v>
      </c>
      <c r="DU71" s="17">
        <f>SUMIF('20.01'!$BD:$BD,$B:$B,'20.01'!$D:$D)*1.2</f>
        <v>0</v>
      </c>
      <c r="DV71" s="17">
        <f t="shared" si="115"/>
        <v>0</v>
      </c>
      <c r="DW71" s="17">
        <f t="shared" si="116"/>
        <v>0</v>
      </c>
      <c r="DX71" s="110">
        <f t="shared" si="117"/>
        <v>3377262.3967413409</v>
      </c>
      <c r="DY71" s="110"/>
      <c r="DZ71" s="110">
        <f t="shared" si="148"/>
        <v>3377262.3967413409</v>
      </c>
      <c r="EA71" s="257"/>
      <c r="EB71" s="110">
        <f t="shared" si="118"/>
        <v>1773.1084337349396</v>
      </c>
      <c r="EC71" s="110">
        <f>SUMIF(еирц!$B:$B,$B:$B,еирц!$K:$K)</f>
        <v>2909672.52</v>
      </c>
      <c r="ED71" s="110">
        <f>SUMIF(еирц!$B:$B,$B:$B,еирц!$P:$P)</f>
        <v>2821343.28</v>
      </c>
      <c r="EE71" s="110">
        <f>SUMIF(еирц!$B:$B,$B:$B,еирц!$S:$S)</f>
        <v>507099.02</v>
      </c>
      <c r="EF71" s="177">
        <f t="shared" si="149"/>
        <v>-465816.76830760576</v>
      </c>
      <c r="EG71" s="181">
        <f t="shared" ref="EG71:EG133" si="152">IF(EF71&gt;0,EC71/DX71-1,0)</f>
        <v>0</v>
      </c>
      <c r="EH71" s="177">
        <f t="shared" si="150"/>
        <v>-465816.76830760576</v>
      </c>
    </row>
    <row r="72" spans="1:138" ht="12" customHeight="1" x14ac:dyDescent="0.25">
      <c r="A72" s="5">
        <f t="shared" si="151"/>
        <v>68</v>
      </c>
      <c r="B72" s="6" t="s">
        <v>150</v>
      </c>
      <c r="C72" s="7">
        <f t="shared" si="84"/>
        <v>3038</v>
      </c>
      <c r="D72" s="8">
        <v>3038</v>
      </c>
      <c r="E72" s="8">
        <v>0</v>
      </c>
      <c r="F72" s="8">
        <v>359.49</v>
      </c>
      <c r="G72" s="87">
        <f t="shared" si="85"/>
        <v>3038</v>
      </c>
      <c r="H72" s="87">
        <f t="shared" si="86"/>
        <v>3038</v>
      </c>
      <c r="I72" s="91">
        <v>1</v>
      </c>
      <c r="J72" s="112">
        <v>4.777965764379233E-3</v>
      </c>
      <c r="K72" s="17">
        <v>1</v>
      </c>
      <c r="L72" s="112">
        <f t="shared" si="119"/>
        <v>2.4096385542168672E-3</v>
      </c>
      <c r="M72" s="117">
        <f>3.40641770766576/2</f>
        <v>1.70320885383288</v>
      </c>
      <c r="N72" s="120">
        <f t="shared" si="120"/>
        <v>3038</v>
      </c>
      <c r="O72" s="117">
        <f>3.08623205487059/2</f>
        <v>1.5431160274352951</v>
      </c>
      <c r="P72" s="120">
        <f t="shared" si="121"/>
        <v>3038</v>
      </c>
      <c r="Q72" s="117">
        <f>1.60092735807001/2</f>
        <v>0.80046367903500504</v>
      </c>
      <c r="R72" s="120">
        <f t="shared" si="122"/>
        <v>3038</v>
      </c>
      <c r="S72" s="5" t="s">
        <v>143</v>
      </c>
      <c r="T72" s="87">
        <v>41.34</v>
      </c>
      <c r="U72" s="88">
        <v>4.68</v>
      </c>
      <c r="V72" s="88">
        <v>7.92</v>
      </c>
      <c r="W72" s="88">
        <v>12.32</v>
      </c>
      <c r="X72" s="88">
        <v>6.34</v>
      </c>
      <c r="Y72" s="88">
        <v>2.89</v>
      </c>
      <c r="Z72" s="88">
        <v>1.66</v>
      </c>
      <c r="AA72" s="88">
        <v>5.29</v>
      </c>
      <c r="AB72" s="88">
        <v>0.24</v>
      </c>
      <c r="AC72" s="257"/>
      <c r="AD72" s="110">
        <f t="shared" si="123"/>
        <v>240595.92890622618</v>
      </c>
      <c r="AE72" s="110">
        <f t="shared" si="124"/>
        <v>84294.002384291409</v>
      </c>
      <c r="AF72" s="131">
        <f>SUMIF('20.01'!$I:$I,$B:$B,'20.01'!$D:$D)*1.2/(G72+G73)*G72</f>
        <v>32028.491975371482</v>
      </c>
      <c r="AG72" s="17">
        <f t="shared" si="83"/>
        <v>8104.2550385219683</v>
      </c>
      <c r="AH72" s="17">
        <f t="shared" si="125"/>
        <v>2319.8137522462334</v>
      </c>
      <c r="AI72" s="16">
        <f>SUMIF('20.01'!$J:$J,$B:$B,'20.01'!$D:$D)*1.2</f>
        <v>0</v>
      </c>
      <c r="AJ72" s="17">
        <f t="shared" si="126"/>
        <v>942.72015457952079</v>
      </c>
      <c r="AK72" s="17">
        <f t="shared" si="127"/>
        <v>2293.4287063710931</v>
      </c>
      <c r="AL72" s="17">
        <f t="shared" si="128"/>
        <v>38605.292757201103</v>
      </c>
      <c r="AM72" s="110">
        <f t="shared" si="129"/>
        <v>0</v>
      </c>
      <c r="AN72" s="17">
        <f>SUMIF('20.01'!$K:$K,$B:$B,'20.01'!$D:$D)*1.2</f>
        <v>0</v>
      </c>
      <c r="AO72" s="17">
        <f>SUMIF('20.01'!$L:$L,$B:$B,'20.01'!$D:$D)*1.2</f>
        <v>0</v>
      </c>
      <c r="AP72" s="17">
        <f>SUMIF('20.01'!$M:$M,$B:$B,'20.01'!$D:$D)*1.2</f>
        <v>0</v>
      </c>
      <c r="AQ72" s="110">
        <f t="shared" si="130"/>
        <v>853.4108361947184</v>
      </c>
      <c r="AR72" s="17">
        <f t="shared" si="131"/>
        <v>853.4108361947184</v>
      </c>
      <c r="AS72" s="17">
        <f>(SUMIF('20.01'!$N:$N,$B:$B,'20.01'!$D:$D)+SUMIF('20.01'!$O:$O,$B:$B,'20.01'!$D:$D))*1.2</f>
        <v>0</v>
      </c>
      <c r="AT72" s="110">
        <f>SUMIF('20.01'!$P:$P,$B:$B,'20.01'!$D:$D)*1.2</f>
        <v>0</v>
      </c>
      <c r="AU72" s="110">
        <f t="shared" si="132"/>
        <v>0</v>
      </c>
      <c r="AV72" s="17">
        <f>SUMIF('20.01'!$Q:$Q,$B:$B,'20.01'!$D:$D)*1.2</f>
        <v>0</v>
      </c>
      <c r="AW72" s="17">
        <f>SUMIF('20.01'!$R:$R,$B:$B,'20.01'!$D:$D)*1.2</f>
        <v>0</v>
      </c>
      <c r="AX72" s="110">
        <f t="shared" si="133"/>
        <v>0</v>
      </c>
      <c r="AY72" s="17">
        <f>SUMIF('20.01'!$S:$S,$B:$B,'20.01'!$D:$D)*1.2</f>
        <v>0</v>
      </c>
      <c r="AZ72" s="17">
        <f>SUMIF('20.01'!$T:$T,$B:$B,'20.01'!$D:$D)*1.2</f>
        <v>0</v>
      </c>
      <c r="BA72" s="110">
        <f t="shared" si="134"/>
        <v>0</v>
      </c>
      <c r="BB72" s="17">
        <f>SUMIF('20.01'!$U:$U,$B:$B,'20.01'!$D:$D)*1.2</f>
        <v>0</v>
      </c>
      <c r="BC72" s="17">
        <f>SUMIF('20.01'!$V:$V,$B:$B,'20.01'!$D:$D)*1.2</f>
        <v>0</v>
      </c>
      <c r="BD72" s="17">
        <f>SUMIF('20.01'!$W:$W,$B:$B,'20.01'!$D:$D)*1.2</f>
        <v>0</v>
      </c>
      <c r="BE72" s="110">
        <f>SUMIF('20.01'!$X:$X,$B:$B,'20.01'!$D:$D)*1.2</f>
        <v>0</v>
      </c>
      <c r="BF72" s="110">
        <f t="shared" si="135"/>
        <v>0</v>
      </c>
      <c r="BG72" s="17">
        <f>SUMIF('20.01'!$Y:$Y,$B:$B,'20.01'!$D:$D)*1.2</f>
        <v>0</v>
      </c>
      <c r="BH72" s="17">
        <f>SUMIF('20.01'!$Z:$Z,$B:$B,'20.01'!$D:$D)*1.2</f>
        <v>0</v>
      </c>
      <c r="BI72" s="17">
        <f>SUMIF('20.01'!$AA:$AA,$B:$B,'20.01'!$D:$D)*1.2</f>
        <v>0</v>
      </c>
      <c r="BJ72" s="17">
        <f>SUMIF('20.01'!$AB:$AB,$B:$B,'20.01'!$D:$D)*1.2</f>
        <v>0</v>
      </c>
      <c r="BK72" s="17">
        <f>SUMIF('20.01'!$AC:$AC,$B:$B,'20.01'!$D:$D)*1.2</f>
        <v>0</v>
      </c>
      <c r="BL72" s="17">
        <f>SUMIF('20.01'!$AD:$AD,$B:$B,'20.01'!$D:$D)*1.2</f>
        <v>0</v>
      </c>
      <c r="BM72" s="110">
        <f t="shared" si="136"/>
        <v>0</v>
      </c>
      <c r="BN72" s="17">
        <f>SUMIF('20.01'!$AE:$AE,$B:$B,'20.01'!$D:$D)*1.2</f>
        <v>0</v>
      </c>
      <c r="BO72" s="17">
        <f>SUMIF('20.01'!$AF:$AF,$B:$B,'20.01'!$D:$D)*1.2</f>
        <v>0</v>
      </c>
      <c r="BP72" s="110">
        <f>SUMIF('20.01'!$AG:$AG,$B:$B,'20.01'!$D:$D)*1.2</f>
        <v>0</v>
      </c>
      <c r="BQ72" s="110">
        <f>SUMIF('20.01'!$AH:$AH,$B:$B,'20.01'!$D:$D)*1.2</f>
        <v>0</v>
      </c>
      <c r="BR72" s="110">
        <f>SUMIF('20.01'!$AI:$AI,$B:$B,'20.01'!$D:$D)*1.2</f>
        <v>0</v>
      </c>
      <c r="BS72" s="110">
        <f t="shared" si="137"/>
        <v>0</v>
      </c>
      <c r="BT72" s="17">
        <f>SUMIF('20.01'!$AJ:$AJ,$B:$B,'20.01'!$D:$D)*1.2</f>
        <v>0</v>
      </c>
      <c r="BU72" s="17">
        <f>SUMIF('20.01'!$AK:$AK,$B:$B,'20.01'!$D:$D)*1.2</f>
        <v>0</v>
      </c>
      <c r="BV72" s="141">
        <f>SUMIF('20.01'!$AL:$AL,$B:$B,'20.01'!$D:$D)*1.2/(G72+G73)*G72</f>
        <v>155448.51568574007</v>
      </c>
      <c r="BW72" s="110">
        <f>SUMIF('20.01'!$AM:$AM,$B:$B,'20.01'!$D:$D)*1.2</f>
        <v>0</v>
      </c>
      <c r="BX72" s="110">
        <f>SUMIF('20.01'!$AN:$AN,$B:$B,'20.01'!$D:$D)*1.2</f>
        <v>0</v>
      </c>
      <c r="BY72" s="110">
        <f t="shared" si="87"/>
        <v>229826.19723340854</v>
      </c>
      <c r="BZ72" s="17">
        <f t="shared" si="82"/>
        <v>186181.44806754877</v>
      </c>
      <c r="CA72" s="17">
        <f t="shared" si="88"/>
        <v>18842.529121490712</v>
      </c>
      <c r="CB72" s="17">
        <f t="shared" si="89"/>
        <v>1252.5548317618009</v>
      </c>
      <c r="CC72" s="17">
        <f>SUMIF('20.01'!$AO:$AO,$B:$B,'20.01'!$D:$D)*1.2</f>
        <v>0</v>
      </c>
      <c r="CD72" s="17">
        <f t="shared" si="90"/>
        <v>19663.838700155717</v>
      </c>
      <c r="CE72" s="17">
        <f>SUMIF('20.01'!$AQ:$AQ,$B:$B,'20.01'!$D:$D)*1.2</f>
        <v>0</v>
      </c>
      <c r="CF72" s="17">
        <f t="shared" si="91"/>
        <v>1789.0984764017251</v>
      </c>
      <c r="CG72" s="17">
        <f>SUMIF('20.01'!$AR:$AR,$B:$B,'20.01'!$D:$D)*1.2</f>
        <v>0</v>
      </c>
      <c r="CH72" s="17">
        <f t="shared" si="92"/>
        <v>1053.6491834486121</v>
      </c>
      <c r="CI72" s="17">
        <f>SUMIF('20.01'!$AT:$AT,$B:$B,'20.01'!$D:$D)*1.2</f>
        <v>0</v>
      </c>
      <c r="CJ72" s="17">
        <f>SUMIF('20.01'!$AU:$AU,$B:$B,'20.01'!$D:$D)*1.2</f>
        <v>0</v>
      </c>
      <c r="CK72" s="17">
        <f>SUMIF('20.01'!$AV:$AV,$B:$B,'20.01'!$D:$D)*1.2</f>
        <v>0</v>
      </c>
      <c r="CL72" s="17">
        <f t="shared" si="93"/>
        <v>1043.078852601182</v>
      </c>
      <c r="CM72" s="17">
        <f>SUMIF('20.01'!$AW:$AW,$B:$B,'20.01'!$D:$D)*1.2</f>
        <v>0</v>
      </c>
      <c r="CN72" s="17">
        <f>SUMIF('20.01'!$AX:$AX,$B:$B,'20.01'!$D:$D)*1.2</f>
        <v>0</v>
      </c>
      <c r="CO72" s="110">
        <f t="shared" si="138"/>
        <v>349912.7139144456</v>
      </c>
      <c r="CP72" s="17">
        <f t="shared" si="139"/>
        <v>276025.62732378644</v>
      </c>
      <c r="CQ72" s="17">
        <f t="shared" si="94"/>
        <v>85157.704042894518</v>
      </c>
      <c r="CR72" s="17">
        <f t="shared" si="95"/>
        <v>190867.92328089193</v>
      </c>
      <c r="CS72" s="17">
        <f t="shared" si="140"/>
        <v>73887.086590659193</v>
      </c>
      <c r="CT72" s="17">
        <f t="shared" si="96"/>
        <v>2691.7713801574314</v>
      </c>
      <c r="CU72" s="17">
        <f t="shared" si="97"/>
        <v>2603.5714464849575</v>
      </c>
      <c r="CV72" s="17">
        <f t="shared" si="98"/>
        <v>2690.8479937310271</v>
      </c>
      <c r="CW72" s="17">
        <f t="shared" si="99"/>
        <v>28.216503958174382</v>
      </c>
      <c r="CX72" s="17">
        <f t="shared" si="100"/>
        <v>39731.674363847218</v>
      </c>
      <c r="CY72" s="17">
        <f t="shared" si="101"/>
        <v>26141.004902480381</v>
      </c>
      <c r="CZ72" s="110">
        <f t="shared" si="141"/>
        <v>86857.496015014898</v>
      </c>
      <c r="DA72" s="17">
        <f t="shared" si="142"/>
        <v>3280.9888323458586</v>
      </c>
      <c r="DB72" s="17">
        <f t="shared" si="102"/>
        <v>3113.5380466439965</v>
      </c>
      <c r="DC72" s="17">
        <f t="shared" si="103"/>
        <v>167.450785701862</v>
      </c>
      <c r="DD72" s="17">
        <f t="shared" si="104"/>
        <v>5781.4786798627938</v>
      </c>
      <c r="DE72" s="17">
        <f t="shared" si="105"/>
        <v>1994.7624849399483</v>
      </c>
      <c r="DF72" s="17">
        <f t="shared" si="106"/>
        <v>2420.9221762752945</v>
      </c>
      <c r="DG72" s="17">
        <f t="shared" si="143"/>
        <v>73379.343841591006</v>
      </c>
      <c r="DH72" s="110">
        <f t="shared" si="144"/>
        <v>54205.86258013409</v>
      </c>
      <c r="DI72" s="17">
        <f t="shared" si="107"/>
        <v>48624.868830435662</v>
      </c>
      <c r="DJ72" s="17">
        <f t="shared" si="108"/>
        <v>5377.6247704635171</v>
      </c>
      <c r="DK72" s="17">
        <f t="shared" si="109"/>
        <v>203.36897923491136</v>
      </c>
      <c r="DL72" s="110">
        <f t="shared" si="145"/>
        <v>410183.35605311434</v>
      </c>
      <c r="DM72" s="17">
        <f t="shared" si="110"/>
        <v>170795.59133152838</v>
      </c>
      <c r="DN72" s="17">
        <f t="shared" si="111"/>
        <v>151460.24136946857</v>
      </c>
      <c r="DO72" s="17">
        <f t="shared" si="112"/>
        <v>87927.523352117409</v>
      </c>
      <c r="DP72" s="110">
        <f t="shared" si="146"/>
        <v>134417.37416023275</v>
      </c>
      <c r="DQ72" s="108">
        <f>SUMIF('20.01'!$BB:$BB,$B:$B,'20.01'!$D:$D)*1.2/2</f>
        <v>2459.424</v>
      </c>
      <c r="DR72" s="17">
        <f t="shared" si="113"/>
        <v>130986.93360008644</v>
      </c>
      <c r="DS72" s="17">
        <f t="shared" si="114"/>
        <v>971.01656014630407</v>
      </c>
      <c r="DT72" s="110">
        <f t="shared" si="147"/>
        <v>6811.1635773746002</v>
      </c>
      <c r="DU72" s="108">
        <f>(SUMIF('20.01'!$BD:$BD,$B:$B,'20.01'!$D:$D)/(G72+G73)*G72)*1.2</f>
        <v>6811.1635773746002</v>
      </c>
      <c r="DV72" s="17">
        <f t="shared" si="115"/>
        <v>0</v>
      </c>
      <c r="DW72" s="17">
        <f t="shared" si="116"/>
        <v>0</v>
      </c>
      <c r="DX72" s="110">
        <f t="shared" si="117"/>
        <v>1512810.0924399509</v>
      </c>
      <c r="DY72" s="110"/>
      <c r="DZ72" s="110">
        <f t="shared" si="148"/>
        <v>1512810.0924399509</v>
      </c>
      <c r="EA72" s="257"/>
      <c r="EB72" s="110">
        <f t="shared" si="118"/>
        <v>886.55421686746979</v>
      </c>
      <c r="EC72" s="110">
        <f>SUMIF(еирц!$B:$B,$B:$B,еирц!$K:$K)</f>
        <v>1478109.6971907066</v>
      </c>
      <c r="ED72" s="110">
        <f>SUMIF(еирц!$B:$B,$B:$B,еирц!$P:$P)</f>
        <v>1460565.9143485758</v>
      </c>
      <c r="EE72" s="110">
        <f>SUMIF(еирц!$B:$B,$B:$B,еирц!$S:$S)</f>
        <v>236015.23915934653</v>
      </c>
      <c r="EF72" s="177">
        <f t="shared" si="149"/>
        <v>-33813.841032376746</v>
      </c>
      <c r="EG72" s="181">
        <f t="shared" si="152"/>
        <v>0</v>
      </c>
      <c r="EH72" s="177">
        <f t="shared" si="150"/>
        <v>-33813.841032376746</v>
      </c>
    </row>
    <row r="73" spans="1:138" ht="12" customHeight="1" x14ac:dyDescent="0.25">
      <c r="A73" s="5">
        <f t="shared" si="151"/>
        <v>69</v>
      </c>
      <c r="B73" s="6" t="s">
        <v>151</v>
      </c>
      <c r="C73" s="7">
        <f t="shared" si="84"/>
        <v>3052.5</v>
      </c>
      <c r="D73" s="8">
        <v>3052.5</v>
      </c>
      <c r="E73" s="8">
        <v>0</v>
      </c>
      <c r="F73" s="8">
        <v>361.21</v>
      </c>
      <c r="G73" s="87">
        <f t="shared" si="85"/>
        <v>3052.5</v>
      </c>
      <c r="H73" s="87">
        <f t="shared" si="86"/>
        <v>3052.5</v>
      </c>
      <c r="I73" s="91">
        <v>1</v>
      </c>
      <c r="J73" s="112">
        <v>4.7780996122718349E-3</v>
      </c>
      <c r="K73" s="17">
        <v>1</v>
      </c>
      <c r="L73" s="112">
        <f t="shared" si="119"/>
        <v>2.4096385542168672E-3</v>
      </c>
      <c r="M73" s="117">
        <f>M72</f>
        <v>1.70320885383288</v>
      </c>
      <c r="N73" s="120">
        <f t="shared" si="120"/>
        <v>3052.5</v>
      </c>
      <c r="O73" s="117">
        <f>O72</f>
        <v>1.5431160274352951</v>
      </c>
      <c r="P73" s="120">
        <f t="shared" si="121"/>
        <v>3052.5</v>
      </c>
      <c r="Q73" s="117">
        <f>Q72</f>
        <v>0.80046367903500504</v>
      </c>
      <c r="R73" s="120">
        <f t="shared" si="122"/>
        <v>3052.5</v>
      </c>
      <c r="S73" s="5" t="s">
        <v>143</v>
      </c>
      <c r="T73" s="87">
        <v>41.34</v>
      </c>
      <c r="U73" s="88">
        <v>4.68</v>
      </c>
      <c r="V73" s="88">
        <v>7.92</v>
      </c>
      <c r="W73" s="88">
        <v>12.32</v>
      </c>
      <c r="X73" s="88">
        <v>6.34</v>
      </c>
      <c r="Y73" s="88">
        <v>2.89</v>
      </c>
      <c r="Z73" s="88">
        <v>1.66</v>
      </c>
      <c r="AA73" s="88">
        <v>5.29</v>
      </c>
      <c r="AB73" s="88">
        <v>0.24</v>
      </c>
      <c r="AC73" s="257"/>
      <c r="AD73" s="110">
        <f t="shared" si="123"/>
        <v>241744.26365577866</v>
      </c>
      <c r="AE73" s="110">
        <f t="shared" si="124"/>
        <v>84696.327280463956</v>
      </c>
      <c r="AF73" s="131">
        <f>64209.852/(G72+G73)*G73</f>
        <v>32181.36002462852</v>
      </c>
      <c r="AG73" s="17">
        <f t="shared" si="83"/>
        <v>8142.9356501278171</v>
      </c>
      <c r="AH73" s="17">
        <f t="shared" si="125"/>
        <v>2330.8859376996797</v>
      </c>
      <c r="AI73" s="16">
        <f>SUMIF('20.01'!$J:$J,$B:$B,'20.01'!$D:$D)*1.2</f>
        <v>0</v>
      </c>
      <c r="AJ73" s="17">
        <f t="shared" si="126"/>
        <v>947.21964182158888</v>
      </c>
      <c r="AK73" s="17">
        <f t="shared" si="127"/>
        <v>2304.3749592487693</v>
      </c>
      <c r="AL73" s="17">
        <f t="shared" si="128"/>
        <v>38789.55106693758</v>
      </c>
      <c r="AM73" s="110">
        <f t="shared" si="129"/>
        <v>0</v>
      </c>
      <c r="AN73" s="17">
        <f>SUMIF('20.01'!$K:$K,$B:$B,'20.01'!$D:$D)*1.2</f>
        <v>0</v>
      </c>
      <c r="AO73" s="17">
        <f>SUMIF('20.01'!$L:$L,$B:$B,'20.01'!$D:$D)*1.2</f>
        <v>0</v>
      </c>
      <c r="AP73" s="17">
        <f>SUMIF('20.01'!$M:$M,$B:$B,'20.01'!$D:$D)*1.2</f>
        <v>0</v>
      </c>
      <c r="AQ73" s="110">
        <f t="shared" si="130"/>
        <v>857.48406105476556</v>
      </c>
      <c r="AR73" s="17">
        <f t="shared" si="131"/>
        <v>857.48406105476556</v>
      </c>
      <c r="AS73" s="17">
        <f>(SUMIF('20.01'!$N:$N,$B:$B,'20.01'!$D:$D)+SUMIF('20.01'!$O:$O,$B:$B,'20.01'!$D:$D))*1.2</f>
        <v>0</v>
      </c>
      <c r="AT73" s="110">
        <f>SUMIF('20.01'!$P:$P,$B:$B,'20.01'!$D:$D)*1.2</f>
        <v>0</v>
      </c>
      <c r="AU73" s="110">
        <f t="shared" si="132"/>
        <v>0</v>
      </c>
      <c r="AV73" s="17">
        <f>SUMIF('20.01'!$Q:$Q,$B:$B,'20.01'!$D:$D)*1.2</f>
        <v>0</v>
      </c>
      <c r="AW73" s="17">
        <f>SUMIF('20.01'!$R:$R,$B:$B,'20.01'!$D:$D)*1.2</f>
        <v>0</v>
      </c>
      <c r="AX73" s="110">
        <f t="shared" si="133"/>
        <v>0</v>
      </c>
      <c r="AY73" s="17">
        <f>SUMIF('20.01'!$S:$S,$B:$B,'20.01'!$D:$D)*1.2</f>
        <v>0</v>
      </c>
      <c r="AZ73" s="17">
        <f>SUMIF('20.01'!$T:$T,$B:$B,'20.01'!$D:$D)*1.2</f>
        <v>0</v>
      </c>
      <c r="BA73" s="110">
        <f t="shared" si="134"/>
        <v>0</v>
      </c>
      <c r="BB73" s="17">
        <f>SUMIF('20.01'!$U:$U,$B:$B,'20.01'!$D:$D)*1.2</f>
        <v>0</v>
      </c>
      <c r="BC73" s="17">
        <f>SUMIF('20.01'!$V:$V,$B:$B,'20.01'!$D:$D)*1.2</f>
        <v>0</v>
      </c>
      <c r="BD73" s="17">
        <f>SUMIF('20.01'!$W:$W,$B:$B,'20.01'!$D:$D)*1.2</f>
        <v>0</v>
      </c>
      <c r="BE73" s="110">
        <f>SUMIF('20.01'!$X:$X,$B:$B,'20.01'!$D:$D)*1.2</f>
        <v>0</v>
      </c>
      <c r="BF73" s="110">
        <f t="shared" si="135"/>
        <v>0</v>
      </c>
      <c r="BG73" s="17">
        <f>SUMIF('20.01'!$Y:$Y,$B:$B,'20.01'!$D:$D)*1.2</f>
        <v>0</v>
      </c>
      <c r="BH73" s="17">
        <f>SUMIF('20.01'!$Z:$Z,$B:$B,'20.01'!$D:$D)*1.2</f>
        <v>0</v>
      </c>
      <c r="BI73" s="17">
        <f>SUMIF('20.01'!$AA:$AA,$B:$B,'20.01'!$D:$D)*1.2</f>
        <v>0</v>
      </c>
      <c r="BJ73" s="17">
        <f>SUMIF('20.01'!$AB:$AB,$B:$B,'20.01'!$D:$D)*1.2</f>
        <v>0</v>
      </c>
      <c r="BK73" s="17">
        <f>SUMIF('20.01'!$AC:$AC,$B:$B,'20.01'!$D:$D)*1.2</f>
        <v>0</v>
      </c>
      <c r="BL73" s="17">
        <f>SUMIF('20.01'!$AD:$AD,$B:$B,'20.01'!$D:$D)*1.2</f>
        <v>0</v>
      </c>
      <c r="BM73" s="110">
        <f t="shared" si="136"/>
        <v>0</v>
      </c>
      <c r="BN73" s="17">
        <f>SUMIF('20.01'!$AE:$AE,$B:$B,'20.01'!$D:$D)*1.2</f>
        <v>0</v>
      </c>
      <c r="BO73" s="17">
        <f>SUMIF('20.01'!$AF:$AF,$B:$B,'20.01'!$D:$D)*1.2</f>
        <v>0</v>
      </c>
      <c r="BP73" s="110">
        <f>SUMIF('20.01'!$AG:$AG,$B:$B,'20.01'!$D:$D)*1.2</f>
        <v>0</v>
      </c>
      <c r="BQ73" s="110">
        <f>SUMIF('20.01'!$AH:$AH,$B:$B,'20.01'!$D:$D)*1.2</f>
        <v>0</v>
      </c>
      <c r="BR73" s="110">
        <f>SUMIF('20.01'!$AI:$AI,$B:$B,'20.01'!$D:$D)*1.2</f>
        <v>0</v>
      </c>
      <c r="BS73" s="110">
        <f t="shared" si="137"/>
        <v>0</v>
      </c>
      <c r="BT73" s="17">
        <f>SUMIF('20.01'!$AJ:$AJ,$B:$B,'20.01'!$D:$D)*1.2</f>
        <v>0</v>
      </c>
      <c r="BU73" s="17">
        <f>SUMIF('20.01'!$AK:$AK,$B:$B,'20.01'!$D:$D)*1.2</f>
        <v>0</v>
      </c>
      <c r="BV73" s="141">
        <f>311638.968/(G72+G73)*G73</f>
        <v>156190.45231425992</v>
      </c>
      <c r="BW73" s="110">
        <f>SUMIF('20.01'!$AM:$AM,$B:$B,'20.01'!$D:$D)*1.2</f>
        <v>0</v>
      </c>
      <c r="BX73" s="110">
        <f>SUMIF('20.01'!$AN:$AN,$B:$B,'20.01'!$D:$D)*1.2</f>
        <v>0</v>
      </c>
      <c r="BY73" s="110">
        <f t="shared" si="87"/>
        <v>230923.12937951923</v>
      </c>
      <c r="BZ73" s="17">
        <f t="shared" si="82"/>
        <v>187070.06919887842</v>
      </c>
      <c r="CA73" s="17">
        <f t="shared" si="88"/>
        <v>18932.462193334562</v>
      </c>
      <c r="CB73" s="17">
        <f t="shared" si="89"/>
        <v>1258.5331217751473</v>
      </c>
      <c r="CC73" s="17">
        <f>SUMIF('20.01'!$AO:$AO,$B:$B,'20.01'!$D:$D)*1.2</f>
        <v>0</v>
      </c>
      <c r="CD73" s="17">
        <f t="shared" si="90"/>
        <v>19757.691781509322</v>
      </c>
      <c r="CE73" s="17">
        <f>SUMIF('20.01'!$AQ:$AQ,$B:$B,'20.01'!$D:$D)*1.2</f>
        <v>0</v>
      </c>
      <c r="CF73" s="17">
        <f t="shared" si="91"/>
        <v>1797.6376231784943</v>
      </c>
      <c r="CG73" s="17">
        <f>SUMIF('20.01'!$AR:$AR,$B:$B,'20.01'!$D:$D)*1.2</f>
        <v>0</v>
      </c>
      <c r="CH73" s="17">
        <f t="shared" si="92"/>
        <v>1058.6781212892984</v>
      </c>
      <c r="CI73" s="17">
        <f>SUMIF('20.01'!$AT:$AT,$B:$B,'20.01'!$D:$D)*1.2</f>
        <v>0</v>
      </c>
      <c r="CJ73" s="17">
        <f>SUMIF('20.01'!$AU:$AU,$B:$B,'20.01'!$D:$D)*1.2</f>
        <v>0</v>
      </c>
      <c r="CK73" s="17">
        <f>SUMIF('20.01'!$AV:$AV,$B:$B,'20.01'!$D:$D)*1.2</f>
        <v>0</v>
      </c>
      <c r="CL73" s="17">
        <f t="shared" si="93"/>
        <v>1048.0573395540184</v>
      </c>
      <c r="CM73" s="17">
        <f>SUMIF('20.01'!$AW:$AW,$B:$B,'20.01'!$D:$D)*1.2</f>
        <v>0</v>
      </c>
      <c r="CN73" s="17">
        <f>SUMIF('20.01'!$AX:$AX,$B:$B,'20.01'!$D:$D)*1.2</f>
        <v>0</v>
      </c>
      <c r="CO73" s="110">
        <f t="shared" si="138"/>
        <v>351582.80422114726</v>
      </c>
      <c r="CP73" s="17">
        <f t="shared" si="139"/>
        <v>277343.06366223114</v>
      </c>
      <c r="CQ73" s="17">
        <f t="shared" si="94"/>
        <v>85564.151280755599</v>
      </c>
      <c r="CR73" s="17">
        <f t="shared" si="95"/>
        <v>191778.91238147553</v>
      </c>
      <c r="CS73" s="17">
        <f t="shared" si="140"/>
        <v>74239.740558916121</v>
      </c>
      <c r="CT73" s="17">
        <f t="shared" si="96"/>
        <v>2704.6188735781961</v>
      </c>
      <c r="CU73" s="17">
        <f t="shared" si="97"/>
        <v>2615.9979724803597</v>
      </c>
      <c r="CV73" s="17">
        <f t="shared" si="98"/>
        <v>2703.6910799420539</v>
      </c>
      <c r="CW73" s="17">
        <f t="shared" si="99"/>
        <v>28.351177857908919</v>
      </c>
      <c r="CX73" s="17">
        <f t="shared" si="100"/>
        <v>39921.308754326412</v>
      </c>
      <c r="CY73" s="17">
        <f t="shared" si="101"/>
        <v>26265.772700731191</v>
      </c>
      <c r="CZ73" s="110">
        <f t="shared" si="141"/>
        <v>87272.056150702105</v>
      </c>
      <c r="DA73" s="17">
        <f t="shared" si="142"/>
        <v>3296.6485881289445</v>
      </c>
      <c r="DB73" s="17">
        <f t="shared" si="102"/>
        <v>3128.3985804413428</v>
      </c>
      <c r="DC73" s="17">
        <f t="shared" si="103"/>
        <v>168.25000768760162</v>
      </c>
      <c r="DD73" s="17">
        <f t="shared" si="104"/>
        <v>5809.0729658595055</v>
      </c>
      <c r="DE73" s="17">
        <f t="shared" si="105"/>
        <v>2004.2832407107283</v>
      </c>
      <c r="DF73" s="17">
        <f t="shared" si="106"/>
        <v>2432.4769397894456</v>
      </c>
      <c r="DG73" s="17">
        <f t="shared" si="143"/>
        <v>73729.57441621348</v>
      </c>
      <c r="DH73" s="110">
        <f t="shared" si="144"/>
        <v>54464.580489091277</v>
      </c>
      <c r="DI73" s="17">
        <f t="shared" si="107"/>
        <v>48856.949343286651</v>
      </c>
      <c r="DJ73" s="17">
        <f t="shared" si="108"/>
        <v>5403.2915114680336</v>
      </c>
      <c r="DK73" s="17">
        <f t="shared" si="109"/>
        <v>204.33963433659216</v>
      </c>
      <c r="DL73" s="110">
        <f t="shared" si="145"/>
        <v>412141.11071498733</v>
      </c>
      <c r="DM73" s="17">
        <f t="shared" si="110"/>
        <v>171610.77766276838</v>
      </c>
      <c r="DN73" s="17">
        <f t="shared" si="111"/>
        <v>152183.14245566254</v>
      </c>
      <c r="DO73" s="17">
        <f t="shared" si="112"/>
        <v>88347.190596556407</v>
      </c>
      <c r="DP73" s="110">
        <f t="shared" si="146"/>
        <v>134421.07077389889</v>
      </c>
      <c r="DQ73" s="108">
        <f>DQ72</f>
        <v>2459.424</v>
      </c>
      <c r="DR73" s="17">
        <f t="shared" si="113"/>
        <v>130990.60301210932</v>
      </c>
      <c r="DS73" s="17">
        <f t="shared" si="114"/>
        <v>971.04376178956954</v>
      </c>
      <c r="DT73" s="110">
        <f t="shared" si="147"/>
        <v>6843.6724226254</v>
      </c>
      <c r="DU73" s="108">
        <f>(11379.03/(G72+G73)*G73)*1.2</f>
        <v>6843.6724226254</v>
      </c>
      <c r="DV73" s="17">
        <f t="shared" si="115"/>
        <v>0</v>
      </c>
      <c r="DW73" s="17">
        <f t="shared" si="116"/>
        <v>0</v>
      </c>
      <c r="DX73" s="110">
        <f t="shared" si="117"/>
        <v>1519392.68780775</v>
      </c>
      <c r="DY73" s="110"/>
      <c r="DZ73" s="110">
        <f t="shared" si="148"/>
        <v>1519392.68780775</v>
      </c>
      <c r="EA73" s="257"/>
      <c r="EB73" s="110">
        <f t="shared" si="118"/>
        <v>886.55421686746979</v>
      </c>
      <c r="EC73" s="110">
        <f>SUMIF(еирц!$B:$B,$B:$B,еирц!$K:$K)</f>
        <v>1485164.5328092934</v>
      </c>
      <c r="ED73" s="110">
        <f>SUMIF(еирц!$B:$B,$B:$B,еирц!$P:$P)</f>
        <v>1467537.0156514244</v>
      </c>
      <c r="EE73" s="110">
        <f>SUMIF(еирц!$B:$B,$B:$B,еирц!$S:$S)</f>
        <v>237141.71084065348</v>
      </c>
      <c r="EF73" s="177">
        <f t="shared" si="149"/>
        <v>-33341.600781589048</v>
      </c>
      <c r="EG73" s="181">
        <f t="shared" si="152"/>
        <v>0</v>
      </c>
      <c r="EH73" s="177">
        <f t="shared" si="150"/>
        <v>-33341.600781589048</v>
      </c>
    </row>
    <row r="74" spans="1:138" ht="12" customHeight="1" x14ac:dyDescent="0.25">
      <c r="A74" s="5">
        <f t="shared" si="151"/>
        <v>70</v>
      </c>
      <c r="B74" s="6" t="s">
        <v>152</v>
      </c>
      <c r="C74" s="7">
        <f t="shared" si="84"/>
        <v>2889</v>
      </c>
      <c r="D74" s="8">
        <v>2889</v>
      </c>
      <c r="E74" s="8">
        <v>0</v>
      </c>
      <c r="F74" s="8">
        <v>457.14</v>
      </c>
      <c r="G74" s="87">
        <f t="shared" si="85"/>
        <v>2889</v>
      </c>
      <c r="H74" s="87">
        <f t="shared" si="86"/>
        <v>2889</v>
      </c>
      <c r="I74" s="91">
        <v>1</v>
      </c>
      <c r="J74" s="112">
        <v>4.5093452785949723E-3</v>
      </c>
      <c r="K74" s="17">
        <v>1</v>
      </c>
      <c r="L74" s="112">
        <f t="shared" si="119"/>
        <v>2.4096385542168672E-3</v>
      </c>
      <c r="M74" s="117">
        <f>3.40641770766576/2</f>
        <v>1.70320885383288</v>
      </c>
      <c r="N74" s="120">
        <f t="shared" si="120"/>
        <v>2889</v>
      </c>
      <c r="O74" s="117">
        <f>3.08623205487059/2</f>
        <v>1.5431160274352951</v>
      </c>
      <c r="P74" s="120">
        <f t="shared" si="121"/>
        <v>2889</v>
      </c>
      <c r="Q74" s="117">
        <f>1.60092735807001/2</f>
        <v>0.80046367903500504</v>
      </c>
      <c r="R74" s="120">
        <f t="shared" si="122"/>
        <v>2889</v>
      </c>
      <c r="S74" s="5" t="s">
        <v>143</v>
      </c>
      <c r="T74" s="87">
        <v>41.34</v>
      </c>
      <c r="U74" s="88">
        <v>4.68</v>
      </c>
      <c r="V74" s="88">
        <v>7.92</v>
      </c>
      <c r="W74" s="88">
        <v>12.32</v>
      </c>
      <c r="X74" s="88">
        <v>6.34</v>
      </c>
      <c r="Y74" s="88">
        <v>2.89</v>
      </c>
      <c r="Z74" s="88">
        <v>1.66</v>
      </c>
      <c r="AA74" s="88">
        <v>5.29</v>
      </c>
      <c r="AB74" s="88">
        <v>0.24</v>
      </c>
      <c r="AC74" s="257"/>
      <c r="AD74" s="110">
        <f t="shared" si="123"/>
        <v>223344.33564892123</v>
      </c>
      <c r="AE74" s="110">
        <f t="shared" si="124"/>
        <v>90179.578257857022</v>
      </c>
      <c r="AF74" s="16">
        <f>SUMIF('20.01'!$I:$I,$B:$B,'20.01'!$D:$D)*1.2</f>
        <v>40477.451999999997</v>
      </c>
      <c r="AG74" s="17">
        <f t="shared" si="83"/>
        <v>7706.77840891704</v>
      </c>
      <c r="AH74" s="17">
        <f t="shared" si="125"/>
        <v>2206.037501724611</v>
      </c>
      <c r="AI74" s="16">
        <f>SUMIF('20.01'!$J:$J,$B:$B,'20.01'!$D:$D)*1.2</f>
        <v>0</v>
      </c>
      <c r="AJ74" s="17">
        <f t="shared" si="126"/>
        <v>896.48404429895834</v>
      </c>
      <c r="AK74" s="17">
        <f t="shared" si="127"/>
        <v>2180.9465216280737</v>
      </c>
      <c r="AL74" s="17">
        <f t="shared" si="128"/>
        <v>36711.879781288342</v>
      </c>
      <c r="AM74" s="110">
        <f t="shared" si="129"/>
        <v>0</v>
      </c>
      <c r="AN74" s="17">
        <f>SUMIF('20.01'!$K:$K,$B:$B,'20.01'!$D:$D)*1.2</f>
        <v>0</v>
      </c>
      <c r="AO74" s="17">
        <f>SUMIF('20.01'!$L:$L,$B:$B,'20.01'!$D:$D)*1.2</f>
        <v>0</v>
      </c>
      <c r="AP74" s="17">
        <f>SUMIF('20.01'!$M:$M,$B:$B,'20.01'!$D:$D)*1.2</f>
        <v>0</v>
      </c>
      <c r="AQ74" s="110">
        <f t="shared" si="130"/>
        <v>811.55493935699189</v>
      </c>
      <c r="AR74" s="17">
        <f t="shared" si="131"/>
        <v>811.55493935699189</v>
      </c>
      <c r="AS74" s="17">
        <f>(SUMIF('20.01'!$N:$N,$B:$B,'20.01'!$D:$D)+SUMIF('20.01'!$O:$O,$B:$B,'20.01'!$D:$D))*1.2</f>
        <v>0</v>
      </c>
      <c r="AT74" s="110">
        <f>SUMIF('20.01'!$P:$P,$B:$B,'20.01'!$D:$D)*1.2</f>
        <v>0</v>
      </c>
      <c r="AU74" s="110">
        <f t="shared" si="132"/>
        <v>0</v>
      </c>
      <c r="AV74" s="17">
        <f>SUMIF('20.01'!$Q:$Q,$B:$B,'20.01'!$D:$D)*1.2</f>
        <v>0</v>
      </c>
      <c r="AW74" s="17">
        <f>SUMIF('20.01'!$R:$R,$B:$B,'20.01'!$D:$D)*1.2</f>
        <v>0</v>
      </c>
      <c r="AX74" s="110">
        <f t="shared" si="133"/>
        <v>96354</v>
      </c>
      <c r="AY74" s="17">
        <f>SUMIF('20.01'!$S:$S,$B:$B,'20.01'!$D:$D)*1.2</f>
        <v>96354</v>
      </c>
      <c r="AZ74" s="17">
        <f>SUMIF('20.01'!$T:$T,$B:$B,'20.01'!$D:$D)*1.2</f>
        <v>0</v>
      </c>
      <c r="BA74" s="110">
        <f t="shared" si="134"/>
        <v>0</v>
      </c>
      <c r="BB74" s="17">
        <f>SUMIF('20.01'!$U:$U,$B:$B,'20.01'!$D:$D)*1.2</f>
        <v>0</v>
      </c>
      <c r="BC74" s="17">
        <f>SUMIF('20.01'!$V:$V,$B:$B,'20.01'!$D:$D)*1.2</f>
        <v>0</v>
      </c>
      <c r="BD74" s="17">
        <f>SUMIF('20.01'!$W:$W,$B:$B,'20.01'!$D:$D)*1.2</f>
        <v>0</v>
      </c>
      <c r="BE74" s="110">
        <f>SUMIF('20.01'!$X:$X,$B:$B,'20.01'!$D:$D)*1.2</f>
        <v>0</v>
      </c>
      <c r="BF74" s="110">
        <f t="shared" si="135"/>
        <v>0</v>
      </c>
      <c r="BG74" s="17">
        <f>SUMIF('20.01'!$Y:$Y,$B:$B,'20.01'!$D:$D)*1.2</f>
        <v>0</v>
      </c>
      <c r="BH74" s="17">
        <f>SUMIF('20.01'!$Z:$Z,$B:$B,'20.01'!$D:$D)*1.2</f>
        <v>0</v>
      </c>
      <c r="BI74" s="17">
        <f>SUMIF('20.01'!$AA:$AA,$B:$B,'20.01'!$D:$D)*1.2</f>
        <v>0</v>
      </c>
      <c r="BJ74" s="17">
        <f>SUMIF('20.01'!$AB:$AB,$B:$B,'20.01'!$D:$D)*1.2</f>
        <v>0</v>
      </c>
      <c r="BK74" s="17">
        <f>SUMIF('20.01'!$AC:$AC,$B:$B,'20.01'!$D:$D)*1.2</f>
        <v>0</v>
      </c>
      <c r="BL74" s="17">
        <f>SUMIF('20.01'!$AD:$AD,$B:$B,'20.01'!$D:$D)*1.2</f>
        <v>0</v>
      </c>
      <c r="BM74" s="110">
        <f t="shared" si="136"/>
        <v>0</v>
      </c>
      <c r="BN74" s="17">
        <f>SUMIF('20.01'!$AE:$AE,$B:$B,'20.01'!$D:$D)*1.2</f>
        <v>0</v>
      </c>
      <c r="BO74" s="17">
        <f>SUMIF('20.01'!$AF:$AF,$B:$B,'20.01'!$D:$D)*1.2</f>
        <v>0</v>
      </c>
      <c r="BP74" s="110">
        <f>SUMIF('20.01'!$AG:$AG,$B:$B,'20.01'!$D:$D)*1.2</f>
        <v>0</v>
      </c>
      <c r="BQ74" s="110">
        <f>SUMIF('20.01'!$AH:$AH,$B:$B,'20.01'!$D:$D)*1.2</f>
        <v>0</v>
      </c>
      <c r="BR74" s="110">
        <f>SUMIF('20.01'!$AI:$AI,$B:$B,'20.01'!$D:$D)*1.2</f>
        <v>0</v>
      </c>
      <c r="BS74" s="110">
        <f t="shared" si="137"/>
        <v>0</v>
      </c>
      <c r="BT74" s="17">
        <f>SUMIF('20.01'!$AJ:$AJ,$B:$B,'20.01'!$D:$D)*1.2</f>
        <v>0</v>
      </c>
      <c r="BU74" s="17">
        <f>SUMIF('20.01'!$AK:$AK,$B:$B,'20.01'!$D:$D)*1.2</f>
        <v>0</v>
      </c>
      <c r="BV74" s="110">
        <f>SUMIF('20.01'!$AL:$AL,$B:$B,'20.01'!$D:$D)*1.2</f>
        <v>0</v>
      </c>
      <c r="BW74" s="110">
        <f>SUMIF('20.01'!$AM:$AM,$B:$B,'20.01'!$D:$D)*1.2</f>
        <v>0</v>
      </c>
      <c r="BX74" s="141">
        <f>SUMIF('20.01'!$AN:$AN,$B:$B,'20.01'!$D:$D)*1.2/(G74+G75)*G74</f>
        <v>35999.20245170722</v>
      </c>
      <c r="BY74" s="110">
        <f t="shared" si="87"/>
        <v>218554.27380096028</v>
      </c>
      <c r="BZ74" s="17">
        <f t="shared" si="82"/>
        <v>177050.09989043727</v>
      </c>
      <c r="CA74" s="17">
        <f t="shared" si="88"/>
        <v>17918.389279784948</v>
      </c>
      <c r="CB74" s="17">
        <f t="shared" si="89"/>
        <v>1191.1227481763801</v>
      </c>
      <c r="CC74" s="17">
        <f>SUMIF('20.01'!$AO:$AO,$B:$B,'20.01'!$D:$D)*1.2</f>
        <v>0</v>
      </c>
      <c r="CD74" s="17">
        <f t="shared" si="90"/>
        <v>18699.417381418651</v>
      </c>
      <c r="CE74" s="17">
        <f>SUMIF('20.01'!$AQ:$AQ,$B:$B,'20.01'!$D:$D)*1.2</f>
        <v>0</v>
      </c>
      <c r="CF74" s="17">
        <f t="shared" si="91"/>
        <v>1701.3513819369928</v>
      </c>
      <c r="CG74" s="17">
        <f>SUMIF('20.01'!$AR:$AR,$B:$B,'20.01'!$D:$D)*1.2</f>
        <v>0</v>
      </c>
      <c r="CH74" s="17">
        <f t="shared" si="92"/>
        <v>1001.9725118443187</v>
      </c>
      <c r="CI74" s="17">
        <f>SUMIF('20.01'!$AT:$AT,$B:$B,'20.01'!$D:$D)*1.2</f>
        <v>0</v>
      </c>
      <c r="CJ74" s="17">
        <f>SUMIF('20.01'!$AU:$AU,$B:$B,'20.01'!$D:$D)*1.2</f>
        <v>0</v>
      </c>
      <c r="CK74" s="17">
        <f>SUMIF('20.01'!$AV:$AV,$B:$B,'20.01'!$D:$D)*1.2</f>
        <v>0</v>
      </c>
      <c r="CL74" s="17">
        <f t="shared" si="93"/>
        <v>991.92060736169014</v>
      </c>
      <c r="CM74" s="17">
        <f>SUMIF('20.01'!$AW:$AW,$B:$B,'20.01'!$D:$D)*1.2</f>
        <v>0</v>
      </c>
      <c r="CN74" s="17">
        <f>SUMIF('20.01'!$AX:$AX,$B:$B,'20.01'!$D:$D)*1.2</f>
        <v>0</v>
      </c>
      <c r="CO74" s="110">
        <f t="shared" si="138"/>
        <v>332751.09628006374</v>
      </c>
      <c r="CP74" s="17">
        <f t="shared" si="139"/>
        <v>262487.8332252861</v>
      </c>
      <c r="CQ74" s="17">
        <f t="shared" si="94"/>
        <v>80981.108288322008</v>
      </c>
      <c r="CR74" s="17">
        <f t="shared" si="95"/>
        <v>181506.72493696408</v>
      </c>
      <c r="CS74" s="17">
        <f t="shared" si="140"/>
        <v>70263.263054777621</v>
      </c>
      <c r="CT74" s="17">
        <f t="shared" si="96"/>
        <v>2559.7523098337128</v>
      </c>
      <c r="CU74" s="17">
        <f t="shared" si="97"/>
        <v>2475.87817935979</v>
      </c>
      <c r="CV74" s="17">
        <f t="shared" si="98"/>
        <v>2558.8742112866812</v>
      </c>
      <c r="CW74" s="17">
        <f t="shared" si="99"/>
        <v>26.83261354021257</v>
      </c>
      <c r="CX74" s="17">
        <f t="shared" si="100"/>
        <v>37783.017523750699</v>
      </c>
      <c r="CY74" s="17">
        <f t="shared" si="101"/>
        <v>24858.908217006523</v>
      </c>
      <c r="CZ74" s="110">
        <f t="shared" si="141"/>
        <v>82597.533241401601</v>
      </c>
      <c r="DA74" s="17">
        <f t="shared" si="142"/>
        <v>3120.0713418851828</v>
      </c>
      <c r="DB74" s="17">
        <f t="shared" si="102"/>
        <v>2960.8332510712662</v>
      </c>
      <c r="DC74" s="17">
        <f t="shared" si="103"/>
        <v>159.23809081391681</v>
      </c>
      <c r="DD74" s="17">
        <f t="shared" si="104"/>
        <v>5497.9236030689963</v>
      </c>
      <c r="DE74" s="17">
        <f t="shared" si="105"/>
        <v>1896.9285118471068</v>
      </c>
      <c r="DF74" s="17">
        <f t="shared" si="106"/>
        <v>2302.1870201643601</v>
      </c>
      <c r="DG74" s="17">
        <f t="shared" si="143"/>
        <v>69780.422764435963</v>
      </c>
      <c r="DH74" s="110">
        <f t="shared" si="144"/>
        <v>51547.313032918821</v>
      </c>
      <c r="DI74" s="17">
        <f t="shared" si="107"/>
        <v>46240.041491484073</v>
      </c>
      <c r="DJ74" s="17">
        <f t="shared" si="108"/>
        <v>5113.8768801412443</v>
      </c>
      <c r="DK74" s="17">
        <f t="shared" si="109"/>
        <v>193.39466129350197</v>
      </c>
      <c r="DL74" s="110">
        <f t="shared" si="145"/>
        <v>390065.73918283323</v>
      </c>
      <c r="DM74" s="17">
        <f t="shared" si="110"/>
        <v>162418.84903119996</v>
      </c>
      <c r="DN74" s="17">
        <f t="shared" si="111"/>
        <v>144031.80951823393</v>
      </c>
      <c r="DO74" s="17">
        <f t="shared" si="112"/>
        <v>83615.080633399339</v>
      </c>
      <c r="DP74" s="110">
        <f t="shared" si="146"/>
        <v>126998.60842955315</v>
      </c>
      <c r="DQ74" s="108">
        <f>SUMIF('20.01'!$BB:$BB,$B:$B,'20.01'!$D:$D)*1.2/2</f>
        <v>2459.424</v>
      </c>
      <c r="DR74" s="17">
        <f t="shared" si="113"/>
        <v>123622.75908101318</v>
      </c>
      <c r="DS74" s="17">
        <f t="shared" si="114"/>
        <v>916.42534853996676</v>
      </c>
      <c r="DT74" s="110">
        <f t="shared" si="147"/>
        <v>6827.424</v>
      </c>
      <c r="DU74" s="17">
        <f>SUMIF('20.01'!$BD:$BD,$B:$B,'20.01'!$D:$D)*1.2</f>
        <v>6827.424</v>
      </c>
      <c r="DV74" s="17">
        <f t="shared" si="115"/>
        <v>0</v>
      </c>
      <c r="DW74" s="17">
        <f t="shared" si="116"/>
        <v>0</v>
      </c>
      <c r="DX74" s="110">
        <f t="shared" si="117"/>
        <v>1432686.3236166521</v>
      </c>
      <c r="DY74" s="110"/>
      <c r="DZ74" s="110">
        <f t="shared" si="148"/>
        <v>1432686.3236166521</v>
      </c>
      <c r="EA74" s="257"/>
      <c r="EB74" s="110">
        <f t="shared" si="118"/>
        <v>886.55421686746979</v>
      </c>
      <c r="EC74" s="110">
        <f>SUMIF(еирц!$B:$B,$B:$B,еирц!$K:$K)</f>
        <v>1405267.4584316593</v>
      </c>
      <c r="ED74" s="110">
        <f>SUMIF(еирц!$B:$B,$B:$B,еирц!$P:$P)</f>
        <v>1397217.9569176151</v>
      </c>
      <c r="EE74" s="110">
        <f>SUMIF(еирц!$B:$B,$B:$B,еирц!$S:$S)</f>
        <v>224028.62164560927</v>
      </c>
      <c r="EF74" s="177">
        <f t="shared" si="149"/>
        <v>-26532.310968125239</v>
      </c>
      <c r="EG74" s="181">
        <f t="shared" si="152"/>
        <v>0</v>
      </c>
      <c r="EH74" s="177">
        <f t="shared" si="150"/>
        <v>-26532.310968125239</v>
      </c>
    </row>
    <row r="75" spans="1:138" ht="12" customHeight="1" x14ac:dyDescent="0.25">
      <c r="A75" s="5">
        <f t="shared" si="151"/>
        <v>71</v>
      </c>
      <c r="B75" s="6" t="s">
        <v>154</v>
      </c>
      <c r="C75" s="7">
        <f t="shared" si="84"/>
        <v>2857.2</v>
      </c>
      <c r="D75" s="8">
        <v>2857.2</v>
      </c>
      <c r="E75" s="8">
        <v>0</v>
      </c>
      <c r="F75" s="8">
        <v>452.56</v>
      </c>
      <c r="G75" s="87">
        <f t="shared" si="85"/>
        <v>2857.2</v>
      </c>
      <c r="H75" s="87">
        <f t="shared" si="86"/>
        <v>2857.2</v>
      </c>
      <c r="I75" s="91">
        <v>1</v>
      </c>
      <c r="J75" s="112">
        <v>4.5090517363201637E-3</v>
      </c>
      <c r="K75" s="17">
        <v>1</v>
      </c>
      <c r="L75" s="112">
        <f t="shared" si="119"/>
        <v>2.4096385542168672E-3</v>
      </c>
      <c r="M75" s="117">
        <f>M74</f>
        <v>1.70320885383288</v>
      </c>
      <c r="N75" s="120">
        <f t="shared" si="120"/>
        <v>2857.2</v>
      </c>
      <c r="O75" s="117">
        <f>O74</f>
        <v>1.5431160274352951</v>
      </c>
      <c r="P75" s="120">
        <f t="shared" si="121"/>
        <v>2857.2</v>
      </c>
      <c r="Q75" s="117">
        <f>Q74</f>
        <v>0.80046367903500504</v>
      </c>
      <c r="R75" s="120">
        <f t="shared" si="122"/>
        <v>2857.2</v>
      </c>
      <c r="S75" s="5" t="s">
        <v>143</v>
      </c>
      <c r="T75" s="87">
        <v>41.34</v>
      </c>
      <c r="U75" s="88">
        <v>4.68</v>
      </c>
      <c r="V75" s="88">
        <v>7.92</v>
      </c>
      <c r="W75" s="88">
        <v>12.32</v>
      </c>
      <c r="X75" s="88">
        <v>6.34</v>
      </c>
      <c r="Y75" s="88">
        <v>2.89</v>
      </c>
      <c r="Z75" s="88">
        <v>1.66</v>
      </c>
      <c r="AA75" s="88">
        <v>5.29</v>
      </c>
      <c r="AB75" s="88">
        <v>0.24</v>
      </c>
      <c r="AC75" s="257"/>
      <c r="AD75" s="110">
        <f t="shared" si="123"/>
        <v>158861.52107085419</v>
      </c>
      <c r="AE75" s="110">
        <f t="shared" si="124"/>
        <v>122455.94958669058</v>
      </c>
      <c r="AF75" s="16">
        <f>SUMIF('20.01'!$I:$I,$B:$B,'20.01'!$D:$D)*1.2</f>
        <v>73300.907999999996</v>
      </c>
      <c r="AG75" s="17">
        <f t="shared" si="83"/>
        <v>7621.9478262228331</v>
      </c>
      <c r="AH75" s="17">
        <f t="shared" si="125"/>
        <v>2181.7550536267076</v>
      </c>
      <c r="AI75" s="16">
        <f>SUMIF('20.01'!$J:$J,$B:$B,'20.01'!$D:$D)*1.2</f>
        <v>0</v>
      </c>
      <c r="AJ75" s="17">
        <f t="shared" si="126"/>
        <v>886.61620331290533</v>
      </c>
      <c r="AK75" s="17">
        <f t="shared" si="127"/>
        <v>2156.9402566963417</v>
      </c>
      <c r="AL75" s="17">
        <f t="shared" si="128"/>
        <v>36307.78224683179</v>
      </c>
      <c r="AM75" s="110">
        <f t="shared" si="129"/>
        <v>0</v>
      </c>
      <c r="AN75" s="17">
        <f>SUMIF('20.01'!$K:$K,$B:$B,'20.01'!$D:$D)*1.2</f>
        <v>0</v>
      </c>
      <c r="AO75" s="17">
        <f>SUMIF('20.01'!$L:$L,$B:$B,'20.01'!$D:$D)*1.2</f>
        <v>0</v>
      </c>
      <c r="AP75" s="17">
        <f>SUMIF('20.01'!$M:$M,$B:$B,'20.01'!$D:$D)*1.2</f>
        <v>0</v>
      </c>
      <c r="AQ75" s="110">
        <f t="shared" si="130"/>
        <v>802.62193587081936</v>
      </c>
      <c r="AR75" s="17">
        <f t="shared" si="131"/>
        <v>802.62193587081936</v>
      </c>
      <c r="AS75" s="17">
        <f>(SUMIF('20.01'!$N:$N,$B:$B,'20.01'!$D:$D)+SUMIF('20.01'!$O:$O,$B:$B,'20.01'!$D:$D))*1.2</f>
        <v>0</v>
      </c>
      <c r="AT75" s="110">
        <f>SUMIF('20.01'!$P:$P,$B:$B,'20.01'!$D:$D)*1.2</f>
        <v>0</v>
      </c>
      <c r="AU75" s="110">
        <f t="shared" si="132"/>
        <v>0</v>
      </c>
      <c r="AV75" s="17">
        <f>SUMIF('20.01'!$Q:$Q,$B:$B,'20.01'!$D:$D)*1.2</f>
        <v>0</v>
      </c>
      <c r="AW75" s="17">
        <f>SUMIF('20.01'!$R:$R,$B:$B,'20.01'!$D:$D)*1.2</f>
        <v>0</v>
      </c>
      <c r="AX75" s="110">
        <f t="shared" si="133"/>
        <v>0</v>
      </c>
      <c r="AY75" s="17">
        <f>SUMIF('20.01'!$S:$S,$B:$B,'20.01'!$D:$D)*1.2</f>
        <v>0</v>
      </c>
      <c r="AZ75" s="17">
        <f>SUMIF('20.01'!$T:$T,$B:$B,'20.01'!$D:$D)*1.2</f>
        <v>0</v>
      </c>
      <c r="BA75" s="110">
        <f t="shared" si="134"/>
        <v>0</v>
      </c>
      <c r="BB75" s="17">
        <f>SUMIF('20.01'!$U:$U,$B:$B,'20.01'!$D:$D)*1.2</f>
        <v>0</v>
      </c>
      <c r="BC75" s="17">
        <f>SUMIF('20.01'!$V:$V,$B:$B,'20.01'!$D:$D)*1.2</f>
        <v>0</v>
      </c>
      <c r="BD75" s="17">
        <f>SUMIF('20.01'!$W:$W,$B:$B,'20.01'!$D:$D)*1.2</f>
        <v>0</v>
      </c>
      <c r="BE75" s="110">
        <f>SUMIF('20.01'!$X:$X,$B:$B,'20.01'!$D:$D)*1.2</f>
        <v>0</v>
      </c>
      <c r="BF75" s="110">
        <f t="shared" si="135"/>
        <v>0</v>
      </c>
      <c r="BG75" s="17">
        <f>SUMIF('20.01'!$Y:$Y,$B:$B,'20.01'!$D:$D)*1.2</f>
        <v>0</v>
      </c>
      <c r="BH75" s="17">
        <f>SUMIF('20.01'!$Z:$Z,$B:$B,'20.01'!$D:$D)*1.2</f>
        <v>0</v>
      </c>
      <c r="BI75" s="17">
        <f>SUMIF('20.01'!$AA:$AA,$B:$B,'20.01'!$D:$D)*1.2</f>
        <v>0</v>
      </c>
      <c r="BJ75" s="17">
        <f>SUMIF('20.01'!$AB:$AB,$B:$B,'20.01'!$D:$D)*1.2</f>
        <v>0</v>
      </c>
      <c r="BK75" s="17">
        <f>SUMIF('20.01'!$AC:$AC,$B:$B,'20.01'!$D:$D)*1.2</f>
        <v>0</v>
      </c>
      <c r="BL75" s="17">
        <f>SUMIF('20.01'!$AD:$AD,$B:$B,'20.01'!$D:$D)*1.2</f>
        <v>0</v>
      </c>
      <c r="BM75" s="110">
        <f t="shared" si="136"/>
        <v>0</v>
      </c>
      <c r="BN75" s="17">
        <f>SUMIF('20.01'!$AE:$AE,$B:$B,'20.01'!$D:$D)*1.2</f>
        <v>0</v>
      </c>
      <c r="BO75" s="17">
        <f>SUMIF('20.01'!$AF:$AF,$B:$B,'20.01'!$D:$D)*1.2</f>
        <v>0</v>
      </c>
      <c r="BP75" s="110">
        <f>SUMIF('20.01'!$AG:$AG,$B:$B,'20.01'!$D:$D)*1.2</f>
        <v>0</v>
      </c>
      <c r="BQ75" s="110">
        <f>SUMIF('20.01'!$AH:$AH,$B:$B,'20.01'!$D:$D)*1.2</f>
        <v>0</v>
      </c>
      <c r="BR75" s="110">
        <f>SUMIF('20.01'!$AI:$AI,$B:$B,'20.01'!$D:$D)*1.2</f>
        <v>0</v>
      </c>
      <c r="BS75" s="110">
        <f t="shared" si="137"/>
        <v>0</v>
      </c>
      <c r="BT75" s="17">
        <f>SUMIF('20.01'!$AJ:$AJ,$B:$B,'20.01'!$D:$D)*1.2</f>
        <v>0</v>
      </c>
      <c r="BU75" s="17">
        <f>SUMIF('20.01'!$AK:$AK,$B:$B,'20.01'!$D:$D)*1.2</f>
        <v>0</v>
      </c>
      <c r="BV75" s="110">
        <f>SUMIF('20.01'!$AL:$AL,$B:$B,'20.01'!$D:$D)*1.2</f>
        <v>0</v>
      </c>
      <c r="BW75" s="110">
        <f>SUMIF('20.01'!$AM:$AM,$B:$B,'20.01'!$D:$D)*1.2</f>
        <v>0</v>
      </c>
      <c r="BX75" s="141">
        <f>71602.152/(G74+G75)*G75</f>
        <v>35602.949548292789</v>
      </c>
      <c r="BY75" s="110">
        <f t="shared" si="87"/>
        <v>216148.5881288001</v>
      </c>
      <c r="BZ75" s="17">
        <f t="shared" si="82"/>
        <v>175101.2618231074</v>
      </c>
      <c r="CA75" s="17">
        <f t="shared" si="88"/>
        <v>17721.156749810158</v>
      </c>
      <c r="CB75" s="17">
        <f t="shared" si="89"/>
        <v>1178.0117397333172</v>
      </c>
      <c r="CC75" s="17">
        <f>SUMIF('20.01'!$AO:$AO,$B:$B,'20.01'!$D:$D)*1.2</f>
        <v>0</v>
      </c>
      <c r="CD75" s="17">
        <f t="shared" si="90"/>
        <v>18493.587865070742</v>
      </c>
      <c r="CE75" s="17">
        <f>SUMIF('20.01'!$AQ:$AQ,$B:$B,'20.01'!$D:$D)*1.2</f>
        <v>0</v>
      </c>
      <c r="CF75" s="17">
        <f t="shared" si="91"/>
        <v>1682.6241496955263</v>
      </c>
      <c r="CG75" s="17">
        <f>SUMIF('20.01'!$AR:$AR,$B:$B,'20.01'!$D:$D)*1.2</f>
        <v>0</v>
      </c>
      <c r="CH75" s="17">
        <f t="shared" si="92"/>
        <v>990.94353092474455</v>
      </c>
      <c r="CI75" s="17">
        <f>SUMIF('20.01'!$AT:$AT,$B:$B,'20.01'!$D:$D)*1.2</f>
        <v>0</v>
      </c>
      <c r="CJ75" s="17">
        <f>SUMIF('20.01'!$AU:$AU,$B:$B,'20.01'!$D:$D)*1.2</f>
        <v>0</v>
      </c>
      <c r="CK75" s="17">
        <f>SUMIF('20.01'!$AV:$AV,$B:$B,'20.01'!$D:$D)*1.2</f>
        <v>0</v>
      </c>
      <c r="CL75" s="17">
        <f t="shared" si="93"/>
        <v>981.00227045822805</v>
      </c>
      <c r="CM75" s="17">
        <f>SUMIF('20.01'!$AW:$AW,$B:$B,'20.01'!$D:$D)*1.2</f>
        <v>0</v>
      </c>
      <c r="CN75" s="17">
        <f>SUMIF('20.01'!$AX:$AX,$B:$B,'20.01'!$D:$D)*1.2</f>
        <v>0</v>
      </c>
      <c r="CO75" s="110">
        <f t="shared" si="138"/>
        <v>329088.41546950431</v>
      </c>
      <c r="CP75" s="17">
        <f t="shared" si="139"/>
        <v>259598.55904855914</v>
      </c>
      <c r="CQ75" s="17">
        <f t="shared" si="94"/>
        <v>80089.72744942666</v>
      </c>
      <c r="CR75" s="17">
        <f t="shared" si="95"/>
        <v>179508.83159913248</v>
      </c>
      <c r="CS75" s="17">
        <f t="shared" si="140"/>
        <v>69489.856420945172</v>
      </c>
      <c r="CT75" s="17">
        <f t="shared" si="96"/>
        <v>2531.5764277109324</v>
      </c>
      <c r="CU75" s="17">
        <f t="shared" si="97"/>
        <v>2448.6255223491835</v>
      </c>
      <c r="CV75" s="17">
        <f t="shared" si="98"/>
        <v>2530.7079946307736</v>
      </c>
      <c r="CW75" s="17">
        <f t="shared" si="99"/>
        <v>26.537259746311992</v>
      </c>
      <c r="CX75" s="17">
        <f t="shared" si="100"/>
        <v>37367.129688079091</v>
      </c>
      <c r="CY75" s="17">
        <f t="shared" si="101"/>
        <v>24585.27952842888</v>
      </c>
      <c r="CZ75" s="110">
        <f t="shared" si="141"/>
        <v>81688.35997830829</v>
      </c>
      <c r="DA75" s="17">
        <f t="shared" si="142"/>
        <v>3085.7278774781394</v>
      </c>
      <c r="DB75" s="17">
        <f t="shared" si="102"/>
        <v>2928.2425631570859</v>
      </c>
      <c r="DC75" s="17">
        <f t="shared" si="103"/>
        <v>157.48531432105335</v>
      </c>
      <c r="DD75" s="17">
        <f t="shared" si="104"/>
        <v>5437.4064792968966</v>
      </c>
      <c r="DE75" s="17">
        <f t="shared" si="105"/>
        <v>1876.048509536017</v>
      </c>
      <c r="DF75" s="17">
        <f t="shared" si="106"/>
        <v>2276.8462284574625</v>
      </c>
      <c r="DG75" s="17">
        <f t="shared" si="143"/>
        <v>69012.330883539777</v>
      </c>
      <c r="DH75" s="110">
        <f t="shared" si="144"/>
        <v>50979.917894654078</v>
      </c>
      <c r="DI75" s="17">
        <f t="shared" si="107"/>
        <v>45731.064918472926</v>
      </c>
      <c r="DJ75" s="17">
        <f t="shared" si="108"/>
        <v>5057.5870619382349</v>
      </c>
      <c r="DK75" s="17">
        <f t="shared" si="109"/>
        <v>191.26591424291928</v>
      </c>
      <c r="DL75" s="110">
        <f t="shared" si="145"/>
        <v>385772.18068300141</v>
      </c>
      <c r="DM75" s="17">
        <f t="shared" si="110"/>
        <v>160631.06107717013</v>
      </c>
      <c r="DN75" s="17">
        <f t="shared" si="111"/>
        <v>142446.41265333956</v>
      </c>
      <c r="DO75" s="17">
        <f t="shared" si="112"/>
        <v>82694.706952491717</v>
      </c>
      <c r="DP75" s="110">
        <f t="shared" si="146"/>
        <v>126990.50137337499</v>
      </c>
      <c r="DQ75" s="108">
        <f>DQ74</f>
        <v>2459.424</v>
      </c>
      <c r="DR75" s="17">
        <f t="shared" si="113"/>
        <v>123614.71168085268</v>
      </c>
      <c r="DS75" s="17">
        <f t="shared" si="114"/>
        <v>916.36569252232277</v>
      </c>
      <c r="DT75" s="110">
        <f t="shared" si="147"/>
        <v>6827.424</v>
      </c>
      <c r="DU75" s="17">
        <f>SUMIF('20.01'!$BD:$BD,$B:$B,'20.01'!$D:$D)*1.2</f>
        <v>6827.424</v>
      </c>
      <c r="DV75" s="17">
        <f t="shared" si="115"/>
        <v>0</v>
      </c>
      <c r="DW75" s="17">
        <f t="shared" si="116"/>
        <v>0</v>
      </c>
      <c r="DX75" s="110">
        <f t="shared" si="117"/>
        <v>1356356.9085984977</v>
      </c>
      <c r="DY75" s="110">
        <f>EC75*EG75</f>
        <v>111183.94412546729</v>
      </c>
      <c r="DZ75" s="110">
        <f t="shared" si="148"/>
        <v>1467540.852723965</v>
      </c>
      <c r="EA75" s="257"/>
      <c r="EB75" s="110">
        <f t="shared" si="118"/>
        <v>886.55421686746979</v>
      </c>
      <c r="EC75" s="110">
        <f>SUMIF(еирц!$B:$B,$B:$B,еирц!$K:$K)</f>
        <v>1389799.301568341</v>
      </c>
      <c r="ED75" s="110">
        <f>SUMIF(еирц!$B:$B,$B:$B,еирц!$P:$P)</f>
        <v>1381838.4030823847</v>
      </c>
      <c r="EE75" s="110">
        <f>SUMIF(еирц!$B:$B,$B:$B,еирц!$S:$S)</f>
        <v>221562.67835439069</v>
      </c>
      <c r="EF75" s="177">
        <f t="shared" si="149"/>
        <v>34328.947186710779</v>
      </c>
      <c r="EG75" s="182">
        <v>0.08</v>
      </c>
      <c r="EH75" s="177">
        <f t="shared" si="150"/>
        <v>-76854.996938756434</v>
      </c>
    </row>
    <row r="76" spans="1:138" ht="12" customHeight="1" x14ac:dyDescent="0.25">
      <c r="A76" s="5">
        <f t="shared" si="151"/>
        <v>72</v>
      </c>
      <c r="B76" s="6" t="s">
        <v>155</v>
      </c>
      <c r="C76" s="7">
        <f t="shared" si="84"/>
        <v>3103.7</v>
      </c>
      <c r="D76" s="8">
        <v>3103.7</v>
      </c>
      <c r="E76" s="8">
        <v>0</v>
      </c>
      <c r="F76" s="8">
        <v>798.9</v>
      </c>
      <c r="G76" s="87">
        <f t="shared" si="85"/>
        <v>3103.7</v>
      </c>
      <c r="H76" s="87">
        <f t="shared" si="86"/>
        <v>3103.7</v>
      </c>
      <c r="I76" s="91">
        <v>2</v>
      </c>
      <c r="J76" s="112">
        <v>4.8743402586824847E-3</v>
      </c>
      <c r="K76" s="115">
        <v>2</v>
      </c>
      <c r="L76" s="112">
        <f t="shared" si="119"/>
        <v>4.8192771084337345E-3</v>
      </c>
      <c r="M76" s="116">
        <v>3.4064167268041241</v>
      </c>
      <c r="N76" s="120">
        <f t="shared" si="120"/>
        <v>3103.7</v>
      </c>
      <c r="O76" s="116">
        <v>3.0862321907216499</v>
      </c>
      <c r="P76" s="120">
        <f t="shared" si="121"/>
        <v>3103.7</v>
      </c>
      <c r="Q76" s="116">
        <v>1.6009262113402063</v>
      </c>
      <c r="R76" s="120">
        <f t="shared" si="122"/>
        <v>3103.7</v>
      </c>
      <c r="S76" s="5" t="s">
        <v>143</v>
      </c>
      <c r="T76" s="87">
        <v>41.34</v>
      </c>
      <c r="U76" s="88">
        <v>4.68</v>
      </c>
      <c r="V76" s="88">
        <v>7.92</v>
      </c>
      <c r="W76" s="88">
        <v>12.32</v>
      </c>
      <c r="X76" s="88">
        <v>6.34</v>
      </c>
      <c r="Y76" s="88">
        <v>2.89</v>
      </c>
      <c r="Z76" s="88">
        <v>1.66</v>
      </c>
      <c r="AA76" s="88">
        <v>5.29</v>
      </c>
      <c r="AB76" s="88">
        <v>0.24</v>
      </c>
      <c r="AC76" s="257"/>
      <c r="AD76" s="110">
        <f t="shared" si="123"/>
        <v>152144.79874274597</v>
      </c>
      <c r="AE76" s="110">
        <f t="shared" si="124"/>
        <v>150072.93198425436</v>
      </c>
      <c r="AF76" s="16">
        <f>SUMIF('20.01'!$I:$I,$B:$B,'20.01'!$D:$D)*1.2</f>
        <v>96677.123999999996</v>
      </c>
      <c r="AG76" s="17">
        <f t="shared" si="83"/>
        <v>8279.5182235222619</v>
      </c>
      <c r="AH76" s="17">
        <f t="shared" si="125"/>
        <v>2369.9822063352976</v>
      </c>
      <c r="AI76" s="16">
        <f>SUMIF('20.01'!$J:$J,$B:$B,'20.01'!$D:$D)*1.2</f>
        <v>0</v>
      </c>
      <c r="AJ76" s="17">
        <f t="shared" si="126"/>
        <v>963.10748642806402</v>
      </c>
      <c r="AK76" s="17">
        <f t="shared" si="127"/>
        <v>2343.0265556168401</v>
      </c>
      <c r="AL76" s="17">
        <f t="shared" si="128"/>
        <v>39440.173512351896</v>
      </c>
      <c r="AM76" s="110">
        <f t="shared" si="129"/>
        <v>0</v>
      </c>
      <c r="AN76" s="17">
        <f>SUMIF('20.01'!$K:$K,$B:$B,'20.01'!$D:$D)*1.2</f>
        <v>0</v>
      </c>
      <c r="AO76" s="17">
        <f>SUMIF('20.01'!$L:$L,$B:$B,'20.01'!$D:$D)*1.2</f>
        <v>0</v>
      </c>
      <c r="AP76" s="17">
        <f>SUMIF('20.01'!$M:$M,$B:$B,'20.01'!$D:$D)*1.2</f>
        <v>0</v>
      </c>
      <c r="AQ76" s="110">
        <f t="shared" si="130"/>
        <v>871.86675849162191</v>
      </c>
      <c r="AR76" s="17">
        <f t="shared" si="131"/>
        <v>871.86675849162191</v>
      </c>
      <c r="AS76" s="17">
        <f>(SUMIF('20.01'!$N:$N,$B:$B,'20.01'!$D:$D)+SUMIF('20.01'!$O:$O,$B:$B,'20.01'!$D:$D))*1.2</f>
        <v>0</v>
      </c>
      <c r="AT76" s="110">
        <f>SUMIF('20.01'!$P:$P,$B:$B,'20.01'!$D:$D)*1.2</f>
        <v>0</v>
      </c>
      <c r="AU76" s="110">
        <f t="shared" si="132"/>
        <v>0</v>
      </c>
      <c r="AV76" s="17">
        <f>SUMIF('20.01'!$Q:$Q,$B:$B,'20.01'!$D:$D)*1.2</f>
        <v>0</v>
      </c>
      <c r="AW76" s="17">
        <f>SUMIF('20.01'!$R:$R,$B:$B,'20.01'!$D:$D)*1.2</f>
        <v>0</v>
      </c>
      <c r="AX76" s="110">
        <f t="shared" si="133"/>
        <v>0</v>
      </c>
      <c r="AY76" s="17">
        <f>SUMIF('20.01'!$S:$S,$B:$B,'20.01'!$D:$D)*1.2</f>
        <v>0</v>
      </c>
      <c r="AZ76" s="17">
        <f>SUMIF('20.01'!$T:$T,$B:$B,'20.01'!$D:$D)*1.2</f>
        <v>0</v>
      </c>
      <c r="BA76" s="110">
        <f t="shared" si="134"/>
        <v>0</v>
      </c>
      <c r="BB76" s="17">
        <f>SUMIF('20.01'!$U:$U,$B:$B,'20.01'!$D:$D)*1.2</f>
        <v>0</v>
      </c>
      <c r="BC76" s="17">
        <f>SUMIF('20.01'!$V:$V,$B:$B,'20.01'!$D:$D)*1.2</f>
        <v>0</v>
      </c>
      <c r="BD76" s="17">
        <f>SUMIF('20.01'!$W:$W,$B:$B,'20.01'!$D:$D)*1.2</f>
        <v>0</v>
      </c>
      <c r="BE76" s="110">
        <f>SUMIF('20.01'!$X:$X,$B:$B,'20.01'!$D:$D)*1.2</f>
        <v>0</v>
      </c>
      <c r="BF76" s="110">
        <f t="shared" si="135"/>
        <v>1200</v>
      </c>
      <c r="BG76" s="17">
        <f>SUMIF('20.01'!$Y:$Y,$B:$B,'20.01'!$D:$D)*1.2</f>
        <v>0</v>
      </c>
      <c r="BH76" s="17">
        <f>SUMIF('20.01'!$Z:$Z,$B:$B,'20.01'!$D:$D)*1.2</f>
        <v>0</v>
      </c>
      <c r="BI76" s="17">
        <f>SUMIF('20.01'!$AA:$AA,$B:$B,'20.01'!$D:$D)*1.2</f>
        <v>0</v>
      </c>
      <c r="BJ76" s="17">
        <f>SUMIF('20.01'!$AB:$AB,$B:$B,'20.01'!$D:$D)*1.2</f>
        <v>0</v>
      </c>
      <c r="BK76" s="17">
        <f>SUMIF('20.01'!$AC:$AC,$B:$B,'20.01'!$D:$D)*1.2</f>
        <v>0</v>
      </c>
      <c r="BL76" s="17">
        <f>SUMIF('20.01'!$AD:$AD,$B:$B,'20.01'!$D:$D)*1.2</f>
        <v>1200</v>
      </c>
      <c r="BM76" s="110">
        <f t="shared" si="136"/>
        <v>0</v>
      </c>
      <c r="BN76" s="17">
        <f>SUMIF('20.01'!$AE:$AE,$B:$B,'20.01'!$D:$D)*1.2</f>
        <v>0</v>
      </c>
      <c r="BO76" s="17">
        <f>SUMIF('20.01'!$AF:$AF,$B:$B,'20.01'!$D:$D)*1.2</f>
        <v>0</v>
      </c>
      <c r="BP76" s="110">
        <f>SUMIF('20.01'!$AG:$AG,$B:$B,'20.01'!$D:$D)*1.2</f>
        <v>0</v>
      </c>
      <c r="BQ76" s="110">
        <f>SUMIF('20.01'!$AH:$AH,$B:$B,'20.01'!$D:$D)*1.2</f>
        <v>0</v>
      </c>
      <c r="BR76" s="110">
        <f>SUMIF('20.01'!$AI:$AI,$B:$B,'20.01'!$D:$D)*1.2</f>
        <v>0</v>
      </c>
      <c r="BS76" s="110">
        <f t="shared" si="137"/>
        <v>0</v>
      </c>
      <c r="BT76" s="17">
        <f>SUMIF('20.01'!$AJ:$AJ,$B:$B,'20.01'!$D:$D)*1.2</f>
        <v>0</v>
      </c>
      <c r="BU76" s="17">
        <f>SUMIF('20.01'!$AK:$AK,$B:$B,'20.01'!$D:$D)*1.2</f>
        <v>0</v>
      </c>
      <c r="BV76" s="110">
        <f>SUMIF('20.01'!$AL:$AL,$B:$B,'20.01'!$D:$D)*1.2</f>
        <v>0</v>
      </c>
      <c r="BW76" s="110">
        <f>SUMIF('20.01'!$AM:$AM,$B:$B,'20.01'!$D:$D)*1.2</f>
        <v>0</v>
      </c>
      <c r="BX76" s="110">
        <f>SUMIF('20.01'!$AN:$AN,$B:$B,'20.01'!$D:$D)*1.2</f>
        <v>0</v>
      </c>
      <c r="BY76" s="110">
        <f t="shared" si="87"/>
        <v>234796.4346126827</v>
      </c>
      <c r="BZ76" s="17">
        <f t="shared" si="82"/>
        <v>190207.82105571136</v>
      </c>
      <c r="CA76" s="17">
        <f t="shared" si="88"/>
        <v>19250.018971155601</v>
      </c>
      <c r="CB76" s="17">
        <f t="shared" si="89"/>
        <v>1279.6426699602046</v>
      </c>
      <c r="CC76" s="17">
        <f>SUMIF('20.01'!$AO:$AO,$B:$B,'20.01'!$D:$D)*1.2</f>
        <v>0</v>
      </c>
      <c r="CD76" s="17">
        <f t="shared" si="90"/>
        <v>20089.090248082059</v>
      </c>
      <c r="CE76" s="17">
        <f>SUMIF('20.01'!$AQ:$AQ,$B:$B,'20.01'!$D:$D)*1.2</f>
        <v>0</v>
      </c>
      <c r="CF76" s="17">
        <f t="shared" si="91"/>
        <v>1827.7896449006037</v>
      </c>
      <c r="CG76" s="17">
        <f>SUMIF('20.01'!$AR:$AR,$B:$B,'20.01'!$D:$D)*1.2</f>
        <v>0</v>
      </c>
      <c r="CH76" s="17">
        <f t="shared" si="92"/>
        <v>1076.4354742164112</v>
      </c>
      <c r="CI76" s="17">
        <f>SUMIF('20.01'!$AT:$AT,$B:$B,'20.01'!$D:$D)*1.2</f>
        <v>0</v>
      </c>
      <c r="CJ76" s="17">
        <f>SUMIF('20.01'!$AU:$AU,$B:$B,'20.01'!$D:$D)*1.2</f>
        <v>0</v>
      </c>
      <c r="CK76" s="17">
        <f>SUMIF('20.01'!$AV:$AV,$B:$B,'20.01'!$D:$D)*1.2</f>
        <v>0</v>
      </c>
      <c r="CL76" s="17">
        <f t="shared" si="93"/>
        <v>1065.6365486564478</v>
      </c>
      <c r="CM76" s="17">
        <f>SUMIF('20.01'!$AW:$AW,$B:$B,'20.01'!$D:$D)*1.2</f>
        <v>0</v>
      </c>
      <c r="CN76" s="17">
        <f>SUMIF('20.01'!$AX:$AX,$B:$B,'20.01'!$D:$D)*1.2</f>
        <v>0</v>
      </c>
      <c r="CO76" s="110">
        <f t="shared" si="138"/>
        <v>357479.95068343147</v>
      </c>
      <c r="CP76" s="17">
        <f t="shared" si="139"/>
        <v>281994.97680211847</v>
      </c>
      <c r="CQ76" s="17">
        <f t="shared" si="94"/>
        <v>86999.330493065063</v>
      </c>
      <c r="CR76" s="17">
        <f t="shared" si="95"/>
        <v>194995.64630905341</v>
      </c>
      <c r="CS76" s="17">
        <f t="shared" si="140"/>
        <v>75484.97388131301</v>
      </c>
      <c r="CT76" s="17">
        <f t="shared" si="96"/>
        <v>2749.98381586393</v>
      </c>
      <c r="CU76" s="17">
        <f t="shared" si="97"/>
        <v>2659.8764642710207</v>
      </c>
      <c r="CV76" s="17">
        <f t="shared" si="98"/>
        <v>2749.0404602182321</v>
      </c>
      <c r="CW76" s="17">
        <f t="shared" si="99"/>
        <v>28.826716041799152</v>
      </c>
      <c r="CX76" s="17">
        <f t="shared" si="100"/>
        <v>40590.914326225349</v>
      </c>
      <c r="CY76" s="17">
        <f t="shared" si="101"/>
        <v>26706.332098692677</v>
      </c>
      <c r="CZ76" s="110">
        <f t="shared" si="141"/>
        <v>88735.882284990716</v>
      </c>
      <c r="DA76" s="17">
        <f t="shared" si="142"/>
        <v>3351.9437257905993</v>
      </c>
      <c r="DB76" s="17">
        <f t="shared" si="102"/>
        <v>3180.8716377119722</v>
      </c>
      <c r="DC76" s="17">
        <f t="shared" si="103"/>
        <v>171.07208807862708</v>
      </c>
      <c r="DD76" s="17">
        <f t="shared" si="104"/>
        <v>5906.5093412409979</v>
      </c>
      <c r="DE76" s="17">
        <f t="shared" si="105"/>
        <v>2037.9013576392749</v>
      </c>
      <c r="DF76" s="17">
        <f t="shared" si="106"/>
        <v>2473.2772081980352</v>
      </c>
      <c r="DG76" s="17">
        <f t="shared" si="143"/>
        <v>74966.250652121802</v>
      </c>
      <c r="DH76" s="110">
        <f t="shared" si="144"/>
        <v>55378.122346926328</v>
      </c>
      <c r="DI76" s="17">
        <f t="shared" si="107"/>
        <v>49676.433636939815</v>
      </c>
      <c r="DJ76" s="17">
        <f t="shared" si="108"/>
        <v>5493.9216590150154</v>
      </c>
      <c r="DK76" s="17">
        <f t="shared" si="109"/>
        <v>207.76705097149255</v>
      </c>
      <c r="DL76" s="110">
        <f t="shared" si="145"/>
        <v>419054.0099348423</v>
      </c>
      <c r="DM76" s="17">
        <f t="shared" si="110"/>
        <v>174489.22870825036</v>
      </c>
      <c r="DN76" s="17">
        <f t="shared" si="111"/>
        <v>154735.73111863711</v>
      </c>
      <c r="DO76" s="17">
        <f t="shared" si="112"/>
        <v>89829.050107954827</v>
      </c>
      <c r="DP76" s="110">
        <f t="shared" si="146"/>
        <v>139811.90279313375</v>
      </c>
      <c r="DQ76" s="17">
        <f>SUMIF('20.01'!$BB:$BB,$B:$B,'20.01'!$D:$D)*1.2</f>
        <v>5192.28</v>
      </c>
      <c r="DR76" s="17">
        <f t="shared" si="113"/>
        <v>133629.02023456071</v>
      </c>
      <c r="DS76" s="17">
        <f t="shared" si="114"/>
        <v>990.60255857305117</v>
      </c>
      <c r="DT76" s="110">
        <f t="shared" si="147"/>
        <v>6448.116</v>
      </c>
      <c r="DU76" s="17">
        <f>SUMIF('20.01'!$BD:$BD,$B:$B,'20.01'!$D:$D)*1.2</f>
        <v>6448.116</v>
      </c>
      <c r="DV76" s="17">
        <f t="shared" si="115"/>
        <v>0</v>
      </c>
      <c r="DW76" s="17">
        <f t="shared" si="116"/>
        <v>0</v>
      </c>
      <c r="DX76" s="110">
        <f t="shared" si="117"/>
        <v>1453849.2173987534</v>
      </c>
      <c r="DY76" s="110">
        <f>EC76*EG76</f>
        <v>120806.02480000001</v>
      </c>
      <c r="DZ76" s="110">
        <f t="shared" si="148"/>
        <v>1574655.2421987534</v>
      </c>
      <c r="EA76" s="257"/>
      <c r="EB76" s="110">
        <f t="shared" si="118"/>
        <v>1773.1084337349396</v>
      </c>
      <c r="EC76" s="110">
        <f>SUMIF(еирц!$B:$B,$B:$B,еирц!$K:$K)</f>
        <v>1510075.31</v>
      </c>
      <c r="ED76" s="110">
        <f>SUMIF(еирц!$B:$B,$B:$B,еирц!$P:$P)</f>
        <v>1421349.24</v>
      </c>
      <c r="EE76" s="110">
        <f>SUMIF(еирц!$B:$B,$B:$B,еирц!$S:$S)</f>
        <v>736666.34</v>
      </c>
      <c r="EF76" s="177">
        <f t="shared" si="149"/>
        <v>57999.201034981525</v>
      </c>
      <c r="EG76" s="182">
        <v>0.08</v>
      </c>
      <c r="EH76" s="177">
        <f t="shared" si="150"/>
        <v>-62806.823765018489</v>
      </c>
    </row>
    <row r="77" spans="1:138" ht="12" customHeight="1" x14ac:dyDescent="0.25">
      <c r="A77" s="5">
        <f t="shared" si="151"/>
        <v>73</v>
      </c>
      <c r="B77" s="6" t="s">
        <v>156</v>
      </c>
      <c r="C77" s="7">
        <f t="shared" si="84"/>
        <v>3039</v>
      </c>
      <c r="D77" s="8">
        <v>3039</v>
      </c>
      <c r="E77" s="8">
        <v>0</v>
      </c>
      <c r="F77" s="8">
        <v>338.66</v>
      </c>
      <c r="G77" s="87">
        <f t="shared" si="85"/>
        <v>3039</v>
      </c>
      <c r="H77" s="87">
        <f t="shared" si="86"/>
        <v>3039</v>
      </c>
      <c r="I77" s="91">
        <v>1</v>
      </c>
      <c r="J77" s="112">
        <v>4.750267050007838E-3</v>
      </c>
      <c r="K77" s="17">
        <v>1</v>
      </c>
      <c r="L77" s="112">
        <f t="shared" si="119"/>
        <v>2.4096385542168672E-3</v>
      </c>
      <c r="M77" s="117">
        <f>3.40641770766576/2</f>
        <v>1.70320885383288</v>
      </c>
      <c r="N77" s="120">
        <f t="shared" si="120"/>
        <v>3039</v>
      </c>
      <c r="O77" s="117">
        <f>3.08623205487059/2</f>
        <v>1.5431160274352951</v>
      </c>
      <c r="P77" s="120">
        <f t="shared" si="121"/>
        <v>3039</v>
      </c>
      <c r="Q77" s="117">
        <f>1.60092735807001/2</f>
        <v>0.80046367903500504</v>
      </c>
      <c r="R77" s="120">
        <f t="shared" si="122"/>
        <v>3039</v>
      </c>
      <c r="S77" s="5" t="s">
        <v>143</v>
      </c>
      <c r="T77" s="87">
        <v>41.34</v>
      </c>
      <c r="U77" s="88">
        <v>4.68</v>
      </c>
      <c r="V77" s="88">
        <v>7.92</v>
      </c>
      <c r="W77" s="88">
        <v>12.32</v>
      </c>
      <c r="X77" s="88">
        <v>6.34</v>
      </c>
      <c r="Y77" s="88">
        <v>2.89</v>
      </c>
      <c r="Z77" s="88">
        <v>1.66</v>
      </c>
      <c r="AA77" s="88">
        <v>5.29</v>
      </c>
      <c r="AB77" s="88">
        <v>0.24</v>
      </c>
      <c r="AC77" s="257"/>
      <c r="AD77" s="110">
        <f t="shared" si="123"/>
        <v>140766.89186489617</v>
      </c>
      <c r="AE77" s="110">
        <f t="shared" si="124"/>
        <v>55774.351626300791</v>
      </c>
      <c r="AF77" s="131">
        <f>SUMIF('20.01'!$I:$I,$B:$B,'20.01'!$D:$D)*1.2/(G77+G78)*G77</f>
        <v>3491.637296903943</v>
      </c>
      <c r="AG77" s="17">
        <f t="shared" si="83"/>
        <v>8106.9226669085783</v>
      </c>
      <c r="AH77" s="17">
        <f t="shared" si="125"/>
        <v>2320.5773512430228</v>
      </c>
      <c r="AI77" s="16">
        <f>SUMIF('20.01'!$J:$J,$B:$B,'20.01'!$D:$D)*1.2</f>
        <v>0</v>
      </c>
      <c r="AJ77" s="17">
        <f t="shared" si="126"/>
        <v>943.03046404449094</v>
      </c>
      <c r="AK77" s="17">
        <f t="shared" si="127"/>
        <v>2294.1836203626567</v>
      </c>
      <c r="AL77" s="17">
        <f t="shared" si="128"/>
        <v>38618.000226838099</v>
      </c>
      <c r="AM77" s="110">
        <f t="shared" si="129"/>
        <v>3016.0044442974336</v>
      </c>
      <c r="AN77" s="108">
        <f>SUMIF('20.01'!$K:$K,$B:$B,'20.01'!$D:$D)*1.2/(G77+G78)*G77</f>
        <v>3016.0044442974336</v>
      </c>
      <c r="AO77" s="17">
        <f>SUMIF('20.01'!$L:$L,$B:$B,'20.01'!$D:$D)*1.2</f>
        <v>0</v>
      </c>
      <c r="AP77" s="17">
        <f>SUMIF('20.01'!$M:$M,$B:$B,'20.01'!$D:$D)*1.2</f>
        <v>0</v>
      </c>
      <c r="AQ77" s="110">
        <f t="shared" si="130"/>
        <v>853.69174825403195</v>
      </c>
      <c r="AR77" s="17">
        <f t="shared" si="131"/>
        <v>853.69174825403195</v>
      </c>
      <c r="AS77" s="17">
        <f>(SUMIF('20.01'!$N:$N,$B:$B,'20.01'!$D:$D)+SUMIF('20.01'!$O:$O,$B:$B,'20.01'!$D:$D))*1.2</f>
        <v>0</v>
      </c>
      <c r="AT77" s="110">
        <f>SUMIF('20.01'!$P:$P,$B:$B,'20.01'!$D:$D)*1.2</f>
        <v>0</v>
      </c>
      <c r="AU77" s="110">
        <f t="shared" si="132"/>
        <v>0</v>
      </c>
      <c r="AV77" s="17">
        <f>SUMIF('20.01'!$Q:$Q,$B:$B,'20.01'!$D:$D)*1.2</f>
        <v>0</v>
      </c>
      <c r="AW77" s="17">
        <f>SUMIF('20.01'!$R:$R,$B:$B,'20.01'!$D:$D)*1.2</f>
        <v>0</v>
      </c>
      <c r="AX77" s="110">
        <f t="shared" si="133"/>
        <v>0</v>
      </c>
      <c r="AY77" s="17">
        <f>SUMIF('20.01'!$S:$S,$B:$B,'20.01'!$D:$D)*1.2</f>
        <v>0</v>
      </c>
      <c r="AZ77" s="17">
        <f>SUMIF('20.01'!$T:$T,$B:$B,'20.01'!$D:$D)*1.2</f>
        <v>0</v>
      </c>
      <c r="BA77" s="110">
        <f t="shared" si="134"/>
        <v>0</v>
      </c>
      <c r="BB77" s="17">
        <f>SUMIF('20.01'!$U:$U,$B:$B,'20.01'!$D:$D)*1.2</f>
        <v>0</v>
      </c>
      <c r="BC77" s="17">
        <f>SUMIF('20.01'!$V:$V,$B:$B,'20.01'!$D:$D)*1.2</f>
        <v>0</v>
      </c>
      <c r="BD77" s="17">
        <f>SUMIF('20.01'!$W:$W,$B:$B,'20.01'!$D:$D)*1.2</f>
        <v>0</v>
      </c>
      <c r="BE77" s="110">
        <f>SUMIF('20.01'!$X:$X,$B:$B,'20.01'!$D:$D)*1.2</f>
        <v>0</v>
      </c>
      <c r="BF77" s="110">
        <f t="shared" si="135"/>
        <v>81122.844046043916</v>
      </c>
      <c r="BG77" s="108">
        <f>SUMIF('20.01'!$Y:$Y,$B:$B,'20.01'!$D:$D)*1.2/(G77+G78)*G77</f>
        <v>81122.844046043916</v>
      </c>
      <c r="BH77" s="17">
        <f>SUMIF('20.01'!$Z:$Z,$B:$B,'20.01'!$D:$D)*1.2</f>
        <v>0</v>
      </c>
      <c r="BI77" s="17">
        <f>SUMIF('20.01'!$AA:$AA,$B:$B,'20.01'!$D:$D)*1.2</f>
        <v>0</v>
      </c>
      <c r="BJ77" s="17">
        <f>SUMIF('20.01'!$AB:$AB,$B:$B,'20.01'!$D:$D)*1.2</f>
        <v>0</v>
      </c>
      <c r="BK77" s="17">
        <f>SUMIF('20.01'!$AC:$AC,$B:$B,'20.01'!$D:$D)*1.2</f>
        <v>0</v>
      </c>
      <c r="BL77" s="17">
        <f>SUMIF('20.01'!$AD:$AD,$B:$B,'20.01'!$D:$D)*1.2</f>
        <v>0</v>
      </c>
      <c r="BM77" s="110">
        <f t="shared" si="136"/>
        <v>0</v>
      </c>
      <c r="BN77" s="17">
        <f>SUMIF('20.01'!$AE:$AE,$B:$B,'20.01'!$D:$D)*1.2</f>
        <v>0</v>
      </c>
      <c r="BO77" s="17">
        <f>SUMIF('20.01'!$AF:$AF,$B:$B,'20.01'!$D:$D)*1.2</f>
        <v>0</v>
      </c>
      <c r="BP77" s="110">
        <f>SUMIF('20.01'!$AG:$AG,$B:$B,'20.01'!$D:$D)*1.2</f>
        <v>0</v>
      </c>
      <c r="BQ77" s="110">
        <f>SUMIF('20.01'!$AH:$AH,$B:$B,'20.01'!$D:$D)*1.2</f>
        <v>0</v>
      </c>
      <c r="BR77" s="110">
        <f>SUMIF('20.01'!$AI:$AI,$B:$B,'20.01'!$D:$D)*1.2</f>
        <v>0</v>
      </c>
      <c r="BS77" s="110">
        <f t="shared" si="137"/>
        <v>0</v>
      </c>
      <c r="BT77" s="17">
        <f>SUMIF('20.01'!$AJ:$AJ,$B:$B,'20.01'!$D:$D)*1.2</f>
        <v>0</v>
      </c>
      <c r="BU77" s="17">
        <f>SUMIF('20.01'!$AK:$AK,$B:$B,'20.01'!$D:$D)*1.2</f>
        <v>0</v>
      </c>
      <c r="BV77" s="110">
        <f>SUMIF('20.01'!$AL:$AL,$B:$B,'20.01'!$D:$D)*1.2</f>
        <v>0</v>
      </c>
      <c r="BW77" s="110">
        <f>SUMIF('20.01'!$AM:$AM,$B:$B,'20.01'!$D:$D)*1.2</f>
        <v>0</v>
      </c>
      <c r="BX77" s="110">
        <f>SUMIF('20.01'!$AN:$AN,$B:$B,'20.01'!$D:$D)*1.2</f>
        <v>0</v>
      </c>
      <c r="BY77" s="110">
        <f t="shared" si="87"/>
        <v>229901.84772624375</v>
      </c>
      <c r="BZ77" s="17">
        <f t="shared" si="82"/>
        <v>186242.73228350256</v>
      </c>
      <c r="CA77" s="17">
        <f t="shared" si="88"/>
        <v>18848.731402307531</v>
      </c>
      <c r="CB77" s="17">
        <f t="shared" si="89"/>
        <v>1252.9671276247905</v>
      </c>
      <c r="CC77" s="17">
        <f>SUMIF('20.01'!$AO:$AO,$B:$B,'20.01'!$D:$D)*1.2</f>
        <v>0</v>
      </c>
      <c r="CD77" s="17">
        <f t="shared" si="90"/>
        <v>19670.311326455965</v>
      </c>
      <c r="CE77" s="17">
        <f>SUMIF('20.01'!$AQ:$AQ,$B:$B,'20.01'!$D:$D)*1.2</f>
        <v>0</v>
      </c>
      <c r="CF77" s="17">
        <f t="shared" si="91"/>
        <v>1789.6873830759851</v>
      </c>
      <c r="CG77" s="17">
        <f>SUMIF('20.01'!$AR:$AR,$B:$B,'20.01'!$D:$D)*1.2</f>
        <v>0</v>
      </c>
      <c r="CH77" s="17">
        <f t="shared" si="92"/>
        <v>1053.9960067479697</v>
      </c>
      <c r="CI77" s="17">
        <f>SUMIF('20.01'!$AT:$AT,$B:$B,'20.01'!$D:$D)*1.2</f>
        <v>0</v>
      </c>
      <c r="CJ77" s="17">
        <f>SUMIF('20.01'!$AU:$AU,$B:$B,'20.01'!$D:$D)*1.2</f>
        <v>0</v>
      </c>
      <c r="CK77" s="17">
        <f>SUMIF('20.01'!$AV:$AV,$B:$B,'20.01'!$D:$D)*1.2</f>
        <v>0</v>
      </c>
      <c r="CL77" s="17">
        <f t="shared" si="93"/>
        <v>1043.4221965289637</v>
      </c>
      <c r="CM77" s="17">
        <f>SUMIF('20.01'!$AW:$AW,$B:$B,'20.01'!$D:$D)*1.2</f>
        <v>0</v>
      </c>
      <c r="CN77" s="17">
        <f>SUMIF('20.01'!$AX:$AX,$B:$B,'20.01'!$D:$D)*1.2</f>
        <v>0</v>
      </c>
      <c r="CO77" s="110">
        <f t="shared" si="138"/>
        <v>350027.89255628712</v>
      </c>
      <c r="CP77" s="17">
        <f t="shared" si="139"/>
        <v>276116.48500229989</v>
      </c>
      <c r="CQ77" s="17">
        <f t="shared" si="94"/>
        <v>85185.734886884937</v>
      </c>
      <c r="CR77" s="17">
        <f t="shared" si="95"/>
        <v>190930.75011541496</v>
      </c>
      <c r="CS77" s="17">
        <f t="shared" si="140"/>
        <v>73911.407553987257</v>
      </c>
      <c r="CT77" s="17">
        <f t="shared" si="96"/>
        <v>2692.6574141864498</v>
      </c>
      <c r="CU77" s="17">
        <f t="shared" si="97"/>
        <v>2604.4284482777439</v>
      </c>
      <c r="CV77" s="17">
        <f t="shared" si="98"/>
        <v>2691.733723814546</v>
      </c>
      <c r="CW77" s="17">
        <f t="shared" si="99"/>
        <v>28.225791813328488</v>
      </c>
      <c r="CX77" s="17">
        <f t="shared" si="100"/>
        <v>39744.752597673374</v>
      </c>
      <c r="CY77" s="17">
        <f t="shared" si="101"/>
        <v>26149.609578221814</v>
      </c>
      <c r="CZ77" s="110">
        <f t="shared" si="141"/>
        <v>86886.086369200231</v>
      </c>
      <c r="DA77" s="17">
        <f t="shared" si="142"/>
        <v>3282.0688155033126</v>
      </c>
      <c r="DB77" s="17">
        <f t="shared" si="102"/>
        <v>3114.5629110438135</v>
      </c>
      <c r="DC77" s="17">
        <f t="shared" si="103"/>
        <v>167.50590445949922</v>
      </c>
      <c r="DD77" s="17">
        <f t="shared" si="104"/>
        <v>5783.3817340694632</v>
      </c>
      <c r="DE77" s="17">
        <f t="shared" si="105"/>
        <v>1995.4190887862089</v>
      </c>
      <c r="DF77" s="17">
        <f t="shared" si="106"/>
        <v>2421.7190565176497</v>
      </c>
      <c r="DG77" s="17">
        <f t="shared" si="143"/>
        <v>73403.497674323604</v>
      </c>
      <c r="DH77" s="110">
        <f t="shared" si="144"/>
        <v>54223.705194544928</v>
      </c>
      <c r="DI77" s="17">
        <f t="shared" si="107"/>
        <v>48640.874383046073</v>
      </c>
      <c r="DJ77" s="17">
        <f t="shared" si="108"/>
        <v>5379.3948905327934</v>
      </c>
      <c r="DK77" s="17">
        <f t="shared" si="109"/>
        <v>203.43592096606176</v>
      </c>
      <c r="DL77" s="110">
        <f t="shared" si="145"/>
        <v>410318.37361600215</v>
      </c>
      <c r="DM77" s="17">
        <f t="shared" si="110"/>
        <v>170851.81107851045</v>
      </c>
      <c r="DN77" s="17">
        <f t="shared" si="111"/>
        <v>151510.09661679229</v>
      </c>
      <c r="DO77" s="17">
        <f t="shared" si="112"/>
        <v>87956.465920699397</v>
      </c>
      <c r="DP77" s="110">
        <f t="shared" si="146"/>
        <v>133652.39053524061</v>
      </c>
      <c r="DQ77" s="108">
        <f>SUMIF('20.01'!$BB:$BB,$B:$B,'20.01'!$D:$D)*1.2/2</f>
        <v>2459.424</v>
      </c>
      <c r="DR77" s="17">
        <f t="shared" si="113"/>
        <v>130227.57913019415</v>
      </c>
      <c r="DS77" s="17">
        <f t="shared" si="114"/>
        <v>965.38740504647023</v>
      </c>
      <c r="DT77" s="110">
        <f t="shared" si="147"/>
        <v>6863.0997955808425</v>
      </c>
      <c r="DU77" s="108">
        <f>(SUMIF('20.01'!$BD:$BD,$B:$B,'20.01'!$D:$D)/(G77+G78)*G77)*1.2</f>
        <v>6863.0997955808425</v>
      </c>
      <c r="DV77" s="17">
        <f t="shared" si="115"/>
        <v>0</v>
      </c>
      <c r="DW77" s="17">
        <f t="shared" si="116"/>
        <v>0</v>
      </c>
      <c r="DX77" s="110">
        <f t="shared" si="117"/>
        <v>1412640.2876579957</v>
      </c>
      <c r="DY77" s="110">
        <f>EC77*EG77</f>
        <v>118301.70627467586</v>
      </c>
      <c r="DZ77" s="110">
        <f t="shared" si="148"/>
        <v>1530941.9939326716</v>
      </c>
      <c r="EA77" s="257"/>
      <c r="EB77" s="110">
        <f t="shared" si="118"/>
        <v>886.55421686746979</v>
      </c>
      <c r="EC77" s="110">
        <f>SUMIF(еирц!$B:$B,$B:$B,еирц!$K:$K)</f>
        <v>1478771.3284334482</v>
      </c>
      <c r="ED77" s="110">
        <f>SUMIF(еирц!$B:$B,$B:$B,еирц!$P:$P)</f>
        <v>1476246.8283590237</v>
      </c>
      <c r="EE77" s="110">
        <f>SUMIF(еирц!$B:$B,$B:$B,еирц!$S:$S)</f>
        <v>149173.71588052396</v>
      </c>
      <c r="EF77" s="177">
        <f t="shared" si="149"/>
        <v>67017.594992320053</v>
      </c>
      <c r="EG77" s="182">
        <v>0.08</v>
      </c>
      <c r="EH77" s="177">
        <f t="shared" si="150"/>
        <v>-51284.111282355851</v>
      </c>
    </row>
    <row r="78" spans="1:138" ht="12" customHeight="1" x14ac:dyDescent="0.25">
      <c r="A78" s="5">
        <f t="shared" si="151"/>
        <v>74</v>
      </c>
      <c r="B78" s="6" t="s">
        <v>157</v>
      </c>
      <c r="C78" s="7">
        <f t="shared" si="84"/>
        <v>3007.4</v>
      </c>
      <c r="D78" s="8">
        <v>3007.4</v>
      </c>
      <c r="E78" s="8">
        <v>0</v>
      </c>
      <c r="F78" s="8">
        <v>335.14</v>
      </c>
      <c r="G78" s="87">
        <f t="shared" si="85"/>
        <v>3007.4</v>
      </c>
      <c r="H78" s="87">
        <f t="shared" si="86"/>
        <v>3007.4</v>
      </c>
      <c r="I78" s="91">
        <v>1</v>
      </c>
      <c r="J78" s="112">
        <v>4.749975353910859E-3</v>
      </c>
      <c r="K78" s="17">
        <v>1</v>
      </c>
      <c r="L78" s="112">
        <f t="shared" si="119"/>
        <v>2.4096385542168672E-3</v>
      </c>
      <c r="M78" s="117">
        <f>M77</f>
        <v>1.70320885383288</v>
      </c>
      <c r="N78" s="120">
        <f t="shared" si="120"/>
        <v>3007.4</v>
      </c>
      <c r="O78" s="117">
        <f>O77</f>
        <v>1.5431160274352951</v>
      </c>
      <c r="P78" s="120">
        <f t="shared" si="121"/>
        <v>3007.4</v>
      </c>
      <c r="Q78" s="117">
        <f>Q77</f>
        <v>0.80046367903500504</v>
      </c>
      <c r="R78" s="120">
        <f t="shared" si="122"/>
        <v>3007.4</v>
      </c>
      <c r="S78" s="5" t="s">
        <v>143</v>
      </c>
      <c r="T78" s="87">
        <v>41.34</v>
      </c>
      <c r="U78" s="88">
        <v>4.68</v>
      </c>
      <c r="V78" s="88">
        <v>7.92</v>
      </c>
      <c r="W78" s="88">
        <v>12.32</v>
      </c>
      <c r="X78" s="88">
        <v>6.34</v>
      </c>
      <c r="Y78" s="88">
        <v>2.89</v>
      </c>
      <c r="Z78" s="88">
        <v>1.66</v>
      </c>
      <c r="AA78" s="88">
        <v>5.29</v>
      </c>
      <c r="AB78" s="88">
        <v>0.24</v>
      </c>
      <c r="AC78" s="257"/>
      <c r="AD78" s="110">
        <f t="shared" si="123"/>
        <v>139303.17558226024</v>
      </c>
      <c r="AE78" s="110">
        <f t="shared" si="124"/>
        <v>55194.401145421856</v>
      </c>
      <c r="AF78" s="131">
        <f>6946.968/(G77+G78)*G78</f>
        <v>3455.3307030960573</v>
      </c>
      <c r="AG78" s="17">
        <f t="shared" si="83"/>
        <v>8022.6256098916947</v>
      </c>
      <c r="AH78" s="17">
        <f t="shared" si="125"/>
        <v>2296.4476229444772</v>
      </c>
      <c r="AI78" s="16">
        <f>SUMIF('20.01'!$J:$J,$B:$B,'20.01'!$D:$D)*1.2</f>
        <v>0</v>
      </c>
      <c r="AJ78" s="17">
        <f t="shared" si="126"/>
        <v>933.2246849514321</v>
      </c>
      <c r="AK78" s="17">
        <f t="shared" si="127"/>
        <v>2270.3283382292379</v>
      </c>
      <c r="AL78" s="17">
        <f t="shared" si="128"/>
        <v>38216.444186308952</v>
      </c>
      <c r="AM78" s="110">
        <f t="shared" si="129"/>
        <v>2984.643555702567</v>
      </c>
      <c r="AN78" s="108">
        <f>6000.648/(G77+G78)*G78</f>
        <v>2984.643555702567</v>
      </c>
      <c r="AO78" s="17">
        <f>SUMIF('20.01'!$L:$L,$B:$B,'20.01'!$D:$D)*1.2</f>
        <v>0</v>
      </c>
      <c r="AP78" s="17">
        <f>SUMIF('20.01'!$M:$M,$B:$B,'20.01'!$D:$D)*1.2</f>
        <v>0</v>
      </c>
      <c r="AQ78" s="110">
        <f t="shared" si="130"/>
        <v>844.8149271797223</v>
      </c>
      <c r="AR78" s="17">
        <f t="shared" si="131"/>
        <v>844.8149271797223</v>
      </c>
      <c r="AS78" s="17">
        <f>(SUMIF('20.01'!$N:$N,$B:$B,'20.01'!$D:$D)+SUMIF('20.01'!$O:$O,$B:$B,'20.01'!$D:$D))*1.2</f>
        <v>0</v>
      </c>
      <c r="AT78" s="110">
        <f>SUMIF('20.01'!$P:$P,$B:$B,'20.01'!$D:$D)*1.2</f>
        <v>0</v>
      </c>
      <c r="AU78" s="110">
        <f t="shared" si="132"/>
        <v>0</v>
      </c>
      <c r="AV78" s="17">
        <f>SUMIF('20.01'!$Q:$Q,$B:$B,'20.01'!$D:$D)*1.2</f>
        <v>0</v>
      </c>
      <c r="AW78" s="17">
        <f>SUMIF('20.01'!$R:$R,$B:$B,'20.01'!$D:$D)*1.2</f>
        <v>0</v>
      </c>
      <c r="AX78" s="110">
        <f t="shared" si="133"/>
        <v>0</v>
      </c>
      <c r="AY78" s="17">
        <f>SUMIF('20.01'!$S:$S,$B:$B,'20.01'!$D:$D)*1.2</f>
        <v>0</v>
      </c>
      <c r="AZ78" s="17">
        <f>SUMIF('20.01'!$T:$T,$B:$B,'20.01'!$D:$D)*1.2</f>
        <v>0</v>
      </c>
      <c r="BA78" s="110">
        <f t="shared" si="134"/>
        <v>0</v>
      </c>
      <c r="BB78" s="17">
        <f>SUMIF('20.01'!$U:$U,$B:$B,'20.01'!$D:$D)*1.2</f>
        <v>0</v>
      </c>
      <c r="BC78" s="17">
        <f>SUMIF('20.01'!$V:$V,$B:$B,'20.01'!$D:$D)*1.2</f>
        <v>0</v>
      </c>
      <c r="BD78" s="17">
        <f>SUMIF('20.01'!$W:$W,$B:$B,'20.01'!$D:$D)*1.2</f>
        <v>0</v>
      </c>
      <c r="BE78" s="110">
        <f>SUMIF('20.01'!$X:$X,$B:$B,'20.01'!$D:$D)*1.2</f>
        <v>0</v>
      </c>
      <c r="BF78" s="110">
        <f t="shared" si="135"/>
        <v>80279.315953956087</v>
      </c>
      <c r="BG78" s="108">
        <f>161402.16/(G77+G78)*G78</f>
        <v>80279.315953956087</v>
      </c>
      <c r="BH78" s="17">
        <f>SUMIF('20.01'!$Z:$Z,$B:$B,'20.01'!$D:$D)*1.2</f>
        <v>0</v>
      </c>
      <c r="BI78" s="17">
        <f>SUMIF('20.01'!$AA:$AA,$B:$B,'20.01'!$D:$D)*1.2</f>
        <v>0</v>
      </c>
      <c r="BJ78" s="17">
        <f>SUMIF('20.01'!$AB:$AB,$B:$B,'20.01'!$D:$D)*1.2</f>
        <v>0</v>
      </c>
      <c r="BK78" s="17">
        <f>SUMIF('20.01'!$AC:$AC,$B:$B,'20.01'!$D:$D)*1.2</f>
        <v>0</v>
      </c>
      <c r="BL78" s="17">
        <f>SUMIF('20.01'!$AD:$AD,$B:$B,'20.01'!$D:$D)*1.2</f>
        <v>0</v>
      </c>
      <c r="BM78" s="110">
        <f t="shared" si="136"/>
        <v>0</v>
      </c>
      <c r="BN78" s="17">
        <f>SUMIF('20.01'!$AE:$AE,$B:$B,'20.01'!$D:$D)*1.2</f>
        <v>0</v>
      </c>
      <c r="BO78" s="17">
        <f>SUMIF('20.01'!$AF:$AF,$B:$B,'20.01'!$D:$D)*1.2</f>
        <v>0</v>
      </c>
      <c r="BP78" s="110">
        <f>SUMIF('20.01'!$AG:$AG,$B:$B,'20.01'!$D:$D)*1.2</f>
        <v>0</v>
      </c>
      <c r="BQ78" s="110">
        <f>SUMIF('20.01'!$AH:$AH,$B:$B,'20.01'!$D:$D)*1.2</f>
        <v>0</v>
      </c>
      <c r="BR78" s="110">
        <f>SUMIF('20.01'!$AI:$AI,$B:$B,'20.01'!$D:$D)*1.2</f>
        <v>0</v>
      </c>
      <c r="BS78" s="110">
        <f t="shared" si="137"/>
        <v>0</v>
      </c>
      <c r="BT78" s="17">
        <f>SUMIF('20.01'!$AJ:$AJ,$B:$B,'20.01'!$D:$D)*1.2</f>
        <v>0</v>
      </c>
      <c r="BU78" s="17">
        <f>SUMIF('20.01'!$AK:$AK,$B:$B,'20.01'!$D:$D)*1.2</f>
        <v>0</v>
      </c>
      <c r="BV78" s="110">
        <f>SUMIF('20.01'!$AL:$AL,$B:$B,'20.01'!$D:$D)*1.2</f>
        <v>0</v>
      </c>
      <c r="BW78" s="110">
        <f>SUMIF('20.01'!$AM:$AM,$B:$B,'20.01'!$D:$D)*1.2</f>
        <v>0</v>
      </c>
      <c r="BX78" s="110">
        <f>SUMIF('20.01'!$AN:$AN,$B:$B,'20.01'!$D:$D)*1.2</f>
        <v>0</v>
      </c>
      <c r="BY78" s="110">
        <f t="shared" si="87"/>
        <v>227511.29215265068</v>
      </c>
      <c r="BZ78" s="17">
        <f t="shared" si="82"/>
        <v>184306.15105936347</v>
      </c>
      <c r="CA78" s="17">
        <f t="shared" si="88"/>
        <v>18652.739328496107</v>
      </c>
      <c r="CB78" s="17">
        <f t="shared" si="89"/>
        <v>1239.9385783543253</v>
      </c>
      <c r="CC78" s="17">
        <f>SUMIF('20.01'!$AO:$AO,$B:$B,'20.01'!$D:$D)*1.2</f>
        <v>0</v>
      </c>
      <c r="CD78" s="17">
        <f t="shared" si="90"/>
        <v>19465.776335368104</v>
      </c>
      <c r="CE78" s="17">
        <f>SUMIF('20.01'!$AQ:$AQ,$B:$B,'20.01'!$D:$D)*1.2</f>
        <v>0</v>
      </c>
      <c r="CF78" s="17">
        <f t="shared" si="91"/>
        <v>1771.0779321693708</v>
      </c>
      <c r="CG78" s="17">
        <f>SUMIF('20.01'!$AR:$AR,$B:$B,'20.01'!$D:$D)*1.2</f>
        <v>0</v>
      </c>
      <c r="CH78" s="17">
        <f t="shared" si="92"/>
        <v>1043.0363904882672</v>
      </c>
      <c r="CI78" s="17">
        <f>SUMIF('20.01'!$AT:$AT,$B:$B,'20.01'!$D:$D)*1.2</f>
        <v>0</v>
      </c>
      <c r="CJ78" s="17">
        <f>SUMIF('20.01'!$AU:$AU,$B:$B,'20.01'!$D:$D)*1.2</f>
        <v>0</v>
      </c>
      <c r="CK78" s="17">
        <f>SUMIF('20.01'!$AV:$AV,$B:$B,'20.01'!$D:$D)*1.2</f>
        <v>0</v>
      </c>
      <c r="CL78" s="17">
        <f t="shared" si="93"/>
        <v>1032.5725284110581</v>
      </c>
      <c r="CM78" s="17">
        <f>SUMIF('20.01'!$AW:$AW,$B:$B,'20.01'!$D:$D)*1.2</f>
        <v>0</v>
      </c>
      <c r="CN78" s="17">
        <f>SUMIF('20.01'!$AX:$AX,$B:$B,'20.01'!$D:$D)*1.2</f>
        <v>0</v>
      </c>
      <c r="CO78" s="110">
        <f t="shared" si="138"/>
        <v>346388.24747409602</v>
      </c>
      <c r="CP78" s="17">
        <f t="shared" si="139"/>
        <v>273245.38236127561</v>
      </c>
      <c r="CQ78" s="17">
        <f t="shared" si="94"/>
        <v>84299.960216787673</v>
      </c>
      <c r="CR78" s="17">
        <f t="shared" si="95"/>
        <v>188945.42214448797</v>
      </c>
      <c r="CS78" s="17">
        <f t="shared" si="140"/>
        <v>73142.865112820422</v>
      </c>
      <c r="CT78" s="17">
        <f t="shared" si="96"/>
        <v>2664.6587388694729</v>
      </c>
      <c r="CU78" s="17">
        <f t="shared" si="97"/>
        <v>2577.3471916256949</v>
      </c>
      <c r="CV78" s="17">
        <f t="shared" si="98"/>
        <v>2663.7446531753426</v>
      </c>
      <c r="CW78" s="17">
        <f t="shared" si="99"/>
        <v>27.932295590458736</v>
      </c>
      <c r="CX78" s="17">
        <f t="shared" si="100"/>
        <v>39331.480408766998</v>
      </c>
      <c r="CY78" s="17">
        <f t="shared" si="101"/>
        <v>25877.701824792461</v>
      </c>
      <c r="CZ78" s="110">
        <f t="shared" si="141"/>
        <v>85982.631176943993</v>
      </c>
      <c r="DA78" s="17">
        <f t="shared" si="142"/>
        <v>3247.9413477277603</v>
      </c>
      <c r="DB78" s="17">
        <f t="shared" si="102"/>
        <v>3082.1771960095971</v>
      </c>
      <c r="DC78" s="17">
        <f t="shared" si="103"/>
        <v>165.76415171816319</v>
      </c>
      <c r="DD78" s="17">
        <f t="shared" si="104"/>
        <v>5723.2452211386981</v>
      </c>
      <c r="DE78" s="17">
        <f t="shared" si="105"/>
        <v>1974.6704072443715</v>
      </c>
      <c r="DF78" s="17">
        <f t="shared" si="106"/>
        <v>2396.5376408592233</v>
      </c>
      <c r="DG78" s="17">
        <f t="shared" si="143"/>
        <v>72640.236559973942</v>
      </c>
      <c r="DH78" s="110">
        <f t="shared" si="144"/>
        <v>53659.878579162367</v>
      </c>
      <c r="DI78" s="17">
        <f t="shared" si="107"/>
        <v>48135.098920557015</v>
      </c>
      <c r="DJ78" s="17">
        <f t="shared" si="108"/>
        <v>5323.4590963436403</v>
      </c>
      <c r="DK78" s="17">
        <f t="shared" si="109"/>
        <v>201.32056226170917</v>
      </c>
      <c r="DL78" s="110">
        <f t="shared" si="145"/>
        <v>406051.81862874789</v>
      </c>
      <c r="DM78" s="17">
        <f t="shared" si="110"/>
        <v>169075.26707387704</v>
      </c>
      <c r="DN78" s="17">
        <f t="shared" si="111"/>
        <v>149934.67080136266</v>
      </c>
      <c r="DO78" s="17">
        <f t="shared" si="112"/>
        <v>87041.880753508187</v>
      </c>
      <c r="DP78" s="110">
        <f t="shared" si="146"/>
        <v>133644.3344668372</v>
      </c>
      <c r="DQ78" s="108">
        <f>DQ77</f>
        <v>2459.424</v>
      </c>
      <c r="DR78" s="17">
        <f t="shared" si="113"/>
        <v>130219.58234261328</v>
      </c>
      <c r="DS78" s="17">
        <f t="shared" si="114"/>
        <v>965.32812422390589</v>
      </c>
      <c r="DT78" s="110">
        <f t="shared" si="147"/>
        <v>6791.7362044191595</v>
      </c>
      <c r="DU78" s="108">
        <f>(11379.03/(G77+G78)*G78)*1.2</f>
        <v>6791.7362044191595</v>
      </c>
      <c r="DV78" s="17">
        <f t="shared" si="115"/>
        <v>0</v>
      </c>
      <c r="DW78" s="17">
        <f t="shared" si="116"/>
        <v>0</v>
      </c>
      <c r="DX78" s="110">
        <f t="shared" si="117"/>
        <v>1399333.1142651173</v>
      </c>
      <c r="DY78" s="110">
        <f>EC78*EG78</f>
        <v>117071.58652532418</v>
      </c>
      <c r="DZ78" s="110">
        <f t="shared" si="148"/>
        <v>1516404.7007904416</v>
      </c>
      <c r="EA78" s="257"/>
      <c r="EB78" s="110">
        <f t="shared" si="118"/>
        <v>886.55421686746979</v>
      </c>
      <c r="EC78" s="110">
        <f>SUMIF(еирц!$B:$B,$B:$B,еирц!$K:$K)</f>
        <v>1463394.8315665522</v>
      </c>
      <c r="ED78" s="110">
        <f>SUMIF(еирц!$B:$B,$B:$B,еирц!$P:$P)</f>
        <v>1460896.5816409767</v>
      </c>
      <c r="EE78" s="110">
        <f>SUMIF(еирц!$B:$B,$B:$B,еирц!$S:$S)</f>
        <v>147622.58411947606</v>
      </c>
      <c r="EF78" s="177">
        <f t="shared" si="149"/>
        <v>64948.271518302383</v>
      </c>
      <c r="EG78" s="182">
        <v>0.08</v>
      </c>
      <c r="EH78" s="177">
        <f t="shared" si="150"/>
        <v>-52123.315007021884</v>
      </c>
    </row>
    <row r="79" spans="1:138" ht="12" customHeight="1" x14ac:dyDescent="0.25">
      <c r="A79" s="5">
        <f t="shared" si="151"/>
        <v>75</v>
      </c>
      <c r="B79" s="6" t="s">
        <v>158</v>
      </c>
      <c r="C79" s="7">
        <f t="shared" si="84"/>
        <v>6944.01</v>
      </c>
      <c r="D79" s="8">
        <v>6944.01</v>
      </c>
      <c r="E79" s="8">
        <v>0</v>
      </c>
      <c r="F79" s="8">
        <v>706.4</v>
      </c>
      <c r="G79" s="87">
        <f t="shared" si="85"/>
        <v>6944.01</v>
      </c>
      <c r="H79" s="87">
        <f t="shared" si="86"/>
        <v>6944.01</v>
      </c>
      <c r="I79" s="91">
        <v>0</v>
      </c>
      <c r="J79" s="112">
        <v>0</v>
      </c>
      <c r="K79" s="17">
        <v>0</v>
      </c>
      <c r="L79" s="112">
        <f t="shared" si="119"/>
        <v>0</v>
      </c>
      <c r="M79" s="116">
        <v>3.4064174471701647</v>
      </c>
      <c r="N79" s="120">
        <f t="shared" si="120"/>
        <v>6944.01</v>
      </c>
      <c r="O79" s="116">
        <v>3.0862296538511402</v>
      </c>
      <c r="P79" s="120">
        <f t="shared" si="121"/>
        <v>6944.01</v>
      </c>
      <c r="Q79" s="116">
        <v>0</v>
      </c>
      <c r="R79" s="120">
        <f t="shared" si="122"/>
        <v>0</v>
      </c>
      <c r="S79" s="5" t="s">
        <v>143</v>
      </c>
      <c r="T79" s="87">
        <v>28.44</v>
      </c>
      <c r="U79" s="88">
        <v>4.68</v>
      </c>
      <c r="V79" s="88">
        <v>6.05</v>
      </c>
      <c r="W79" s="88">
        <v>8.24</v>
      </c>
      <c r="X79" s="88">
        <v>6.34</v>
      </c>
      <c r="Y79" s="88">
        <v>2.89</v>
      </c>
      <c r="Z79" s="88">
        <v>0</v>
      </c>
      <c r="AA79" s="88">
        <v>0</v>
      </c>
      <c r="AB79" s="88">
        <v>0.24</v>
      </c>
      <c r="AC79" s="257"/>
      <c r="AD79" s="110">
        <f t="shared" si="123"/>
        <v>647824.79198001593</v>
      </c>
      <c r="AE79" s="110">
        <f t="shared" si="124"/>
        <v>214709.04783102171</v>
      </c>
      <c r="AF79" s="16">
        <f>SUMIF('20.01'!$I:$I,$B:$B,'20.01'!$D:$D)*1.2</f>
        <v>95244.851999999999</v>
      </c>
      <c r="AG79" s="17">
        <f t="shared" si="83"/>
        <v>18524.038192905507</v>
      </c>
      <c r="AH79" s="17">
        <f t="shared" si="125"/>
        <v>5302.4390696956443</v>
      </c>
      <c r="AI79" s="16">
        <f>SUMIF('20.01'!$J:$J,$B:$B,'20.01'!$D:$D)*1.2</f>
        <v>0</v>
      </c>
      <c r="AJ79" s="17">
        <f t="shared" si="126"/>
        <v>2154.79202784784</v>
      </c>
      <c r="AK79" s="17">
        <f t="shared" si="127"/>
        <v>5242.1303065595566</v>
      </c>
      <c r="AL79" s="17">
        <f t="shared" si="128"/>
        <v>88240.796234013178</v>
      </c>
      <c r="AM79" s="110">
        <f t="shared" si="129"/>
        <v>0</v>
      </c>
      <c r="AN79" s="17">
        <f>SUMIF('20.01'!$K:$K,$B:$B,'20.01'!$D:$D)*1.2</f>
        <v>0</v>
      </c>
      <c r="AO79" s="17">
        <f>SUMIF('20.01'!$L:$L,$B:$B,'20.01'!$D:$D)*1.2</f>
        <v>0</v>
      </c>
      <c r="AP79" s="17">
        <f>SUMIF('20.01'!$M:$M,$B:$B,'20.01'!$D:$D)*1.2</f>
        <v>0</v>
      </c>
      <c r="AQ79" s="110">
        <f t="shared" si="130"/>
        <v>1950.6561489942353</v>
      </c>
      <c r="AR79" s="17">
        <f t="shared" si="131"/>
        <v>1950.6561489942353</v>
      </c>
      <c r="AS79" s="17">
        <f>(SUMIF('20.01'!$N:$N,$B:$B,'20.01'!$D:$D)+SUMIF('20.01'!$O:$O,$B:$B,'20.01'!$D:$D))*1.2</f>
        <v>0</v>
      </c>
      <c r="AT79" s="110">
        <f>SUMIF('20.01'!$P:$P,$B:$B,'20.01'!$D:$D)*1.2</f>
        <v>0</v>
      </c>
      <c r="AU79" s="110">
        <f t="shared" si="132"/>
        <v>0</v>
      </c>
      <c r="AV79" s="17">
        <f>SUMIF('20.01'!$Q:$Q,$B:$B,'20.01'!$D:$D)*1.2</f>
        <v>0</v>
      </c>
      <c r="AW79" s="17">
        <f>SUMIF('20.01'!$R:$R,$B:$B,'20.01'!$D:$D)*1.2</f>
        <v>0</v>
      </c>
      <c r="AX79" s="110">
        <f t="shared" si="133"/>
        <v>61452.743999999999</v>
      </c>
      <c r="AY79" s="17">
        <f>SUMIF('20.01'!$S:$S,$B:$B,'20.01'!$D:$D)*1.2</f>
        <v>0</v>
      </c>
      <c r="AZ79" s="17">
        <f>SUMIF('20.01'!$T:$T,$B:$B,'20.01'!$D:$D)*1.2</f>
        <v>61452.743999999999</v>
      </c>
      <c r="BA79" s="110">
        <f t="shared" si="134"/>
        <v>0</v>
      </c>
      <c r="BB79" s="17">
        <f>SUMIF('20.01'!$U:$U,$B:$B,'20.01'!$D:$D)*1.2</f>
        <v>0</v>
      </c>
      <c r="BC79" s="17">
        <f>SUMIF('20.01'!$V:$V,$B:$B,'20.01'!$D:$D)*1.2</f>
        <v>0</v>
      </c>
      <c r="BD79" s="17">
        <f>SUMIF('20.01'!$W:$W,$B:$B,'20.01'!$D:$D)*1.2</f>
        <v>0</v>
      </c>
      <c r="BE79" s="110">
        <f>SUMIF('20.01'!$X:$X,$B:$B,'20.01'!$D:$D)*1.2</f>
        <v>0</v>
      </c>
      <c r="BF79" s="110">
        <f t="shared" si="135"/>
        <v>0</v>
      </c>
      <c r="BG79" s="17">
        <f>SUMIF('20.01'!$Y:$Y,$B:$B,'20.01'!$D:$D)*1.2</f>
        <v>0</v>
      </c>
      <c r="BH79" s="17">
        <f>SUMIF('20.01'!$Z:$Z,$B:$B,'20.01'!$D:$D)*1.2</f>
        <v>0</v>
      </c>
      <c r="BI79" s="17">
        <f>SUMIF('20.01'!$AA:$AA,$B:$B,'20.01'!$D:$D)*1.2</f>
        <v>0</v>
      </c>
      <c r="BJ79" s="17">
        <f>SUMIF('20.01'!$AB:$AB,$B:$B,'20.01'!$D:$D)*1.2</f>
        <v>0</v>
      </c>
      <c r="BK79" s="17">
        <f>SUMIF('20.01'!$AC:$AC,$B:$B,'20.01'!$D:$D)*1.2</f>
        <v>0</v>
      </c>
      <c r="BL79" s="17">
        <f>SUMIF('20.01'!$AD:$AD,$B:$B,'20.01'!$D:$D)*1.2</f>
        <v>0</v>
      </c>
      <c r="BM79" s="110">
        <f t="shared" si="136"/>
        <v>0</v>
      </c>
      <c r="BN79" s="17">
        <f>SUMIF('20.01'!$AE:$AE,$B:$B,'20.01'!$D:$D)*1.2</f>
        <v>0</v>
      </c>
      <c r="BO79" s="17">
        <f>SUMIF('20.01'!$AF:$AF,$B:$B,'20.01'!$D:$D)*1.2</f>
        <v>0</v>
      </c>
      <c r="BP79" s="110">
        <f>SUMIF('20.01'!$AG:$AG,$B:$B,'20.01'!$D:$D)*1.2</f>
        <v>0</v>
      </c>
      <c r="BQ79" s="110">
        <f>SUMIF('20.01'!$AH:$AH,$B:$B,'20.01'!$D:$D)*1.2</f>
        <v>0</v>
      </c>
      <c r="BR79" s="110">
        <f>SUMIF('20.01'!$AI:$AI,$B:$B,'20.01'!$D:$D)*1.2</f>
        <v>0</v>
      </c>
      <c r="BS79" s="110">
        <f t="shared" si="137"/>
        <v>0</v>
      </c>
      <c r="BT79" s="17">
        <f>SUMIF('20.01'!$AJ:$AJ,$B:$B,'20.01'!$D:$D)*1.2</f>
        <v>0</v>
      </c>
      <c r="BU79" s="17">
        <f>SUMIF('20.01'!$AK:$AK,$B:$B,'20.01'!$D:$D)*1.2</f>
        <v>0</v>
      </c>
      <c r="BV79" s="110">
        <f>SUMIF('20.01'!$AL:$AL,$B:$B,'20.01'!$D:$D)*1.2</f>
        <v>369712.34399999998</v>
      </c>
      <c r="BW79" s="110">
        <f>SUMIF('20.01'!$AM:$AM,$B:$B,'20.01'!$D:$D)*1.2</f>
        <v>0</v>
      </c>
      <c r="BX79" s="110">
        <f>SUMIF('20.01'!$AN:$AN,$B:$B,'20.01'!$D:$D)*1.2</f>
        <v>0</v>
      </c>
      <c r="BY79" s="110">
        <f t="shared" si="87"/>
        <v>780364.43475271924</v>
      </c>
      <c r="BZ79" s="17">
        <f t="shared" si="82"/>
        <v>425558.20842512819</v>
      </c>
      <c r="CA79" s="17">
        <f t="shared" si="88"/>
        <v>43068.70001478694</v>
      </c>
      <c r="CB79" s="17">
        <f t="shared" si="89"/>
        <v>2862.9865955570322</v>
      </c>
      <c r="CC79" s="17">
        <f>SUMIF('20.01'!$AO:$AO,$B:$B,'20.01'!$D:$D)*1.2</f>
        <v>0</v>
      </c>
      <c r="CD79" s="17">
        <f t="shared" si="90"/>
        <v>44945.981755190354</v>
      </c>
      <c r="CE79" s="17">
        <f>SUMIF('20.01'!$AQ:$AQ,$B:$B,'20.01'!$D:$D)*1.2</f>
        <v>0</v>
      </c>
      <c r="CF79" s="17">
        <f t="shared" si="91"/>
        <v>4089.3738351278289</v>
      </c>
      <c r="CG79" s="17">
        <f>SUMIF('20.01'!$AR:$AR,$B:$B,'20.01'!$D:$D)*1.2</f>
        <v>255046.65599999999</v>
      </c>
      <c r="CH79" s="17">
        <f t="shared" si="92"/>
        <v>2408.3444589726782</v>
      </c>
      <c r="CI79" s="17">
        <f>SUMIF('20.01'!$AT:$AT,$B:$B,'20.01'!$D:$D)*1.2</f>
        <v>0</v>
      </c>
      <c r="CJ79" s="17">
        <f>SUMIF('20.01'!$AU:$AU,$B:$B,'20.01'!$D:$D)*1.2</f>
        <v>0</v>
      </c>
      <c r="CK79" s="17">
        <f>SUMIF('20.01'!$AV:$AV,$B:$B,'20.01'!$D:$D)*1.2</f>
        <v>0</v>
      </c>
      <c r="CL79" s="17">
        <f t="shared" si="93"/>
        <v>2384.1836679562653</v>
      </c>
      <c r="CM79" s="17">
        <f>SUMIF('20.01'!$AW:$AW,$B:$B,'20.01'!$D:$D)*1.2</f>
        <v>0</v>
      </c>
      <c r="CN79" s="17">
        <f>SUMIF('20.01'!$AX:$AX,$B:$B,'20.01'!$D:$D)*1.2</f>
        <v>0</v>
      </c>
      <c r="CO79" s="110">
        <f t="shared" si="138"/>
        <v>799801.64073372283</v>
      </c>
      <c r="CP79" s="17">
        <f t="shared" si="139"/>
        <v>630916.62817401136</v>
      </c>
      <c r="CQ79" s="17">
        <f t="shared" si="94"/>
        <v>194646.46097791308</v>
      </c>
      <c r="CR79" s="17">
        <f t="shared" si="95"/>
        <v>436270.16719609825</v>
      </c>
      <c r="CS79" s="17">
        <f t="shared" si="140"/>
        <v>168885.01255971144</v>
      </c>
      <c r="CT79" s="17">
        <f t="shared" si="96"/>
        <v>6152.6291578429909</v>
      </c>
      <c r="CU79" s="17">
        <f t="shared" si="97"/>
        <v>5951.0290191264021</v>
      </c>
      <c r="CV79" s="17">
        <f t="shared" si="98"/>
        <v>6150.5185572574692</v>
      </c>
      <c r="CW79" s="17">
        <f t="shared" si="99"/>
        <v>64.494959068664414</v>
      </c>
      <c r="CX79" s="17">
        <f t="shared" si="100"/>
        <v>90815.386471131918</v>
      </c>
      <c r="CY79" s="17">
        <f t="shared" si="101"/>
        <v>59750.954395283996</v>
      </c>
      <c r="CZ79" s="110">
        <f t="shared" si="141"/>
        <v>198531.70536643307</v>
      </c>
      <c r="DA79" s="17">
        <f t="shared" si="142"/>
        <v>7499.4138451935378</v>
      </c>
      <c r="DB79" s="17">
        <f t="shared" si="102"/>
        <v>7116.6686409731337</v>
      </c>
      <c r="DC79" s="17">
        <f t="shared" si="103"/>
        <v>382.74520422040382</v>
      </c>
      <c r="DD79" s="17">
        <f t="shared" si="104"/>
        <v>13214.827441657024</v>
      </c>
      <c r="DE79" s="17">
        <f t="shared" si="105"/>
        <v>4559.4636744726304</v>
      </c>
      <c r="DF79" s="17">
        <f t="shared" si="106"/>
        <v>5533.5443717173821</v>
      </c>
      <c r="DG79" s="17">
        <f t="shared" si="143"/>
        <v>167724.45603339249</v>
      </c>
      <c r="DH79" s="110">
        <f t="shared" si="144"/>
        <v>123899.29289502202</v>
      </c>
      <c r="DI79" s="17">
        <f t="shared" si="107"/>
        <v>111142.71738223618</v>
      </c>
      <c r="DJ79" s="17">
        <f t="shared" si="108"/>
        <v>12291.731462260161</v>
      </c>
      <c r="DK79" s="17">
        <f t="shared" si="109"/>
        <v>464.84405052568036</v>
      </c>
      <c r="DL79" s="110">
        <f t="shared" si="145"/>
        <v>736585.82120936469</v>
      </c>
      <c r="DM79" s="17">
        <f t="shared" si="110"/>
        <v>390390.48524096329</v>
      </c>
      <c r="DN79" s="17">
        <f t="shared" si="111"/>
        <v>346195.3359684014</v>
      </c>
      <c r="DO79" s="17">
        <f t="shared" si="112"/>
        <v>0</v>
      </c>
      <c r="DP79" s="110">
        <f t="shared" si="146"/>
        <v>0</v>
      </c>
      <c r="DQ79" s="17">
        <f>SUMIF('20.01'!$BB:$BB,$B:$B,'20.01'!$D:$D)*1.2</f>
        <v>0</v>
      </c>
      <c r="DR79" s="17">
        <f t="shared" si="113"/>
        <v>0</v>
      </c>
      <c r="DS79" s="17">
        <f t="shared" si="114"/>
        <v>0</v>
      </c>
      <c r="DT79" s="110">
        <f t="shared" si="147"/>
        <v>15172.044</v>
      </c>
      <c r="DU79" s="17">
        <f>SUMIF('20.01'!$BD:$BD,$B:$B,'20.01'!$D:$D)*1.2</f>
        <v>15172.044</v>
      </c>
      <c r="DV79" s="17">
        <f t="shared" si="115"/>
        <v>0</v>
      </c>
      <c r="DW79" s="17">
        <f t="shared" si="116"/>
        <v>0</v>
      </c>
      <c r="DX79" s="110">
        <f t="shared" si="117"/>
        <v>3302179.7309372779</v>
      </c>
      <c r="DY79" s="110"/>
      <c r="DZ79" s="110">
        <f t="shared" si="148"/>
        <v>3302179.7309372779</v>
      </c>
      <c r="EA79" s="257"/>
      <c r="EB79" s="110">
        <f t="shared" si="118"/>
        <v>0</v>
      </c>
      <c r="EC79" s="110">
        <f>SUMIF(еирц!$B:$B,$B:$B,еирц!$K:$K)</f>
        <v>2324447.19</v>
      </c>
      <c r="ED79" s="110">
        <f>SUMIF(еирц!$B:$B,$B:$B,еирц!$P:$P)</f>
        <v>2346395.4699999997</v>
      </c>
      <c r="EE79" s="110">
        <f>SUMIF(еирц!$B:$B,$B:$B,еирц!$S:$S)</f>
        <v>737566.65</v>
      </c>
      <c r="EF79" s="177">
        <f t="shared" si="149"/>
        <v>-977732.54093727795</v>
      </c>
      <c r="EG79" s="181">
        <f t="shared" si="152"/>
        <v>0</v>
      </c>
      <c r="EH79" s="177">
        <f t="shared" si="150"/>
        <v>-977732.54093727795</v>
      </c>
    </row>
    <row r="80" spans="1:138" ht="12" customHeight="1" x14ac:dyDescent="0.25">
      <c r="A80" s="5">
        <f t="shared" si="151"/>
        <v>76</v>
      </c>
      <c r="B80" s="6" t="s">
        <v>159</v>
      </c>
      <c r="C80" s="7">
        <f t="shared" si="84"/>
        <v>6622.8</v>
      </c>
      <c r="D80" s="8">
        <v>5469.6</v>
      </c>
      <c r="E80" s="8">
        <v>1153.2</v>
      </c>
      <c r="F80" s="8">
        <v>1385.2</v>
      </c>
      <c r="G80" s="91">
        <f t="shared" si="85"/>
        <v>6622.8</v>
      </c>
      <c r="H80" s="87">
        <f t="shared" si="86"/>
        <v>0</v>
      </c>
      <c r="I80" s="91">
        <v>2</v>
      </c>
      <c r="J80" s="112">
        <v>1.0399397987361857E-2</v>
      </c>
      <c r="K80" s="17">
        <v>0</v>
      </c>
      <c r="L80" s="112">
        <f t="shared" si="119"/>
        <v>0</v>
      </c>
      <c r="M80" s="116">
        <v>3.406417859456202</v>
      </c>
      <c r="N80" s="120">
        <f t="shared" si="120"/>
        <v>6622.8</v>
      </c>
      <c r="O80" s="116">
        <v>3.0862326489417793</v>
      </c>
      <c r="P80" s="120">
        <f t="shared" si="121"/>
        <v>6622.8</v>
      </c>
      <c r="Q80" s="116">
        <v>1.6009277035474885</v>
      </c>
      <c r="R80" s="120">
        <f t="shared" si="122"/>
        <v>6622.8</v>
      </c>
      <c r="S80" s="5" t="s">
        <v>143</v>
      </c>
      <c r="T80" s="87">
        <v>36.54</v>
      </c>
      <c r="U80" s="88">
        <v>4.03</v>
      </c>
      <c r="V80" s="88">
        <v>7</v>
      </c>
      <c r="W80" s="88">
        <v>11</v>
      </c>
      <c r="X80" s="88">
        <v>5.4</v>
      </c>
      <c r="Y80" s="88">
        <v>2.67</v>
      </c>
      <c r="Z80" s="88">
        <v>1.54</v>
      </c>
      <c r="AA80" s="88">
        <v>4.9000000000000004</v>
      </c>
      <c r="AB80" s="88">
        <v>0</v>
      </c>
      <c r="AC80" s="257"/>
      <c r="AD80" s="110">
        <f t="shared" si="123"/>
        <v>1572968.7849210484</v>
      </c>
      <c r="AE80" s="110">
        <f t="shared" si="124"/>
        <v>313763.74453462631</v>
      </c>
      <c r="AF80" s="16">
        <f>SUMIF('20.01'!$I:$I,$B:$B,'20.01'!$D:$D)*1.2</f>
        <v>199825.62</v>
      </c>
      <c r="AG80" s="17">
        <f t="shared" si="83"/>
        <v>17667.169278842426</v>
      </c>
      <c r="AH80" s="17">
        <f t="shared" si="125"/>
        <v>5057.1634359369173</v>
      </c>
      <c r="AI80" s="16">
        <f>SUMIF('20.01'!$J:$J,$B:$B,'20.01'!$D:$D)*1.2</f>
        <v>0</v>
      </c>
      <c r="AJ80" s="17">
        <f t="shared" si="126"/>
        <v>2055.1175246047565</v>
      </c>
      <c r="AK80" s="17">
        <f t="shared" si="127"/>
        <v>4999.6443833293206</v>
      </c>
      <c r="AL80" s="17">
        <f t="shared" si="128"/>
        <v>84159.029911912919</v>
      </c>
      <c r="AM80" s="110">
        <f t="shared" si="129"/>
        <v>0</v>
      </c>
      <c r="AN80" s="17">
        <f>SUMIF('20.01'!$K:$K,$B:$B,'20.01'!$D:$D)*1.2</f>
        <v>0</v>
      </c>
      <c r="AO80" s="17">
        <f>SUMIF('20.01'!$L:$L,$B:$B,'20.01'!$D:$D)*1.2</f>
        <v>0</v>
      </c>
      <c r="AP80" s="17">
        <f>SUMIF('20.01'!$M:$M,$B:$B,'20.01'!$D:$D)*1.2</f>
        <v>0</v>
      </c>
      <c r="AQ80" s="110">
        <f t="shared" si="130"/>
        <v>1860.4243864221137</v>
      </c>
      <c r="AR80" s="17">
        <f t="shared" si="131"/>
        <v>1860.4243864221137</v>
      </c>
      <c r="AS80" s="17">
        <f>(SUMIF('20.01'!$N:$N,$B:$B,'20.01'!$D:$D)+SUMIF('20.01'!$O:$O,$B:$B,'20.01'!$D:$D))*1.2</f>
        <v>0</v>
      </c>
      <c r="AT80" s="110">
        <f>SUMIF('20.01'!$P:$P,$B:$B,'20.01'!$D:$D)*1.2</f>
        <v>0</v>
      </c>
      <c r="AU80" s="110">
        <f t="shared" si="132"/>
        <v>0</v>
      </c>
      <c r="AV80" s="17">
        <f>SUMIF('20.01'!$Q:$Q,$B:$B,'20.01'!$D:$D)*1.2</f>
        <v>0</v>
      </c>
      <c r="AW80" s="17">
        <f>SUMIF('20.01'!$R:$R,$B:$B,'20.01'!$D:$D)*1.2</f>
        <v>0</v>
      </c>
      <c r="AX80" s="110">
        <f t="shared" si="133"/>
        <v>0</v>
      </c>
      <c r="AY80" s="17">
        <f>SUMIF('20.01'!$S:$S,$B:$B,'20.01'!$D:$D)*1.2</f>
        <v>0</v>
      </c>
      <c r="AZ80" s="17">
        <f>SUMIF('20.01'!$T:$T,$B:$B,'20.01'!$D:$D)*1.2</f>
        <v>0</v>
      </c>
      <c r="BA80" s="110">
        <f t="shared" si="134"/>
        <v>0</v>
      </c>
      <c r="BB80" s="17">
        <f>SUMIF('20.01'!$U:$U,$B:$B,'20.01'!$D:$D)*1.2</f>
        <v>0</v>
      </c>
      <c r="BC80" s="17">
        <f>SUMIF('20.01'!$V:$V,$B:$B,'20.01'!$D:$D)*1.2</f>
        <v>0</v>
      </c>
      <c r="BD80" s="17">
        <f>SUMIF('20.01'!$W:$W,$B:$B,'20.01'!$D:$D)*1.2</f>
        <v>0</v>
      </c>
      <c r="BE80" s="110">
        <f>SUMIF('20.01'!$X:$X,$B:$B,'20.01'!$D:$D)*1.2</f>
        <v>0</v>
      </c>
      <c r="BF80" s="110">
        <f t="shared" si="135"/>
        <v>174873.33599999998</v>
      </c>
      <c r="BG80" s="17">
        <f>SUMIF('20.01'!$Y:$Y,$B:$B,'20.01'!$D:$D)*1.2</f>
        <v>174873.33599999998</v>
      </c>
      <c r="BH80" s="17">
        <f>SUMIF('20.01'!$Z:$Z,$B:$B,'20.01'!$D:$D)*1.2</f>
        <v>0</v>
      </c>
      <c r="BI80" s="17">
        <f>SUMIF('20.01'!$AA:$AA,$B:$B,'20.01'!$D:$D)*1.2</f>
        <v>0</v>
      </c>
      <c r="BJ80" s="17">
        <f>SUMIF('20.01'!$AB:$AB,$B:$B,'20.01'!$D:$D)*1.2</f>
        <v>0</v>
      </c>
      <c r="BK80" s="17">
        <f>SUMIF('20.01'!$AC:$AC,$B:$B,'20.01'!$D:$D)*1.2</f>
        <v>0</v>
      </c>
      <c r="BL80" s="17">
        <f>SUMIF('20.01'!$AD:$AD,$B:$B,'20.01'!$D:$D)*1.2</f>
        <v>0</v>
      </c>
      <c r="BM80" s="110">
        <f t="shared" si="136"/>
        <v>0</v>
      </c>
      <c r="BN80" s="17">
        <f>SUMIF('20.01'!$AE:$AE,$B:$B,'20.01'!$D:$D)*1.2</f>
        <v>0</v>
      </c>
      <c r="BO80" s="17">
        <f>SUMIF('20.01'!$AF:$AF,$B:$B,'20.01'!$D:$D)*1.2</f>
        <v>0</v>
      </c>
      <c r="BP80" s="110">
        <f>SUMIF('20.01'!$AG:$AG,$B:$B,'20.01'!$D:$D)*1.2</f>
        <v>0</v>
      </c>
      <c r="BQ80" s="110">
        <f>SUMIF('20.01'!$AH:$AH,$B:$B,'20.01'!$D:$D)*1.2</f>
        <v>1082471.28</v>
      </c>
      <c r="BR80" s="110">
        <f>SUMIF('20.01'!$AI:$AI,$B:$B,'20.01'!$D:$D)*1.2</f>
        <v>0</v>
      </c>
      <c r="BS80" s="110">
        <f t="shared" si="137"/>
        <v>0</v>
      </c>
      <c r="BT80" s="17">
        <f>SUMIF('20.01'!$AJ:$AJ,$B:$B,'20.01'!$D:$D)*1.2</f>
        <v>0</v>
      </c>
      <c r="BU80" s="17">
        <f>SUMIF('20.01'!$AK:$AK,$B:$B,'20.01'!$D:$D)*1.2</f>
        <v>0</v>
      </c>
      <c r="BV80" s="110">
        <f>SUMIF('20.01'!$AL:$AL,$B:$B,'20.01'!$D:$D)*1.2</f>
        <v>0</v>
      </c>
      <c r="BW80" s="110">
        <f>SUMIF('20.01'!$AM:$AM,$B:$B,'20.01'!$D:$D)*1.2</f>
        <v>0</v>
      </c>
      <c r="BX80" s="110">
        <f>SUMIF('20.01'!$AN:$AN,$B:$B,'20.01'!$D:$D)*1.2</f>
        <v>0</v>
      </c>
      <c r="BY80" s="110">
        <f t="shared" si="87"/>
        <v>568818.08394911711</v>
      </c>
      <c r="BZ80" s="17">
        <f t="shared" si="82"/>
        <v>405873.10541861819</v>
      </c>
      <c r="CA80" s="17">
        <f t="shared" si="88"/>
        <v>41076.46539361708</v>
      </c>
      <c r="CB80" s="17">
        <f t="shared" si="89"/>
        <v>2730.5530414062068</v>
      </c>
      <c r="CC80" s="17">
        <f>SUMIF('20.01'!$AO:$AO,$B:$B,'20.01'!$D:$D)*1.2</f>
        <v>0</v>
      </c>
      <c r="CD80" s="17">
        <f t="shared" si="90"/>
        <v>42866.909461287454</v>
      </c>
      <c r="CE80" s="17">
        <f>SUMIF('20.01'!$AQ:$AQ,$B:$B,'20.01'!$D:$D)*1.2</f>
        <v>0</v>
      </c>
      <c r="CF80" s="17">
        <f t="shared" si="91"/>
        <v>3900.2111222887906</v>
      </c>
      <c r="CG80" s="17">
        <f>SUMIF('20.01'!$AR:$AR,$B:$B,'20.01'!$D:$D)*1.2</f>
        <v>0</v>
      </c>
      <c r="CH80" s="17">
        <f t="shared" si="92"/>
        <v>2296.9413469860001</v>
      </c>
      <c r="CI80" s="17">
        <f>SUMIF('20.01'!$AT:$AT,$B:$B,'20.01'!$D:$D)*1.2</f>
        <v>0</v>
      </c>
      <c r="CJ80" s="17">
        <f>SUMIF('20.01'!$AU:$AU,$B:$B,'20.01'!$D:$D)*1.2</f>
        <v>65400</v>
      </c>
      <c r="CK80" s="17">
        <f>SUMIF('20.01'!$AV:$AV,$B:$B,'20.01'!$D:$D)*1.2</f>
        <v>0</v>
      </c>
      <c r="CL80" s="17">
        <f t="shared" si="93"/>
        <v>2273.8981649134653</v>
      </c>
      <c r="CM80" s="17">
        <f>SUMIF('20.01'!$AW:$AW,$B:$B,'20.01'!$D:$D)*1.2</f>
        <v>2400</v>
      </c>
      <c r="CN80" s="17">
        <f>SUMIF('20.01'!$AX:$AX,$B:$B,'20.01'!$D:$D)*1.2</f>
        <v>0</v>
      </c>
      <c r="CO80" s="110">
        <f t="shared" si="138"/>
        <v>762805.1091878179</v>
      </c>
      <c r="CP80" s="17">
        <f t="shared" si="139"/>
        <v>601732.23325871397</v>
      </c>
      <c r="CQ80" s="17">
        <f t="shared" si="94"/>
        <v>185642.67357975044</v>
      </c>
      <c r="CR80" s="17">
        <f t="shared" si="95"/>
        <v>416089.55967896356</v>
      </c>
      <c r="CS80" s="17">
        <f t="shared" si="140"/>
        <v>161072.87592910393</v>
      </c>
      <c r="CT80" s="17">
        <f t="shared" si="96"/>
        <v>5868.0261673820396</v>
      </c>
      <c r="CU80" s="17">
        <f t="shared" si="97"/>
        <v>5675.7514732654954</v>
      </c>
      <c r="CV80" s="17">
        <f t="shared" si="98"/>
        <v>5866.0131971302981</v>
      </c>
      <c r="CW80" s="17">
        <f t="shared" si="99"/>
        <v>61.511607114613987</v>
      </c>
      <c r="CX80" s="17">
        <f t="shared" si="100"/>
        <v>86614.526983833901</v>
      </c>
      <c r="CY80" s="17">
        <f t="shared" si="101"/>
        <v>56987.046500377575</v>
      </c>
      <c r="CZ80" s="110">
        <f t="shared" si="141"/>
        <v>189348.19769856508</v>
      </c>
      <c r="DA80" s="17">
        <f t="shared" si="142"/>
        <v>7152.5124551876734</v>
      </c>
      <c r="DB80" s="17">
        <f t="shared" si="102"/>
        <v>6787.4719471079197</v>
      </c>
      <c r="DC80" s="17">
        <f t="shared" si="103"/>
        <v>365.04050807975369</v>
      </c>
      <c r="DD80" s="17">
        <f t="shared" si="104"/>
        <v>12603.547399932624</v>
      </c>
      <c r="DE80" s="17">
        <f t="shared" si="105"/>
        <v>4348.5559530152368</v>
      </c>
      <c r="DF80" s="17">
        <f t="shared" si="106"/>
        <v>5277.5784690704477</v>
      </c>
      <c r="DG80" s="17">
        <f t="shared" si="143"/>
        <v>159966.00342135911</v>
      </c>
      <c r="DH80" s="110">
        <f t="shared" si="144"/>
        <v>118168.06672011588</v>
      </c>
      <c r="DI80" s="17">
        <f t="shared" si="107"/>
        <v>106001.57382824532</v>
      </c>
      <c r="DJ80" s="17">
        <f t="shared" si="108"/>
        <v>11723.151194807695</v>
      </c>
      <c r="DK80" s="17">
        <f t="shared" si="109"/>
        <v>443.34169706286076</v>
      </c>
      <c r="DL80" s="110">
        <f t="shared" si="145"/>
        <v>894194.31549327378</v>
      </c>
      <c r="DM80" s="17">
        <f t="shared" si="110"/>
        <v>372332.14031285257</v>
      </c>
      <c r="DN80" s="17">
        <f t="shared" si="111"/>
        <v>330181.33197554853</v>
      </c>
      <c r="DO80" s="17">
        <f t="shared" si="112"/>
        <v>191680.84320487265</v>
      </c>
      <c r="DP80" s="110">
        <f t="shared" si="146"/>
        <v>294590.58115860831</v>
      </c>
      <c r="DQ80" s="17">
        <f>SUMIF('20.01'!$BB:$BB,$B:$B,'20.01'!$D:$D)*1.2</f>
        <v>7379.808</v>
      </c>
      <c r="DR80" s="17">
        <f t="shared" si="113"/>
        <v>285097.3240132496</v>
      </c>
      <c r="DS80" s="17">
        <f t="shared" si="114"/>
        <v>2113.4491453587189</v>
      </c>
      <c r="DT80" s="110">
        <f t="shared" si="147"/>
        <v>0</v>
      </c>
      <c r="DU80" s="17">
        <f>SUMIF('20.01'!$BD:$BD,$B:$B,'20.01'!$D:$D)*1.2</f>
        <v>0</v>
      </c>
      <c r="DV80" s="17">
        <f t="shared" si="115"/>
        <v>0</v>
      </c>
      <c r="DW80" s="17">
        <f t="shared" si="116"/>
        <v>0</v>
      </c>
      <c r="DX80" s="110">
        <f t="shared" si="117"/>
        <v>4400893.1391285462</v>
      </c>
      <c r="DY80" s="110"/>
      <c r="DZ80" s="110">
        <f t="shared" si="148"/>
        <v>4400893.1391285462</v>
      </c>
      <c r="EA80" s="257"/>
      <c r="EB80" s="110">
        <f t="shared" si="118"/>
        <v>0</v>
      </c>
      <c r="EC80" s="110">
        <f>SUMIF(еирц!$B:$B,$B:$B,еирц!$K:$K)</f>
        <v>2344526.96</v>
      </c>
      <c r="ED80" s="110">
        <f>SUMIF(еирц!$B:$B,$B:$B,еирц!$P:$P)</f>
        <v>2318826.25</v>
      </c>
      <c r="EE80" s="110">
        <f>SUMIF(еирц!$B:$B,$B:$B,еирц!$S:$S)</f>
        <v>492290.5</v>
      </c>
      <c r="EF80" s="177">
        <f t="shared" si="149"/>
        <v>-2056366.1791285463</v>
      </c>
      <c r="EG80" s="181">
        <f t="shared" si="152"/>
        <v>0</v>
      </c>
      <c r="EH80" s="177">
        <f t="shared" si="150"/>
        <v>-2056366.1791285463</v>
      </c>
    </row>
    <row r="81" spans="1:138" ht="12" customHeight="1" x14ac:dyDescent="0.25">
      <c r="A81" s="5">
        <f t="shared" si="151"/>
        <v>77</v>
      </c>
      <c r="B81" s="6" t="s">
        <v>161</v>
      </c>
      <c r="C81" s="7">
        <f t="shared" si="84"/>
        <v>3447.6</v>
      </c>
      <c r="D81" s="8">
        <v>2670.2</v>
      </c>
      <c r="E81" s="8">
        <v>777.4</v>
      </c>
      <c r="F81" s="8">
        <v>329.4</v>
      </c>
      <c r="G81" s="87">
        <f t="shared" si="85"/>
        <v>3447.6</v>
      </c>
      <c r="H81" s="87">
        <f t="shared" si="86"/>
        <v>3447.6</v>
      </c>
      <c r="I81" s="91">
        <v>0</v>
      </c>
      <c r="J81" s="112">
        <v>0</v>
      </c>
      <c r="K81" s="17">
        <v>4</v>
      </c>
      <c r="L81" s="112">
        <f t="shared" si="119"/>
        <v>9.638554216867469E-3</v>
      </c>
      <c r="M81" s="116">
        <v>3.4064167483928798</v>
      </c>
      <c r="N81" s="120">
        <f t="shared" si="120"/>
        <v>3447.6</v>
      </c>
      <c r="O81" s="116">
        <v>3.0862319200761292</v>
      </c>
      <c r="P81" s="120">
        <f t="shared" si="121"/>
        <v>3447.6</v>
      </c>
      <c r="Q81" s="116">
        <v>0</v>
      </c>
      <c r="R81" s="120">
        <f t="shared" si="122"/>
        <v>0</v>
      </c>
      <c r="S81" s="5" t="s">
        <v>143</v>
      </c>
      <c r="T81" s="87">
        <v>28.44</v>
      </c>
      <c r="U81" s="88">
        <v>4.68</v>
      </c>
      <c r="V81" s="88">
        <v>6.05</v>
      </c>
      <c r="W81" s="88">
        <v>8.24</v>
      </c>
      <c r="X81" s="88">
        <v>6.34</v>
      </c>
      <c r="Y81" s="88">
        <v>2.89</v>
      </c>
      <c r="Z81" s="88">
        <v>0</v>
      </c>
      <c r="AA81" s="88">
        <v>0</v>
      </c>
      <c r="AB81" s="88">
        <v>0.24</v>
      </c>
      <c r="AC81" s="257"/>
      <c r="AD81" s="110">
        <f t="shared" si="123"/>
        <v>103043.24865196091</v>
      </c>
      <c r="AE81" s="110">
        <f t="shared" si="124"/>
        <v>102074.77623627134</v>
      </c>
      <c r="AF81" s="16">
        <f>SUMIF('20.01'!$I:$I,$B:$B,'20.01'!$D:$D)*1.2</f>
        <v>42762.539999999994</v>
      </c>
      <c r="AG81" s="17">
        <f t="shared" si="83"/>
        <v>9196.9156256775295</v>
      </c>
      <c r="AH81" s="17">
        <f t="shared" si="125"/>
        <v>2632.5839013311765</v>
      </c>
      <c r="AI81" s="16">
        <f>SUMIF('20.01'!$J:$J,$B:$B,'20.01'!$D:$D)*1.2</f>
        <v>0</v>
      </c>
      <c r="AJ81" s="17">
        <f t="shared" si="126"/>
        <v>1069.8229114313219</v>
      </c>
      <c r="AK81" s="17">
        <f t="shared" si="127"/>
        <v>2602.6414773156616</v>
      </c>
      <c r="AL81" s="17">
        <f t="shared" si="128"/>
        <v>43810.272320515644</v>
      </c>
      <c r="AM81" s="110">
        <f t="shared" si="129"/>
        <v>0</v>
      </c>
      <c r="AN81" s="17">
        <f>SUMIF('20.01'!$K:$K,$B:$B,'20.01'!$D:$D)*1.2</f>
        <v>0</v>
      </c>
      <c r="AO81" s="17">
        <f>SUMIF('20.01'!$L:$L,$B:$B,'20.01'!$D:$D)*1.2</f>
        <v>0</v>
      </c>
      <c r="AP81" s="17">
        <f>SUMIF('20.01'!$M:$M,$B:$B,'20.01'!$D:$D)*1.2</f>
        <v>0</v>
      </c>
      <c r="AQ81" s="110">
        <f t="shared" si="130"/>
        <v>968.47241568956917</v>
      </c>
      <c r="AR81" s="17">
        <f t="shared" si="131"/>
        <v>968.47241568956917</v>
      </c>
      <c r="AS81" s="17">
        <f>(SUMIF('20.01'!$N:$N,$B:$B,'20.01'!$D:$D)+SUMIF('20.01'!$O:$O,$B:$B,'20.01'!$D:$D))*1.2</f>
        <v>0</v>
      </c>
      <c r="AT81" s="110">
        <f>SUMIF('20.01'!$P:$P,$B:$B,'20.01'!$D:$D)*1.2</f>
        <v>0</v>
      </c>
      <c r="AU81" s="110">
        <f t="shared" si="132"/>
        <v>0</v>
      </c>
      <c r="AV81" s="17">
        <f>SUMIF('20.01'!$Q:$Q,$B:$B,'20.01'!$D:$D)*1.2</f>
        <v>0</v>
      </c>
      <c r="AW81" s="17">
        <f>SUMIF('20.01'!$R:$R,$B:$B,'20.01'!$D:$D)*1.2</f>
        <v>0</v>
      </c>
      <c r="AX81" s="110">
        <f t="shared" si="133"/>
        <v>0</v>
      </c>
      <c r="AY81" s="17">
        <f>SUMIF('20.01'!$S:$S,$B:$B,'20.01'!$D:$D)*1.2</f>
        <v>0</v>
      </c>
      <c r="AZ81" s="17">
        <f>SUMIF('20.01'!$T:$T,$B:$B,'20.01'!$D:$D)*1.2</f>
        <v>0</v>
      </c>
      <c r="BA81" s="110">
        <f t="shared" si="134"/>
        <v>0</v>
      </c>
      <c r="BB81" s="17">
        <f>SUMIF('20.01'!$U:$U,$B:$B,'20.01'!$D:$D)*1.2</f>
        <v>0</v>
      </c>
      <c r="BC81" s="17">
        <f>SUMIF('20.01'!$V:$V,$B:$B,'20.01'!$D:$D)*1.2</f>
        <v>0</v>
      </c>
      <c r="BD81" s="17">
        <f>SUMIF('20.01'!$W:$W,$B:$B,'20.01'!$D:$D)*1.2</f>
        <v>0</v>
      </c>
      <c r="BE81" s="110">
        <f>SUMIF('20.01'!$X:$X,$B:$B,'20.01'!$D:$D)*1.2</f>
        <v>0</v>
      </c>
      <c r="BF81" s="110">
        <f t="shared" si="135"/>
        <v>0</v>
      </c>
      <c r="BG81" s="17">
        <f>SUMIF('20.01'!$Y:$Y,$B:$B,'20.01'!$D:$D)*1.2</f>
        <v>0</v>
      </c>
      <c r="BH81" s="17">
        <f>SUMIF('20.01'!$Z:$Z,$B:$B,'20.01'!$D:$D)*1.2</f>
        <v>0</v>
      </c>
      <c r="BI81" s="17">
        <f>SUMIF('20.01'!$AA:$AA,$B:$B,'20.01'!$D:$D)*1.2</f>
        <v>0</v>
      </c>
      <c r="BJ81" s="17">
        <f>SUMIF('20.01'!$AB:$AB,$B:$B,'20.01'!$D:$D)*1.2</f>
        <v>0</v>
      </c>
      <c r="BK81" s="17">
        <f>SUMIF('20.01'!$AC:$AC,$B:$B,'20.01'!$D:$D)*1.2</f>
        <v>0</v>
      </c>
      <c r="BL81" s="17">
        <f>SUMIF('20.01'!$AD:$AD,$B:$B,'20.01'!$D:$D)*1.2</f>
        <v>0</v>
      </c>
      <c r="BM81" s="110">
        <f t="shared" si="136"/>
        <v>0</v>
      </c>
      <c r="BN81" s="17">
        <f>SUMIF('20.01'!$AE:$AE,$B:$B,'20.01'!$D:$D)*1.2</f>
        <v>0</v>
      </c>
      <c r="BO81" s="17">
        <f>SUMIF('20.01'!$AF:$AF,$B:$B,'20.01'!$D:$D)*1.2</f>
        <v>0</v>
      </c>
      <c r="BP81" s="110">
        <f>SUMIF('20.01'!$AG:$AG,$B:$B,'20.01'!$D:$D)*1.2</f>
        <v>0</v>
      </c>
      <c r="BQ81" s="110">
        <f>SUMIF('20.01'!$AH:$AH,$B:$B,'20.01'!$D:$D)*1.2</f>
        <v>0</v>
      </c>
      <c r="BR81" s="110">
        <f>SUMIF('20.01'!$AI:$AI,$B:$B,'20.01'!$D:$D)*1.2</f>
        <v>0</v>
      </c>
      <c r="BS81" s="110">
        <f t="shared" si="137"/>
        <v>0</v>
      </c>
      <c r="BT81" s="17">
        <f>SUMIF('20.01'!$AJ:$AJ,$B:$B,'20.01'!$D:$D)*1.2</f>
        <v>0</v>
      </c>
      <c r="BU81" s="17">
        <f>SUMIF('20.01'!$AK:$AK,$B:$B,'20.01'!$D:$D)*1.2</f>
        <v>0</v>
      </c>
      <c r="BV81" s="110">
        <f>SUMIF('20.01'!$AL:$AL,$B:$B,'20.01'!$D:$D)*1.2</f>
        <v>0</v>
      </c>
      <c r="BW81" s="110">
        <f>SUMIF('20.01'!$AM:$AM,$B:$B,'20.01'!$D:$D)*1.2</f>
        <v>0</v>
      </c>
      <c r="BX81" s="110">
        <f>SUMIF('20.01'!$AN:$AN,$B:$B,'20.01'!$D:$D)*1.2</f>
        <v>0</v>
      </c>
      <c r="BY81" s="110">
        <f t="shared" si="87"/>
        <v>416075.61109871598</v>
      </c>
      <c r="BZ81" s="17">
        <f t="shared" si="82"/>
        <v>211283.46292221235</v>
      </c>
      <c r="CA81" s="17">
        <f t="shared" si="88"/>
        <v>21382.983344059045</v>
      </c>
      <c r="CB81" s="17">
        <f t="shared" si="89"/>
        <v>1421.4312172422597</v>
      </c>
      <c r="CC81" s="17">
        <f>SUMIF('20.01'!$AO:$AO,$B:$B,'20.01'!$D:$D)*1.2</f>
        <v>0</v>
      </c>
      <c r="CD81" s="17">
        <f t="shared" si="90"/>
        <v>22315.026432737606</v>
      </c>
      <c r="CE81" s="17">
        <f>SUMIF('20.01'!$AQ:$AQ,$B:$B,'20.01'!$D:$D)*1.2</f>
        <v>0</v>
      </c>
      <c r="CF81" s="17">
        <f t="shared" si="91"/>
        <v>2030.3146501786002</v>
      </c>
      <c r="CG81" s="17">
        <f>SUMIF('20.01'!$AR:$AR,$B:$B,'20.01'!$D:$D)*1.2</f>
        <v>155262.97199999998</v>
      </c>
      <c r="CH81" s="17">
        <f t="shared" si="92"/>
        <v>1195.708006865515</v>
      </c>
      <c r="CI81" s="17">
        <f>SUMIF('20.01'!$AT:$AT,$B:$B,'20.01'!$D:$D)*1.2</f>
        <v>0</v>
      </c>
      <c r="CJ81" s="17">
        <f>SUMIF('20.01'!$AU:$AU,$B:$B,'20.01'!$D:$D)*1.2</f>
        <v>0</v>
      </c>
      <c r="CK81" s="17">
        <f>SUMIF('20.01'!$AV:$AV,$B:$B,'20.01'!$D:$D)*1.2</f>
        <v>0</v>
      </c>
      <c r="CL81" s="17">
        <f t="shared" si="93"/>
        <v>1183.7125254206171</v>
      </c>
      <c r="CM81" s="17">
        <f>SUMIF('20.01'!$AW:$AW,$B:$B,'20.01'!$D:$D)*1.2</f>
        <v>0</v>
      </c>
      <c r="CN81" s="17">
        <f>SUMIF('20.01'!$AX:$AX,$B:$B,'20.01'!$D:$D)*1.2</f>
        <v>0</v>
      </c>
      <c r="CO81" s="110">
        <f t="shared" si="138"/>
        <v>397089.88561271981</v>
      </c>
      <c r="CP81" s="17">
        <f t="shared" si="139"/>
        <v>313240.93244288553</v>
      </c>
      <c r="CQ81" s="17">
        <f t="shared" si="94"/>
        <v>96639.137741370345</v>
      </c>
      <c r="CR81" s="17">
        <f t="shared" si="95"/>
        <v>216601.79470151517</v>
      </c>
      <c r="CS81" s="17">
        <f t="shared" si="140"/>
        <v>83848.953169834305</v>
      </c>
      <c r="CT81" s="17">
        <f t="shared" si="96"/>
        <v>3054.6909184433048</v>
      </c>
      <c r="CU81" s="17">
        <f t="shared" si="97"/>
        <v>2954.5993808102498</v>
      </c>
      <c r="CV81" s="17">
        <f t="shared" si="98"/>
        <v>3053.6430359404508</v>
      </c>
      <c r="CW81" s="17">
        <f t="shared" si="99"/>
        <v>32.020809429296243</v>
      </c>
      <c r="CX81" s="17">
        <f t="shared" si="100"/>
        <v>45088.518939038731</v>
      </c>
      <c r="CY81" s="17">
        <f t="shared" si="101"/>
        <v>29665.480086172269</v>
      </c>
      <c r="CZ81" s="110">
        <f t="shared" si="141"/>
        <v>98568.105089323697</v>
      </c>
      <c r="DA81" s="17">
        <f t="shared" si="142"/>
        <v>3723.3499336390987</v>
      </c>
      <c r="DB81" s="17">
        <f t="shared" si="102"/>
        <v>3533.322504809033</v>
      </c>
      <c r="DC81" s="17">
        <f t="shared" si="103"/>
        <v>190.02742883006565</v>
      </c>
      <c r="DD81" s="17">
        <f t="shared" si="104"/>
        <v>6560.9696829147351</v>
      </c>
      <c r="DE81" s="17">
        <f t="shared" si="105"/>
        <v>2263.7074203683233</v>
      </c>
      <c r="DF81" s="17">
        <f t="shared" si="106"/>
        <v>2747.3243235440109</v>
      </c>
      <c r="DG81" s="17">
        <f t="shared" si="143"/>
        <v>83272.753728857526</v>
      </c>
      <c r="DH81" s="110">
        <f t="shared" si="144"/>
        <v>61514.197442814439</v>
      </c>
      <c r="DI81" s="17">
        <f t="shared" si="107"/>
        <v>55180.743179660953</v>
      </c>
      <c r="DJ81" s="17">
        <f t="shared" si="108"/>
        <v>6102.6659508393741</v>
      </c>
      <c r="DK81" s="17">
        <f t="shared" si="109"/>
        <v>230.78831231411468</v>
      </c>
      <c r="DL81" s="110">
        <f t="shared" si="145"/>
        <v>365704.15036864945</v>
      </c>
      <c r="DM81" s="17">
        <f t="shared" si="110"/>
        <v>193823.19969538422</v>
      </c>
      <c r="DN81" s="17">
        <f t="shared" si="111"/>
        <v>171880.95067326524</v>
      </c>
      <c r="DO81" s="17">
        <f t="shared" si="112"/>
        <v>0</v>
      </c>
      <c r="DP81" s="110">
        <f t="shared" si="146"/>
        <v>0</v>
      </c>
      <c r="DQ81" s="17">
        <f>SUMIF('20.01'!$BB:$BB,$B:$B,'20.01'!$D:$D)*1.2</f>
        <v>0</v>
      </c>
      <c r="DR81" s="17">
        <f t="shared" si="113"/>
        <v>0</v>
      </c>
      <c r="DS81" s="17">
        <f t="shared" si="114"/>
        <v>0</v>
      </c>
      <c r="DT81" s="110">
        <f t="shared" si="147"/>
        <v>5310.2039999999997</v>
      </c>
      <c r="DU81" s="17">
        <f>SUMIF('20.01'!$BD:$BD,$B:$B,'20.01'!$D:$D)*1.2</f>
        <v>5310.2039999999997</v>
      </c>
      <c r="DV81" s="17">
        <f t="shared" si="115"/>
        <v>0</v>
      </c>
      <c r="DW81" s="17">
        <f t="shared" si="116"/>
        <v>0</v>
      </c>
      <c r="DX81" s="110">
        <f t="shared" si="117"/>
        <v>1447305.4022641843</v>
      </c>
      <c r="DY81" s="110"/>
      <c r="DZ81" s="110">
        <f t="shared" si="148"/>
        <v>1447305.4022641843</v>
      </c>
      <c r="EA81" s="257"/>
      <c r="EB81" s="110">
        <f t="shared" si="118"/>
        <v>3546.2168674698792</v>
      </c>
      <c r="EC81" s="110">
        <f>SUMIF(еирц!$B:$B,$B:$B,еирц!$K:$K)</f>
        <v>675564.3600000001</v>
      </c>
      <c r="ED81" s="110">
        <f>SUMIF(еирц!$B:$B,$B:$B,еирц!$P:$P)</f>
        <v>891120.35000000009</v>
      </c>
      <c r="EE81" s="110">
        <f>SUMIF(еирц!$B:$B,$B:$B,еирц!$S:$S)</f>
        <v>-15274.110000000015</v>
      </c>
      <c r="EF81" s="177">
        <f t="shared" si="149"/>
        <v>-768194.82539671438</v>
      </c>
      <c r="EG81" s="181">
        <f t="shared" si="152"/>
        <v>0</v>
      </c>
      <c r="EH81" s="177">
        <f t="shared" si="150"/>
        <v>-768194.82539671438</v>
      </c>
    </row>
    <row r="82" spans="1:138" ht="12" customHeight="1" x14ac:dyDescent="0.25">
      <c r="A82" s="5">
        <f t="shared" si="151"/>
        <v>78</v>
      </c>
      <c r="B82" s="6" t="s">
        <v>162</v>
      </c>
      <c r="C82" s="7">
        <f t="shared" si="84"/>
        <v>3176.2</v>
      </c>
      <c r="D82" s="8">
        <v>3176.2</v>
      </c>
      <c r="E82" s="8">
        <v>0</v>
      </c>
      <c r="F82" s="8">
        <v>326.8</v>
      </c>
      <c r="G82" s="87">
        <f t="shared" si="85"/>
        <v>3176.2</v>
      </c>
      <c r="H82" s="87">
        <f t="shared" si="86"/>
        <v>3176.2</v>
      </c>
      <c r="I82" s="91">
        <v>0</v>
      </c>
      <c r="J82" s="112">
        <v>0</v>
      </c>
      <c r="K82" s="17">
        <v>4</v>
      </c>
      <c r="L82" s="112">
        <f t="shared" si="119"/>
        <v>9.638554216867469E-3</v>
      </c>
      <c r="M82" s="116">
        <v>3.4064154410834071</v>
      </c>
      <c r="N82" s="120">
        <f t="shared" si="120"/>
        <v>3176.2</v>
      </c>
      <c r="O82" s="116">
        <v>3.0862332109859509</v>
      </c>
      <c r="P82" s="120">
        <f t="shared" si="121"/>
        <v>3176.2</v>
      </c>
      <c r="Q82" s="116">
        <v>0</v>
      </c>
      <c r="R82" s="120">
        <f t="shared" si="122"/>
        <v>0</v>
      </c>
      <c r="S82" s="5" t="s">
        <v>143</v>
      </c>
      <c r="T82" s="87">
        <v>28.44</v>
      </c>
      <c r="U82" s="88">
        <v>4.68</v>
      </c>
      <c r="V82" s="88">
        <v>6.05</v>
      </c>
      <c r="W82" s="88">
        <v>8.24</v>
      </c>
      <c r="X82" s="88">
        <v>6.34</v>
      </c>
      <c r="Y82" s="88">
        <v>2.89</v>
      </c>
      <c r="Z82" s="88">
        <v>0</v>
      </c>
      <c r="AA82" s="88">
        <v>0</v>
      </c>
      <c r="AB82" s="88">
        <v>0.24</v>
      </c>
      <c r="AC82" s="257"/>
      <c r="AD82" s="110">
        <f t="shared" si="123"/>
        <v>736748.25310162373</v>
      </c>
      <c r="AE82" s="110">
        <f t="shared" si="124"/>
        <v>199848.3482188319</v>
      </c>
      <c r="AF82" s="16">
        <f>SUMIF('20.01'!$I:$I,$B:$B,'20.01'!$D:$D)*1.2</f>
        <v>145205.25599999999</v>
      </c>
      <c r="AG82" s="17">
        <f t="shared" si="83"/>
        <v>8472.9212815515057</v>
      </c>
      <c r="AH82" s="17">
        <f t="shared" si="125"/>
        <v>2425.3431336025301</v>
      </c>
      <c r="AI82" s="16">
        <f>SUMIF('20.01'!$J:$J,$B:$B,'20.01'!$D:$D)*1.2</f>
        <v>0</v>
      </c>
      <c r="AJ82" s="17">
        <f t="shared" si="126"/>
        <v>985.60492263840479</v>
      </c>
      <c r="AK82" s="17">
        <f t="shared" si="127"/>
        <v>2397.7578200052221</v>
      </c>
      <c r="AL82" s="17">
        <f t="shared" si="128"/>
        <v>40361.46506103428</v>
      </c>
      <c r="AM82" s="110">
        <f t="shared" si="129"/>
        <v>0</v>
      </c>
      <c r="AN82" s="17">
        <f>SUMIF('20.01'!$K:$K,$B:$B,'20.01'!$D:$D)*1.2</f>
        <v>0</v>
      </c>
      <c r="AO82" s="17">
        <f>SUMIF('20.01'!$L:$L,$B:$B,'20.01'!$D:$D)*1.2</f>
        <v>0</v>
      </c>
      <c r="AP82" s="17">
        <f>SUMIF('20.01'!$M:$M,$B:$B,'20.01'!$D:$D)*1.2</f>
        <v>0</v>
      </c>
      <c r="AQ82" s="110">
        <f t="shared" si="130"/>
        <v>892.23288279185795</v>
      </c>
      <c r="AR82" s="17">
        <f t="shared" si="131"/>
        <v>892.23288279185795</v>
      </c>
      <c r="AS82" s="17">
        <f>(SUMIF('20.01'!$N:$N,$B:$B,'20.01'!$D:$D)+SUMIF('20.01'!$O:$O,$B:$B,'20.01'!$D:$D))*1.2</f>
        <v>0</v>
      </c>
      <c r="AT82" s="110">
        <f>SUMIF('20.01'!$P:$P,$B:$B,'20.01'!$D:$D)*1.2</f>
        <v>0</v>
      </c>
      <c r="AU82" s="110">
        <f t="shared" si="132"/>
        <v>0</v>
      </c>
      <c r="AV82" s="17">
        <f>SUMIF('20.01'!$Q:$Q,$B:$B,'20.01'!$D:$D)*1.2</f>
        <v>0</v>
      </c>
      <c r="AW82" s="17">
        <f>SUMIF('20.01'!$R:$R,$B:$B,'20.01'!$D:$D)*1.2</f>
        <v>0</v>
      </c>
      <c r="AX82" s="110">
        <f t="shared" si="133"/>
        <v>200931.43199999997</v>
      </c>
      <c r="AY82" s="17">
        <f>SUMIF('20.01'!$S:$S,$B:$B,'20.01'!$D:$D)*1.2</f>
        <v>200931.43199999997</v>
      </c>
      <c r="AZ82" s="17">
        <f>SUMIF('20.01'!$T:$T,$B:$B,'20.01'!$D:$D)*1.2</f>
        <v>0</v>
      </c>
      <c r="BA82" s="110">
        <f t="shared" si="134"/>
        <v>0</v>
      </c>
      <c r="BB82" s="17">
        <f>SUMIF('20.01'!$U:$U,$B:$B,'20.01'!$D:$D)*1.2</f>
        <v>0</v>
      </c>
      <c r="BC82" s="17">
        <f>SUMIF('20.01'!$V:$V,$B:$B,'20.01'!$D:$D)*1.2</f>
        <v>0</v>
      </c>
      <c r="BD82" s="17">
        <f>SUMIF('20.01'!$W:$W,$B:$B,'20.01'!$D:$D)*1.2</f>
        <v>0</v>
      </c>
      <c r="BE82" s="110">
        <f>SUMIF('20.01'!$X:$X,$B:$B,'20.01'!$D:$D)*1.2</f>
        <v>0</v>
      </c>
      <c r="BF82" s="110">
        <f t="shared" si="135"/>
        <v>0</v>
      </c>
      <c r="BG82" s="17">
        <f>SUMIF('20.01'!$Y:$Y,$B:$B,'20.01'!$D:$D)*1.2</f>
        <v>0</v>
      </c>
      <c r="BH82" s="17">
        <f>SUMIF('20.01'!$Z:$Z,$B:$B,'20.01'!$D:$D)*1.2</f>
        <v>0</v>
      </c>
      <c r="BI82" s="17">
        <f>SUMIF('20.01'!$AA:$AA,$B:$B,'20.01'!$D:$D)*1.2</f>
        <v>0</v>
      </c>
      <c r="BJ82" s="17">
        <f>SUMIF('20.01'!$AB:$AB,$B:$B,'20.01'!$D:$D)*1.2</f>
        <v>0</v>
      </c>
      <c r="BK82" s="17">
        <f>SUMIF('20.01'!$AC:$AC,$B:$B,'20.01'!$D:$D)*1.2</f>
        <v>0</v>
      </c>
      <c r="BL82" s="17">
        <f>SUMIF('20.01'!$AD:$AD,$B:$B,'20.01'!$D:$D)*1.2</f>
        <v>0</v>
      </c>
      <c r="BM82" s="110">
        <f t="shared" si="136"/>
        <v>0</v>
      </c>
      <c r="BN82" s="17">
        <f>SUMIF('20.01'!$AE:$AE,$B:$B,'20.01'!$D:$D)*1.2</f>
        <v>0</v>
      </c>
      <c r="BO82" s="17">
        <f>SUMIF('20.01'!$AF:$AF,$B:$B,'20.01'!$D:$D)*1.2</f>
        <v>0</v>
      </c>
      <c r="BP82" s="110">
        <f>SUMIF('20.01'!$AG:$AG,$B:$B,'20.01'!$D:$D)*1.2</f>
        <v>0</v>
      </c>
      <c r="BQ82" s="110">
        <f>SUMIF('20.01'!$AH:$AH,$B:$B,'20.01'!$D:$D)*1.2</f>
        <v>0</v>
      </c>
      <c r="BR82" s="110">
        <f>SUMIF('20.01'!$AI:$AI,$B:$B,'20.01'!$D:$D)*1.2</f>
        <v>0</v>
      </c>
      <c r="BS82" s="110">
        <f t="shared" si="137"/>
        <v>3517.5</v>
      </c>
      <c r="BT82" s="17">
        <f>SUMIF('20.01'!$AJ:$AJ,$B:$B,'20.01'!$D:$D)*1.2</f>
        <v>3517.5</v>
      </c>
      <c r="BU82" s="17">
        <f>SUMIF('20.01'!$AK:$AK,$B:$B,'20.01'!$D:$D)*1.2</f>
        <v>0</v>
      </c>
      <c r="BV82" s="110">
        <f>SUMIF('20.01'!$AL:$AL,$B:$B,'20.01'!$D:$D)*1.2</f>
        <v>331558.74</v>
      </c>
      <c r="BW82" s="110">
        <f>SUMIF('20.01'!$AM:$AM,$B:$B,'20.01'!$D:$D)*1.2</f>
        <v>0</v>
      </c>
      <c r="BX82" s="110">
        <f>SUMIF('20.01'!$AN:$AN,$B:$B,'20.01'!$D:$D)*1.2</f>
        <v>0</v>
      </c>
      <c r="BY82" s="110">
        <f t="shared" si="87"/>
        <v>365269.07534323639</v>
      </c>
      <c r="BZ82" s="17">
        <f t="shared" si="82"/>
        <v>194650.92671235956</v>
      </c>
      <c r="CA82" s="17">
        <f t="shared" si="88"/>
        <v>19699.68433037485</v>
      </c>
      <c r="CB82" s="17">
        <f t="shared" si="89"/>
        <v>1309.5341200269361</v>
      </c>
      <c r="CC82" s="17">
        <f>SUMIF('20.01'!$AO:$AO,$B:$B,'20.01'!$D:$D)*1.2</f>
        <v>0</v>
      </c>
      <c r="CD82" s="17">
        <f t="shared" si="90"/>
        <v>20558.355654850093</v>
      </c>
      <c r="CE82" s="17">
        <f>SUMIF('20.01'!$AQ:$AQ,$B:$B,'20.01'!$D:$D)*1.2</f>
        <v>0</v>
      </c>
      <c r="CF82" s="17">
        <f t="shared" si="91"/>
        <v>1870.4853787844499</v>
      </c>
      <c r="CG82" s="17">
        <f>SUMIF('20.01'!$AR:$AR,$B:$B,'20.01'!$D:$D)*1.2</f>
        <v>124987.97999999998</v>
      </c>
      <c r="CH82" s="17">
        <f t="shared" si="92"/>
        <v>1101.5801634198424</v>
      </c>
      <c r="CI82" s="17">
        <f>SUMIF('20.01'!$AT:$AT,$B:$B,'20.01'!$D:$D)*1.2</f>
        <v>0</v>
      </c>
      <c r="CJ82" s="17">
        <f>SUMIF('20.01'!$AU:$AU,$B:$B,'20.01'!$D:$D)*1.2</f>
        <v>0</v>
      </c>
      <c r="CK82" s="17">
        <f>SUMIF('20.01'!$AV:$AV,$B:$B,'20.01'!$D:$D)*1.2</f>
        <v>0</v>
      </c>
      <c r="CL82" s="17">
        <f t="shared" si="93"/>
        <v>1090.5289834206301</v>
      </c>
      <c r="CM82" s="17">
        <f>SUMIF('20.01'!$AW:$AW,$B:$B,'20.01'!$D:$D)*1.2</f>
        <v>0</v>
      </c>
      <c r="CN82" s="17">
        <f>SUMIF('20.01'!$AX:$AX,$B:$B,'20.01'!$D:$D)*1.2</f>
        <v>0</v>
      </c>
      <c r="CO82" s="110">
        <f t="shared" si="138"/>
        <v>365830.40221693949</v>
      </c>
      <c r="CP82" s="17">
        <f t="shared" si="139"/>
        <v>288582.15849434183</v>
      </c>
      <c r="CQ82" s="17">
        <f t="shared" si="94"/>
        <v>89031.566682370481</v>
      </c>
      <c r="CR82" s="17">
        <f t="shared" si="95"/>
        <v>199550.59181197136</v>
      </c>
      <c r="CS82" s="17">
        <f t="shared" si="140"/>
        <v>77248.243722597661</v>
      </c>
      <c r="CT82" s="17">
        <f t="shared" si="96"/>
        <v>2814.2212829677528</v>
      </c>
      <c r="CU82" s="17">
        <f t="shared" si="97"/>
        <v>2722.0090942480319</v>
      </c>
      <c r="CV82" s="17">
        <f t="shared" si="98"/>
        <v>2813.2558912733666</v>
      </c>
      <c r="CW82" s="17">
        <f t="shared" si="99"/>
        <v>29.500085540471844</v>
      </c>
      <c r="CX82" s="17">
        <f t="shared" si="100"/>
        <v>41539.086278621311</v>
      </c>
      <c r="CY82" s="17">
        <f t="shared" si="101"/>
        <v>27330.171089946733</v>
      </c>
      <c r="CZ82" s="110">
        <f t="shared" si="141"/>
        <v>90808.682963426705</v>
      </c>
      <c r="DA82" s="17">
        <f t="shared" si="142"/>
        <v>3430.2425047060287</v>
      </c>
      <c r="DB82" s="17">
        <f t="shared" si="102"/>
        <v>3255.1743066987037</v>
      </c>
      <c r="DC82" s="17">
        <f t="shared" si="103"/>
        <v>175.06819800732524</v>
      </c>
      <c r="DD82" s="17">
        <f t="shared" si="104"/>
        <v>6044.4807712245565</v>
      </c>
      <c r="DE82" s="17">
        <f t="shared" si="105"/>
        <v>2085.5051364931742</v>
      </c>
      <c r="DF82" s="17">
        <f t="shared" si="106"/>
        <v>2531.051025768792</v>
      </c>
      <c r="DG82" s="17">
        <f t="shared" si="143"/>
        <v>76717.403525234156</v>
      </c>
      <c r="DH82" s="110">
        <f t="shared" si="144"/>
        <v>56671.711891712272</v>
      </c>
      <c r="DI82" s="17">
        <f t="shared" si="107"/>
        <v>50836.836201194776</v>
      </c>
      <c r="DJ82" s="17">
        <f t="shared" si="108"/>
        <v>5622.2553640375972</v>
      </c>
      <c r="DK82" s="17">
        <f t="shared" si="109"/>
        <v>212.62032647989648</v>
      </c>
      <c r="DL82" s="110">
        <f t="shared" si="145"/>
        <v>336915.39691405743</v>
      </c>
      <c r="DM82" s="17">
        <f t="shared" si="110"/>
        <v>178565.16036445042</v>
      </c>
      <c r="DN82" s="17">
        <f t="shared" si="111"/>
        <v>158350.23654960698</v>
      </c>
      <c r="DO82" s="17">
        <f t="shared" si="112"/>
        <v>0</v>
      </c>
      <c r="DP82" s="110">
        <f t="shared" si="146"/>
        <v>0</v>
      </c>
      <c r="DQ82" s="17">
        <f>SUMIF('20.01'!$BB:$BB,$B:$B,'20.01'!$D:$D)*1.2</f>
        <v>0</v>
      </c>
      <c r="DR82" s="17">
        <f t="shared" si="113"/>
        <v>0</v>
      </c>
      <c r="DS82" s="17">
        <f t="shared" si="114"/>
        <v>0</v>
      </c>
      <c r="DT82" s="110">
        <f t="shared" si="147"/>
        <v>6637.7640000000001</v>
      </c>
      <c r="DU82" s="17">
        <f>SUMIF('20.01'!$BD:$BD,$B:$B,'20.01'!$D:$D)*1.2</f>
        <v>6637.7640000000001</v>
      </c>
      <c r="DV82" s="17">
        <f t="shared" si="115"/>
        <v>0</v>
      </c>
      <c r="DW82" s="17">
        <f t="shared" si="116"/>
        <v>0</v>
      </c>
      <c r="DX82" s="110">
        <f t="shared" si="117"/>
        <v>1958881.2864309959</v>
      </c>
      <c r="DY82" s="110"/>
      <c r="DZ82" s="110">
        <f t="shared" si="148"/>
        <v>1958881.2864309959</v>
      </c>
      <c r="EA82" s="257"/>
      <c r="EB82" s="110">
        <f t="shared" si="118"/>
        <v>3546.2168674698792</v>
      </c>
      <c r="EC82" s="110">
        <f>SUMIF(еирц!$B:$B,$B:$B,еирц!$K:$K)</f>
        <v>1063202.1000000001</v>
      </c>
      <c r="ED82" s="110">
        <f>SUMIF(еирц!$B:$B,$B:$B,еирц!$P:$P)</f>
        <v>956987.60000000009</v>
      </c>
      <c r="EE82" s="110">
        <f>SUMIF(еирц!$B:$B,$B:$B,еирц!$S:$S)</f>
        <v>413333.88</v>
      </c>
      <c r="EF82" s="177">
        <f t="shared" si="149"/>
        <v>-892132.96956352587</v>
      </c>
      <c r="EG82" s="181">
        <f t="shared" si="152"/>
        <v>0</v>
      </c>
      <c r="EH82" s="177">
        <f t="shared" si="150"/>
        <v>-892132.96956352587</v>
      </c>
    </row>
    <row r="83" spans="1:138" ht="12" customHeight="1" x14ac:dyDescent="0.25">
      <c r="A83" s="5">
        <f t="shared" si="151"/>
        <v>79</v>
      </c>
      <c r="B83" s="6" t="s">
        <v>163</v>
      </c>
      <c r="C83" s="7">
        <f t="shared" si="84"/>
        <v>10284.4</v>
      </c>
      <c r="D83" s="8">
        <v>10284.4</v>
      </c>
      <c r="E83" s="8">
        <v>0</v>
      </c>
      <c r="F83" s="8">
        <v>1304.9000000000001</v>
      </c>
      <c r="G83" s="87">
        <f t="shared" si="85"/>
        <v>10284.4</v>
      </c>
      <c r="H83" s="87">
        <f t="shared" si="86"/>
        <v>10284.4</v>
      </c>
      <c r="I83" s="91">
        <v>5</v>
      </c>
      <c r="J83" s="112">
        <v>1.6147278578728646E-2</v>
      </c>
      <c r="K83" s="17">
        <v>5</v>
      </c>
      <c r="L83" s="112">
        <f t="shared" si="119"/>
        <v>1.2048192771084338E-2</v>
      </c>
      <c r="M83" s="116">
        <v>3.4064170677868866</v>
      </c>
      <c r="N83" s="120">
        <f t="shared" si="120"/>
        <v>10284.4</v>
      </c>
      <c r="O83" s="116">
        <v>3.0862316403629042</v>
      </c>
      <c r="P83" s="120">
        <f t="shared" si="121"/>
        <v>10284.4</v>
      </c>
      <c r="Q83" s="116">
        <v>1.6009271371199083</v>
      </c>
      <c r="R83" s="120">
        <f t="shared" si="122"/>
        <v>10284.4</v>
      </c>
      <c r="S83" s="5" t="s">
        <v>143</v>
      </c>
      <c r="T83" s="87">
        <v>41.34</v>
      </c>
      <c r="U83" s="88">
        <v>4.68</v>
      </c>
      <c r="V83" s="88">
        <v>7.92</v>
      </c>
      <c r="W83" s="88">
        <v>12.32</v>
      </c>
      <c r="X83" s="88">
        <v>6.34</v>
      </c>
      <c r="Y83" s="88">
        <v>2.89</v>
      </c>
      <c r="Z83" s="88">
        <v>1.66</v>
      </c>
      <c r="AA83" s="88">
        <v>5.29</v>
      </c>
      <c r="AB83" s="88">
        <v>0.24</v>
      </c>
      <c r="AC83" s="257"/>
      <c r="AD83" s="110">
        <f t="shared" si="123"/>
        <v>587176.37173576606</v>
      </c>
      <c r="AE83" s="110">
        <f t="shared" si="124"/>
        <v>277247.75175296119</v>
      </c>
      <c r="AF83" s="16">
        <f>SUMIF('20.01'!$I:$I,$B:$B,'20.01'!$D:$D)*1.2</f>
        <v>100315.75200000001</v>
      </c>
      <c r="AG83" s="17">
        <f t="shared" si="83"/>
        <v>27434.957379254553</v>
      </c>
      <c r="AH83" s="17">
        <f t="shared" si="125"/>
        <v>7853.1575225810275</v>
      </c>
      <c r="AI83" s="16">
        <f>SUMIF('20.01'!$J:$J,$B:$B,'20.01'!$D:$D)*1.2</f>
        <v>0</v>
      </c>
      <c r="AJ83" s="17">
        <f t="shared" si="126"/>
        <v>3191.3466615397047</v>
      </c>
      <c r="AK83" s="17">
        <f t="shared" si="127"/>
        <v>7763.8374548396532</v>
      </c>
      <c r="AL83" s="17">
        <f t="shared" si="128"/>
        <v>130688.70073474622</v>
      </c>
      <c r="AM83" s="110">
        <f t="shared" si="129"/>
        <v>0</v>
      </c>
      <c r="AN83" s="17">
        <f>SUMIF('20.01'!$K:$K,$B:$B,'20.01'!$D:$D)*1.2</f>
        <v>0</v>
      </c>
      <c r="AO83" s="17">
        <f>SUMIF('20.01'!$L:$L,$B:$B,'20.01'!$D:$D)*1.2</f>
        <v>0</v>
      </c>
      <c r="AP83" s="17">
        <f>SUMIF('20.01'!$M:$M,$B:$B,'20.01'!$D:$D)*1.2</f>
        <v>0</v>
      </c>
      <c r="AQ83" s="110">
        <f t="shared" si="130"/>
        <v>2889.0119828047932</v>
      </c>
      <c r="AR83" s="17">
        <f t="shared" si="131"/>
        <v>2889.0119828047932</v>
      </c>
      <c r="AS83" s="17">
        <f>(SUMIF('20.01'!$N:$N,$B:$B,'20.01'!$D:$D)+SUMIF('20.01'!$O:$O,$B:$B,'20.01'!$D:$D))*1.2</f>
        <v>0</v>
      </c>
      <c r="AT83" s="110">
        <f>SUMIF('20.01'!$P:$P,$B:$B,'20.01'!$D:$D)*1.2</f>
        <v>0</v>
      </c>
      <c r="AU83" s="110">
        <f t="shared" si="132"/>
        <v>0</v>
      </c>
      <c r="AV83" s="17">
        <f>SUMIF('20.01'!$Q:$Q,$B:$B,'20.01'!$D:$D)*1.2</f>
        <v>0</v>
      </c>
      <c r="AW83" s="17">
        <f>SUMIF('20.01'!$R:$R,$B:$B,'20.01'!$D:$D)*1.2</f>
        <v>0</v>
      </c>
      <c r="AX83" s="110">
        <f t="shared" si="133"/>
        <v>0</v>
      </c>
      <c r="AY83" s="17">
        <f>SUMIF('20.01'!$S:$S,$B:$B,'20.01'!$D:$D)*1.2</f>
        <v>0</v>
      </c>
      <c r="AZ83" s="17">
        <f>SUMIF('20.01'!$T:$T,$B:$B,'20.01'!$D:$D)*1.2</f>
        <v>0</v>
      </c>
      <c r="BA83" s="110">
        <f t="shared" si="134"/>
        <v>0</v>
      </c>
      <c r="BB83" s="17">
        <f>SUMIF('20.01'!$U:$U,$B:$B,'20.01'!$D:$D)*1.2</f>
        <v>0</v>
      </c>
      <c r="BC83" s="17">
        <f>SUMIF('20.01'!$V:$V,$B:$B,'20.01'!$D:$D)*1.2</f>
        <v>0</v>
      </c>
      <c r="BD83" s="17">
        <f>SUMIF('20.01'!$W:$W,$B:$B,'20.01'!$D:$D)*1.2</f>
        <v>0</v>
      </c>
      <c r="BE83" s="110">
        <f>SUMIF('20.01'!$X:$X,$B:$B,'20.01'!$D:$D)*1.2</f>
        <v>0</v>
      </c>
      <c r="BF83" s="110">
        <f t="shared" si="135"/>
        <v>0</v>
      </c>
      <c r="BG83" s="17">
        <f>SUMIF('20.01'!$Y:$Y,$B:$B,'20.01'!$D:$D)*1.2</f>
        <v>0</v>
      </c>
      <c r="BH83" s="17">
        <f>SUMIF('20.01'!$Z:$Z,$B:$B,'20.01'!$D:$D)*1.2</f>
        <v>0</v>
      </c>
      <c r="BI83" s="17">
        <f>SUMIF('20.01'!$AA:$AA,$B:$B,'20.01'!$D:$D)*1.2</f>
        <v>0</v>
      </c>
      <c r="BJ83" s="17">
        <f>SUMIF('20.01'!$AB:$AB,$B:$B,'20.01'!$D:$D)*1.2</f>
        <v>0</v>
      </c>
      <c r="BK83" s="17">
        <f>SUMIF('20.01'!$AC:$AC,$B:$B,'20.01'!$D:$D)*1.2</f>
        <v>0</v>
      </c>
      <c r="BL83" s="17">
        <f>SUMIF('20.01'!$AD:$AD,$B:$B,'20.01'!$D:$D)*1.2</f>
        <v>0</v>
      </c>
      <c r="BM83" s="110">
        <f t="shared" si="136"/>
        <v>0</v>
      </c>
      <c r="BN83" s="17">
        <f>SUMIF('20.01'!$AE:$AE,$B:$B,'20.01'!$D:$D)*1.2</f>
        <v>0</v>
      </c>
      <c r="BO83" s="17">
        <f>SUMIF('20.01'!$AF:$AF,$B:$B,'20.01'!$D:$D)*1.2</f>
        <v>0</v>
      </c>
      <c r="BP83" s="110">
        <f>SUMIF('20.01'!$AG:$AG,$B:$B,'20.01'!$D:$D)*1.2</f>
        <v>0</v>
      </c>
      <c r="BQ83" s="110">
        <f>SUMIF('20.01'!$AH:$AH,$B:$B,'20.01'!$D:$D)*1.2</f>
        <v>0</v>
      </c>
      <c r="BR83" s="110">
        <f>SUMIF('20.01'!$AI:$AI,$B:$B,'20.01'!$D:$D)*1.2</f>
        <v>0</v>
      </c>
      <c r="BS83" s="110">
        <f t="shared" si="137"/>
        <v>0</v>
      </c>
      <c r="BT83" s="17">
        <f>SUMIF('20.01'!$AJ:$AJ,$B:$B,'20.01'!$D:$D)*1.2</f>
        <v>0</v>
      </c>
      <c r="BU83" s="17">
        <f>SUMIF('20.01'!$AK:$AK,$B:$B,'20.01'!$D:$D)*1.2</f>
        <v>0</v>
      </c>
      <c r="BV83" s="110">
        <f>SUMIF('20.01'!$AL:$AL,$B:$B,'20.01'!$D:$D)*1.2</f>
        <v>307039.60800000001</v>
      </c>
      <c r="BW83" s="110">
        <f>SUMIF('20.01'!$AM:$AM,$B:$B,'20.01'!$D:$D)*1.2</f>
        <v>0</v>
      </c>
      <c r="BX83" s="110">
        <f>SUMIF('20.01'!$AN:$AN,$B:$B,'20.01'!$D:$D)*1.2</f>
        <v>0</v>
      </c>
      <c r="BY83" s="110">
        <f t="shared" si="87"/>
        <v>778019.92851457105</v>
      </c>
      <c r="BZ83" s="17">
        <f t="shared" si="82"/>
        <v>630271.39055493695</v>
      </c>
      <c r="CA83" s="17">
        <f t="shared" si="88"/>
        <v>63786.736832475006</v>
      </c>
      <c r="CB83" s="17">
        <f t="shared" si="89"/>
        <v>4240.2155733281979</v>
      </c>
      <c r="CC83" s="17">
        <f>SUMIF('20.01'!$AO:$AO,$B:$B,'20.01'!$D:$D)*1.2</f>
        <v>0</v>
      </c>
      <c r="CD83" s="17">
        <f t="shared" si="90"/>
        <v>66567.077922278288</v>
      </c>
      <c r="CE83" s="17">
        <f>SUMIF('20.01'!$AQ:$AQ,$B:$B,'20.01'!$D:$D)*1.2</f>
        <v>0</v>
      </c>
      <c r="CF83" s="17">
        <f t="shared" si="91"/>
        <v>6056.5518007590199</v>
      </c>
      <c r="CG83" s="17">
        <f>SUMIF('20.01'!$AR:$AR,$B:$B,'20.01'!$D:$D)*1.2</f>
        <v>0</v>
      </c>
      <c r="CH83" s="17">
        <f t="shared" si="92"/>
        <v>3566.869539914057</v>
      </c>
      <c r="CI83" s="17">
        <f>SUMIF('20.01'!$AT:$AT,$B:$B,'20.01'!$D:$D)*1.2</f>
        <v>0</v>
      </c>
      <c r="CJ83" s="17">
        <f>SUMIF('20.01'!$AU:$AU,$B:$B,'20.01'!$D:$D)*1.2</f>
        <v>0</v>
      </c>
      <c r="CK83" s="17">
        <f>SUMIF('20.01'!$AV:$AV,$B:$B,'20.01'!$D:$D)*1.2</f>
        <v>0</v>
      </c>
      <c r="CL83" s="17">
        <f t="shared" si="93"/>
        <v>3531.0862908793929</v>
      </c>
      <c r="CM83" s="17">
        <f>SUMIF('20.01'!$AW:$AW,$B:$B,'20.01'!$D:$D)*1.2</f>
        <v>0</v>
      </c>
      <c r="CN83" s="17">
        <f>SUMIF('20.01'!$AX:$AX,$B:$B,'20.01'!$D:$D)*1.2</f>
        <v>0</v>
      </c>
      <c r="CO83" s="110">
        <f t="shared" si="138"/>
        <v>1184543.2241546162</v>
      </c>
      <c r="CP83" s="17">
        <f t="shared" si="139"/>
        <v>934416.7089034724</v>
      </c>
      <c r="CQ83" s="17">
        <f t="shared" si="94"/>
        <v>288280.41193507053</v>
      </c>
      <c r="CR83" s="17">
        <f t="shared" si="95"/>
        <v>646136.29696840188</v>
      </c>
      <c r="CS83" s="17">
        <f t="shared" si="140"/>
        <v>250126.51525114395</v>
      </c>
      <c r="CT83" s="17">
        <f t="shared" si="96"/>
        <v>9112.3283680352488</v>
      </c>
      <c r="CU83" s="17">
        <f t="shared" si="97"/>
        <v>8813.749237732025</v>
      </c>
      <c r="CV83" s="17">
        <f t="shared" si="98"/>
        <v>9109.2024709438356</v>
      </c>
      <c r="CW83" s="17">
        <f t="shared" si="99"/>
        <v>95.520017546888937</v>
      </c>
      <c r="CX83" s="17">
        <f t="shared" si="100"/>
        <v>134501.78796166898</v>
      </c>
      <c r="CY83" s="17">
        <f t="shared" si="101"/>
        <v>88493.92719521698</v>
      </c>
      <c r="CZ83" s="110">
        <f t="shared" si="141"/>
        <v>294034.63858354813</v>
      </c>
      <c r="DA83" s="17">
        <f t="shared" si="142"/>
        <v>11106.978784521971</v>
      </c>
      <c r="DB83" s="17">
        <f t="shared" si="102"/>
        <v>10540.115433477788</v>
      </c>
      <c r="DC83" s="17">
        <f t="shared" si="103"/>
        <v>566.86335104418345</v>
      </c>
      <c r="DD83" s="17">
        <f t="shared" si="104"/>
        <v>19571.77068307469</v>
      </c>
      <c r="DE83" s="17">
        <f t="shared" si="105"/>
        <v>6752.7765964833452</v>
      </c>
      <c r="DF83" s="17">
        <f t="shared" si="106"/>
        <v>8195.4351644784856</v>
      </c>
      <c r="DG83" s="17">
        <f t="shared" si="143"/>
        <v>248407.67735498966</v>
      </c>
      <c r="DH83" s="110">
        <f t="shared" si="144"/>
        <v>183500.58364685022</v>
      </c>
      <c r="DI83" s="17">
        <f t="shared" si="107"/>
        <v>164607.50526653472</v>
      </c>
      <c r="DJ83" s="17">
        <f t="shared" si="108"/>
        <v>18204.622840472348</v>
      </c>
      <c r="DK83" s="17">
        <f t="shared" si="109"/>
        <v>688.45553984316075</v>
      </c>
      <c r="DL83" s="110">
        <f t="shared" si="145"/>
        <v>1388574.6237632155</v>
      </c>
      <c r="DM83" s="17">
        <f t="shared" si="110"/>
        <v>578186.36586239969</v>
      </c>
      <c r="DN83" s="17">
        <f t="shared" si="111"/>
        <v>512731.30557609035</v>
      </c>
      <c r="DO83" s="17">
        <f t="shared" si="112"/>
        <v>297656.95232472551</v>
      </c>
      <c r="DP83" s="110">
        <f t="shared" si="146"/>
        <v>458936.5496213091</v>
      </c>
      <c r="DQ83" s="17">
        <f>SUMIF('20.01'!$BB:$BB,$B:$B,'20.01'!$D:$D)*1.2</f>
        <v>12980.699999999999</v>
      </c>
      <c r="DR83" s="17">
        <f t="shared" si="113"/>
        <v>442674.27003818745</v>
      </c>
      <c r="DS83" s="17">
        <f t="shared" si="114"/>
        <v>3281.5795831216651</v>
      </c>
      <c r="DT83" s="110">
        <f t="shared" si="147"/>
        <v>16594.416000000001</v>
      </c>
      <c r="DU83" s="17">
        <f>SUMIF('20.01'!$BD:$BD,$B:$B,'20.01'!$D:$D)*1.2</f>
        <v>16594.416000000001</v>
      </c>
      <c r="DV83" s="17">
        <f t="shared" si="115"/>
        <v>0</v>
      </c>
      <c r="DW83" s="17">
        <f t="shared" si="116"/>
        <v>0</v>
      </c>
      <c r="DX83" s="110">
        <f t="shared" si="117"/>
        <v>4891380.3360198764</v>
      </c>
      <c r="DY83" s="110"/>
      <c r="DZ83" s="110">
        <f t="shared" si="148"/>
        <v>4891380.3360198764</v>
      </c>
      <c r="EA83" s="257"/>
      <c r="EB83" s="110">
        <f t="shared" si="118"/>
        <v>4432.7710843373497</v>
      </c>
      <c r="EC83" s="110">
        <f>SUMIF(еирц!$B:$B,$B:$B,еирц!$K:$K)</f>
        <v>4816493.42</v>
      </c>
      <c r="ED83" s="110">
        <f>SUMIF(еирц!$B:$B,$B:$B,еирц!$P:$P)</f>
        <v>5083505.5599999996</v>
      </c>
      <c r="EE83" s="110">
        <f>SUMIF(еирц!$B:$B,$B:$B,еирц!$S:$S)</f>
        <v>1176911.5599999998</v>
      </c>
      <c r="EF83" s="177">
        <f t="shared" si="149"/>
        <v>-70454.144935538992</v>
      </c>
      <c r="EG83" s="181">
        <f t="shared" si="152"/>
        <v>0</v>
      </c>
      <c r="EH83" s="177">
        <f t="shared" si="150"/>
        <v>-70454.144935538992</v>
      </c>
    </row>
    <row r="84" spans="1:138" ht="12" customHeight="1" x14ac:dyDescent="0.25">
      <c r="A84" s="5">
        <f t="shared" si="151"/>
        <v>80</v>
      </c>
      <c r="B84" s="6" t="s">
        <v>164</v>
      </c>
      <c r="C84" s="7">
        <f t="shared" si="84"/>
        <v>22940.107170224412</v>
      </c>
      <c r="D84" s="8">
        <v>22219.20717022441</v>
      </c>
      <c r="E84" s="8">
        <v>720.9</v>
      </c>
      <c r="F84" s="8">
        <v>5560</v>
      </c>
      <c r="G84" s="91">
        <f t="shared" si="85"/>
        <v>22940.107170224412</v>
      </c>
      <c r="H84" s="87">
        <f t="shared" si="86"/>
        <v>0</v>
      </c>
      <c r="I84" s="91">
        <v>10</v>
      </c>
      <c r="J84" s="112">
        <v>3.4498739809904359E-2</v>
      </c>
      <c r="K84" s="17">
        <v>3</v>
      </c>
      <c r="L84" s="112">
        <f t="shared" si="119"/>
        <v>7.2289156626506026E-3</v>
      </c>
      <c r="M84" s="116">
        <v>3.4064173940403486</v>
      </c>
      <c r="N84" s="120">
        <f t="shared" si="120"/>
        <v>22940.107170224412</v>
      </c>
      <c r="O84" s="116">
        <v>3.0862314306866563</v>
      </c>
      <c r="P84" s="120">
        <f t="shared" si="121"/>
        <v>22940.107170224412</v>
      </c>
      <c r="Q84" s="116">
        <v>1.6009272811401074</v>
      </c>
      <c r="R84" s="120">
        <f t="shared" si="122"/>
        <v>22940.107170224412</v>
      </c>
      <c r="S84" s="5" t="s">
        <v>143</v>
      </c>
      <c r="T84" s="87">
        <v>36.54</v>
      </c>
      <c r="U84" s="88">
        <v>4.03</v>
      </c>
      <c r="V84" s="88">
        <v>7</v>
      </c>
      <c r="W84" s="88">
        <v>11</v>
      </c>
      <c r="X84" s="88">
        <v>5.4</v>
      </c>
      <c r="Y84" s="88">
        <v>2.67</v>
      </c>
      <c r="Z84" s="88">
        <v>1.54</v>
      </c>
      <c r="AA84" s="88">
        <v>4.9000000000000004</v>
      </c>
      <c r="AB84" s="88">
        <v>0</v>
      </c>
      <c r="AC84" s="257"/>
      <c r="AD84" s="110">
        <f t="shared" si="123"/>
        <v>2430701.4322349047</v>
      </c>
      <c r="AE84" s="110">
        <f t="shared" si="124"/>
        <v>1515190.9794888424</v>
      </c>
      <c r="AF84" s="16">
        <f>SUMIF('20.01'!$I:$I,$B:$B,'20.01'!$D:$D)*1.2</f>
        <v>1120531.2</v>
      </c>
      <c r="AG84" s="17">
        <f t="shared" si="83"/>
        <v>61195.681079172195</v>
      </c>
      <c r="AH84" s="17">
        <f t="shared" si="125"/>
        <v>17517.042821424955</v>
      </c>
      <c r="AI84" s="16">
        <f>SUMIF('20.01'!$J:$J,$B:$B,'20.01'!$D:$D)*1.2</f>
        <v>0</v>
      </c>
      <c r="AJ84" s="17">
        <f t="shared" si="126"/>
        <v>7118.5323823517874</v>
      </c>
      <c r="AK84" s="17">
        <f t="shared" si="127"/>
        <v>17317.807870777488</v>
      </c>
      <c r="AL84" s="17">
        <f t="shared" si="128"/>
        <v>291510.71533511573</v>
      </c>
      <c r="AM84" s="110">
        <f t="shared" si="129"/>
        <v>173028</v>
      </c>
      <c r="AN84" s="17">
        <f>SUMIF('20.01'!$K:$K,$B:$B,'20.01'!$D:$D)*1.2</f>
        <v>173028</v>
      </c>
      <c r="AO84" s="17">
        <f>SUMIF('20.01'!$L:$L,$B:$B,'20.01'!$D:$D)*1.2</f>
        <v>0</v>
      </c>
      <c r="AP84" s="17">
        <f>SUMIF('20.01'!$M:$M,$B:$B,'20.01'!$D:$D)*1.2</f>
        <v>0</v>
      </c>
      <c r="AQ84" s="110">
        <f t="shared" si="130"/>
        <v>57965.312746062438</v>
      </c>
      <c r="AR84" s="17">
        <f t="shared" si="131"/>
        <v>6444.1527460624329</v>
      </c>
      <c r="AS84" s="17">
        <f>(SUMIF('20.01'!$N:$N,$B:$B,'20.01'!$D:$D)+SUMIF('20.01'!$O:$O,$B:$B,'20.01'!$D:$D))*1.2</f>
        <v>51521.16</v>
      </c>
      <c r="AT84" s="110">
        <f>SUMIF('20.01'!$P:$P,$B:$B,'20.01'!$D:$D)*1.2</f>
        <v>0</v>
      </c>
      <c r="AU84" s="110">
        <f t="shared" si="132"/>
        <v>0</v>
      </c>
      <c r="AV84" s="17">
        <f>SUMIF('20.01'!$Q:$Q,$B:$B,'20.01'!$D:$D)*1.2</f>
        <v>0</v>
      </c>
      <c r="AW84" s="17">
        <f>SUMIF('20.01'!$R:$R,$B:$B,'20.01'!$D:$D)*1.2</f>
        <v>0</v>
      </c>
      <c r="AX84" s="110">
        <f t="shared" si="133"/>
        <v>2128.8240000000001</v>
      </c>
      <c r="AY84" s="17">
        <f>SUMIF('20.01'!$S:$S,$B:$B,'20.01'!$D:$D)*1.2</f>
        <v>0</v>
      </c>
      <c r="AZ84" s="17">
        <f>SUMIF('20.01'!$T:$T,$B:$B,'20.01'!$D:$D)*1.2</f>
        <v>2128.8240000000001</v>
      </c>
      <c r="BA84" s="110">
        <f t="shared" si="134"/>
        <v>95181.827999999994</v>
      </c>
      <c r="BB84" s="17">
        <f>SUMIF('20.01'!$U:$U,$B:$B,'20.01'!$D:$D)*1.2</f>
        <v>95181.827999999994</v>
      </c>
      <c r="BC84" s="17">
        <f>SUMIF('20.01'!$V:$V,$B:$B,'20.01'!$D:$D)*1.2</f>
        <v>0</v>
      </c>
      <c r="BD84" s="17">
        <f>SUMIF('20.01'!$W:$W,$B:$B,'20.01'!$D:$D)*1.2</f>
        <v>0</v>
      </c>
      <c r="BE84" s="110">
        <f>SUMIF('20.01'!$X:$X,$B:$B,'20.01'!$D:$D)*1.2</f>
        <v>0</v>
      </c>
      <c r="BF84" s="110">
        <f t="shared" si="135"/>
        <v>587206.48800000013</v>
      </c>
      <c r="BG84" s="17">
        <f>SUMIF('20.01'!$Y:$Y,$B:$B,'20.01'!$D:$D)*1.2</f>
        <v>0</v>
      </c>
      <c r="BH84" s="17">
        <f>SUMIF('20.01'!$Z:$Z,$B:$B,'20.01'!$D:$D)*1.2</f>
        <v>408492.02400000003</v>
      </c>
      <c r="BI84" s="17">
        <f>SUMIF('20.01'!$AA:$AA,$B:$B,'20.01'!$D:$D)*1.2</f>
        <v>0</v>
      </c>
      <c r="BJ84" s="17">
        <f>SUMIF('20.01'!$AB:$AB,$B:$B,'20.01'!$D:$D)*1.2</f>
        <v>170087.66399999999</v>
      </c>
      <c r="BK84" s="17">
        <f>SUMIF('20.01'!$AC:$AC,$B:$B,'20.01'!$D:$D)*1.2</f>
        <v>0</v>
      </c>
      <c r="BL84" s="17">
        <f>SUMIF('20.01'!$AD:$AD,$B:$B,'20.01'!$D:$D)*1.2</f>
        <v>8626.7999999999993</v>
      </c>
      <c r="BM84" s="110">
        <f t="shared" si="136"/>
        <v>0</v>
      </c>
      <c r="BN84" s="17">
        <f>SUMIF('20.01'!$AE:$AE,$B:$B,'20.01'!$D:$D)*1.2</f>
        <v>0</v>
      </c>
      <c r="BO84" s="17">
        <f>SUMIF('20.01'!$AF:$AF,$B:$B,'20.01'!$D:$D)*1.2</f>
        <v>0</v>
      </c>
      <c r="BP84" s="110">
        <f>SUMIF('20.01'!$AG:$AG,$B:$B,'20.01'!$D:$D)*1.2</f>
        <v>0</v>
      </c>
      <c r="BQ84" s="110">
        <f>SUMIF('20.01'!$AH:$AH,$B:$B,'20.01'!$D:$D)*1.2</f>
        <v>0</v>
      </c>
      <c r="BR84" s="110">
        <f>SUMIF('20.01'!$AI:$AI,$B:$B,'20.01'!$D:$D)*1.2</f>
        <v>0</v>
      </c>
      <c r="BS84" s="110">
        <f t="shared" si="137"/>
        <v>0</v>
      </c>
      <c r="BT84" s="17">
        <f>SUMIF('20.01'!$AJ:$AJ,$B:$B,'20.01'!$D:$D)*1.2</f>
        <v>0</v>
      </c>
      <c r="BU84" s="17">
        <f>SUMIF('20.01'!$AK:$AK,$B:$B,'20.01'!$D:$D)*1.2</f>
        <v>0</v>
      </c>
      <c r="BV84" s="110">
        <f>SUMIF('20.01'!$AL:$AL,$B:$B,'20.01'!$D:$D)*1.2</f>
        <v>0</v>
      </c>
      <c r="BW84" s="110">
        <f>SUMIF('20.01'!$AM:$AM,$B:$B,'20.01'!$D:$D)*1.2</f>
        <v>0</v>
      </c>
      <c r="BX84" s="110">
        <f>SUMIF('20.01'!$AN:$AN,$B:$B,'20.01'!$D:$D)*1.2</f>
        <v>0</v>
      </c>
      <c r="BY84" s="110">
        <f t="shared" si="87"/>
        <v>1970705.6411203176</v>
      </c>
      <c r="BZ84" s="17">
        <f t="shared" si="82"/>
        <v>1405866.4818226267</v>
      </c>
      <c r="CA84" s="17">
        <f t="shared" si="88"/>
        <v>142280.986637614</v>
      </c>
      <c r="CB84" s="17">
        <f t="shared" si="89"/>
        <v>9458.1112828170244</v>
      </c>
      <c r="CC84" s="17">
        <f>SUMIF('20.01'!$AO:$AO,$B:$B,'20.01'!$D:$D)*1.2</f>
        <v>3437.0039999999999</v>
      </c>
      <c r="CD84" s="17">
        <f t="shared" si="90"/>
        <v>148482.74100051957</v>
      </c>
      <c r="CE84" s="17">
        <f>SUMIF('20.01'!$AQ:$AQ,$B:$B,'20.01'!$D:$D)*1.2</f>
        <v>104638.224</v>
      </c>
      <c r="CF84" s="17">
        <f t="shared" si="91"/>
        <v>13509.582220783668</v>
      </c>
      <c r="CG84" s="17">
        <f>SUMIF('20.01'!$AR:$AR,$B:$B,'20.01'!$D:$D)*1.2</f>
        <v>0</v>
      </c>
      <c r="CH84" s="17">
        <f t="shared" si="92"/>
        <v>7956.1636563958527</v>
      </c>
      <c r="CI84" s="17">
        <f>SUMIF('20.01'!$AT:$AT,$B:$B,'20.01'!$D:$D)*1.2</f>
        <v>0</v>
      </c>
      <c r="CJ84" s="17">
        <f>SUMIF('20.01'!$AU:$AU,$B:$B,'20.01'!$D:$D)*1.2</f>
        <v>0</v>
      </c>
      <c r="CK84" s="17">
        <f>SUMIF('20.01'!$AV:$AV,$B:$B,'20.01'!$D:$D)*1.2</f>
        <v>0</v>
      </c>
      <c r="CL84" s="17">
        <f t="shared" si="93"/>
        <v>7876.3464995608383</v>
      </c>
      <c r="CM84" s="17">
        <f>SUMIF('20.01'!$AW:$AW,$B:$B,'20.01'!$D:$D)*1.2</f>
        <v>127200</v>
      </c>
      <c r="CN84" s="17">
        <f>SUMIF('20.01'!$AX:$AX,$B:$B,'20.01'!$D:$D)*1.2</f>
        <v>0</v>
      </c>
      <c r="CO84" s="110">
        <f t="shared" si="138"/>
        <v>2642210.3875646666</v>
      </c>
      <c r="CP84" s="17">
        <f t="shared" si="139"/>
        <v>2084284.8823357751</v>
      </c>
      <c r="CQ84" s="17">
        <f t="shared" si="94"/>
        <v>643030.56521206477</v>
      </c>
      <c r="CR84" s="17">
        <f t="shared" si="95"/>
        <v>1441254.3171237104</v>
      </c>
      <c r="CS84" s="17">
        <f t="shared" si="140"/>
        <v>557925.50522889162</v>
      </c>
      <c r="CT84" s="17">
        <f t="shared" si="96"/>
        <v>20325.71558214429</v>
      </c>
      <c r="CU84" s="17">
        <f t="shared" si="97"/>
        <v>19659.712971593519</v>
      </c>
      <c r="CV84" s="17">
        <f t="shared" si="98"/>
        <v>20318.743039819983</v>
      </c>
      <c r="CW84" s="17">
        <f t="shared" si="99"/>
        <v>213.06439261671548</v>
      </c>
      <c r="CX84" s="17">
        <f t="shared" si="100"/>
        <v>300016.08556916163</v>
      </c>
      <c r="CY84" s="17">
        <f t="shared" si="101"/>
        <v>197392.18367355553</v>
      </c>
      <c r="CZ84" s="110">
        <f t="shared" si="141"/>
        <v>655865.78904601117</v>
      </c>
      <c r="DA84" s="17">
        <f t="shared" si="142"/>
        <v>24774.929374036685</v>
      </c>
      <c r="DB84" s="17">
        <f t="shared" si="102"/>
        <v>23510.499166749327</v>
      </c>
      <c r="DC84" s="17">
        <f t="shared" si="103"/>
        <v>1264.4302072873586</v>
      </c>
      <c r="DD84" s="17">
        <f t="shared" si="104"/>
        <v>43656.267451751162</v>
      </c>
      <c r="DE84" s="17">
        <f t="shared" si="105"/>
        <v>15062.56260160157</v>
      </c>
      <c r="DF84" s="17">
        <f t="shared" si="106"/>
        <v>18280.518161464177</v>
      </c>
      <c r="DG84" s="17">
        <f t="shared" si="143"/>
        <v>554091.51145715755</v>
      </c>
      <c r="DH84" s="110">
        <f t="shared" si="144"/>
        <v>409311.48678167642</v>
      </c>
      <c r="DI84" s="17">
        <f t="shared" si="107"/>
        <v>367169.09220154659</v>
      </c>
      <c r="DJ84" s="17">
        <f t="shared" si="108"/>
        <v>40606.74409337937</v>
      </c>
      <c r="DK84" s="17">
        <f t="shared" si="109"/>
        <v>1535.6504867504971</v>
      </c>
      <c r="DL84" s="110">
        <f t="shared" si="145"/>
        <v>3097317.36250848</v>
      </c>
      <c r="DM84" s="17">
        <f t="shared" si="110"/>
        <v>1289687.0208515842</v>
      </c>
      <c r="DN84" s="17">
        <f t="shared" si="111"/>
        <v>1143684.7166042351</v>
      </c>
      <c r="DO84" s="17">
        <f t="shared" si="112"/>
        <v>663945.62505266059</v>
      </c>
      <c r="DP84" s="110">
        <f t="shared" si="146"/>
        <v>1002993.0580317581</v>
      </c>
      <c r="DQ84" s="17">
        <f>SUMIF('20.01'!$BB:$BB,$B:$B,'20.01'!$D:$D)*1.2</f>
        <v>50206.2</v>
      </c>
      <c r="DR84" s="17">
        <f t="shared" si="113"/>
        <v>945775.74717170617</v>
      </c>
      <c r="DS84" s="17">
        <f t="shared" si="114"/>
        <v>7011.1108600519574</v>
      </c>
      <c r="DT84" s="110">
        <f t="shared" si="147"/>
        <v>0</v>
      </c>
      <c r="DU84" s="17">
        <f>SUMIF('20.01'!$BD:$BD,$B:$B,'20.01'!$D:$D)*1.2</f>
        <v>0</v>
      </c>
      <c r="DV84" s="17">
        <f t="shared" si="115"/>
        <v>0</v>
      </c>
      <c r="DW84" s="17">
        <f t="shared" si="116"/>
        <v>0</v>
      </c>
      <c r="DX84" s="110">
        <f t="shared" si="117"/>
        <v>12209105.157287814</v>
      </c>
      <c r="DY84" s="110"/>
      <c r="DZ84" s="110">
        <f t="shared" si="148"/>
        <v>12209105.157287814</v>
      </c>
      <c r="EA84" s="257"/>
      <c r="EB84" s="110">
        <f t="shared" si="118"/>
        <v>2659.6626506024099</v>
      </c>
      <c r="EC84" s="110">
        <f>SUMIF(еирц!$B:$B,$B:$B,еирц!$K:$K)</f>
        <v>9741589.0099999998</v>
      </c>
      <c r="ED84" s="110">
        <f>SUMIF(еирц!$B:$B,$B:$B,еирц!$P:$P)</f>
        <v>9546183.4899999984</v>
      </c>
      <c r="EE84" s="110">
        <f>SUMIF(еирц!$B:$B,$B:$B,еирц!$S:$S)</f>
        <v>2858820.69</v>
      </c>
      <c r="EF84" s="177">
        <f t="shared" si="149"/>
        <v>-2464856.484637212</v>
      </c>
      <c r="EG84" s="181">
        <f t="shared" si="152"/>
        <v>0</v>
      </c>
      <c r="EH84" s="177">
        <f t="shared" si="150"/>
        <v>-2464856.484637212</v>
      </c>
    </row>
    <row r="85" spans="1:138" ht="12" customHeight="1" x14ac:dyDescent="0.25">
      <c r="A85" s="5">
        <f t="shared" si="151"/>
        <v>81</v>
      </c>
      <c r="B85" s="6" t="s">
        <v>165</v>
      </c>
      <c r="C85" s="7">
        <f t="shared" si="84"/>
        <v>3520.6</v>
      </c>
      <c r="D85" s="8">
        <v>3520.6</v>
      </c>
      <c r="E85" s="8">
        <v>0</v>
      </c>
      <c r="F85" s="8">
        <v>328.2</v>
      </c>
      <c r="G85" s="87">
        <f t="shared" si="85"/>
        <v>3520.6</v>
      </c>
      <c r="H85" s="87">
        <f t="shared" si="86"/>
        <v>3520.6</v>
      </c>
      <c r="I85" s="91">
        <v>0</v>
      </c>
      <c r="J85" s="112">
        <v>0</v>
      </c>
      <c r="K85" s="17">
        <v>4</v>
      </c>
      <c r="L85" s="112">
        <f t="shared" si="119"/>
        <v>9.638554216867469E-3</v>
      </c>
      <c r="M85" s="116">
        <v>3.406416781628772</v>
      </c>
      <c r="N85" s="120">
        <f t="shared" si="120"/>
        <v>3520.6</v>
      </c>
      <c r="O85" s="116">
        <v>3.0862313434954158</v>
      </c>
      <c r="P85" s="120">
        <f t="shared" si="121"/>
        <v>3520.6</v>
      </c>
      <c r="Q85" s="116">
        <v>0</v>
      </c>
      <c r="R85" s="120">
        <f t="shared" si="122"/>
        <v>0</v>
      </c>
      <c r="S85" s="5" t="s">
        <v>143</v>
      </c>
      <c r="T85" s="87">
        <v>28.44</v>
      </c>
      <c r="U85" s="88">
        <v>4.68</v>
      </c>
      <c r="V85" s="88">
        <v>6.05</v>
      </c>
      <c r="W85" s="88">
        <v>8.24</v>
      </c>
      <c r="X85" s="88">
        <v>6.34</v>
      </c>
      <c r="Y85" s="88">
        <v>2.89</v>
      </c>
      <c r="Z85" s="88">
        <v>0</v>
      </c>
      <c r="AA85" s="88">
        <v>0</v>
      </c>
      <c r="AB85" s="88">
        <v>0.24</v>
      </c>
      <c r="AC85" s="257"/>
      <c r="AD85" s="110">
        <f t="shared" si="123"/>
        <v>513023.66942710686</v>
      </c>
      <c r="AE85" s="110">
        <f t="shared" si="124"/>
        <v>144226.83043108738</v>
      </c>
      <c r="AF85" s="16">
        <f>SUMIF('20.01'!$I:$I,$B:$B,'20.01'!$D:$D)*1.2</f>
        <v>83658.707999999999</v>
      </c>
      <c r="AG85" s="17">
        <f t="shared" si="83"/>
        <v>9391.6524979000787</v>
      </c>
      <c r="AH85" s="17">
        <f t="shared" si="125"/>
        <v>2688.3266280968037</v>
      </c>
      <c r="AI85" s="16">
        <f>SUMIF('20.01'!$J:$J,$B:$B,'20.01'!$D:$D)*1.2</f>
        <v>0</v>
      </c>
      <c r="AJ85" s="17">
        <f t="shared" si="126"/>
        <v>1092.4755023741477</v>
      </c>
      <c r="AK85" s="17">
        <f t="shared" si="127"/>
        <v>2657.7501986998254</v>
      </c>
      <c r="AL85" s="17">
        <f t="shared" si="128"/>
        <v>44737.917604016526</v>
      </c>
      <c r="AM85" s="110">
        <f t="shared" si="129"/>
        <v>22531.200000000001</v>
      </c>
      <c r="AN85" s="17">
        <f>SUMIF('20.01'!$K:$K,$B:$B,'20.01'!$D:$D)*1.2</f>
        <v>22531.200000000001</v>
      </c>
      <c r="AO85" s="17">
        <f>SUMIF('20.01'!$L:$L,$B:$B,'20.01'!$D:$D)*1.2</f>
        <v>0</v>
      </c>
      <c r="AP85" s="17">
        <f>SUMIF('20.01'!$M:$M,$B:$B,'20.01'!$D:$D)*1.2</f>
        <v>0</v>
      </c>
      <c r="AQ85" s="110">
        <f t="shared" si="130"/>
        <v>988.97899601946199</v>
      </c>
      <c r="AR85" s="17">
        <f t="shared" si="131"/>
        <v>988.97899601946199</v>
      </c>
      <c r="AS85" s="17">
        <f>(SUMIF('20.01'!$N:$N,$B:$B,'20.01'!$D:$D)+SUMIF('20.01'!$O:$O,$B:$B,'20.01'!$D:$D))*1.2</f>
        <v>0</v>
      </c>
      <c r="AT85" s="110">
        <f>SUMIF('20.01'!$P:$P,$B:$B,'20.01'!$D:$D)*1.2</f>
        <v>0</v>
      </c>
      <c r="AU85" s="110">
        <f t="shared" si="132"/>
        <v>0</v>
      </c>
      <c r="AV85" s="17">
        <f>SUMIF('20.01'!$Q:$Q,$B:$B,'20.01'!$D:$D)*1.2</f>
        <v>0</v>
      </c>
      <c r="AW85" s="17">
        <f>SUMIF('20.01'!$R:$R,$B:$B,'20.01'!$D:$D)*1.2</f>
        <v>0</v>
      </c>
      <c r="AX85" s="110">
        <f t="shared" si="133"/>
        <v>49551.6</v>
      </c>
      <c r="AY85" s="17">
        <f>SUMIF('20.01'!$S:$S,$B:$B,'20.01'!$D:$D)*1.2</f>
        <v>49551.6</v>
      </c>
      <c r="AZ85" s="17">
        <f>SUMIF('20.01'!$T:$T,$B:$B,'20.01'!$D:$D)*1.2</f>
        <v>0</v>
      </c>
      <c r="BA85" s="110">
        <f t="shared" si="134"/>
        <v>0</v>
      </c>
      <c r="BB85" s="17">
        <f>SUMIF('20.01'!$U:$U,$B:$B,'20.01'!$D:$D)*1.2</f>
        <v>0</v>
      </c>
      <c r="BC85" s="17">
        <f>SUMIF('20.01'!$V:$V,$B:$B,'20.01'!$D:$D)*1.2</f>
        <v>0</v>
      </c>
      <c r="BD85" s="17">
        <f>SUMIF('20.01'!$W:$W,$B:$B,'20.01'!$D:$D)*1.2</f>
        <v>0</v>
      </c>
      <c r="BE85" s="110">
        <f>SUMIF('20.01'!$X:$X,$B:$B,'20.01'!$D:$D)*1.2</f>
        <v>0</v>
      </c>
      <c r="BF85" s="110">
        <f t="shared" si="135"/>
        <v>0</v>
      </c>
      <c r="BG85" s="17">
        <f>SUMIF('20.01'!$Y:$Y,$B:$B,'20.01'!$D:$D)*1.2</f>
        <v>0</v>
      </c>
      <c r="BH85" s="17">
        <f>SUMIF('20.01'!$Z:$Z,$B:$B,'20.01'!$D:$D)*1.2</f>
        <v>0</v>
      </c>
      <c r="BI85" s="17">
        <f>SUMIF('20.01'!$AA:$AA,$B:$B,'20.01'!$D:$D)*1.2</f>
        <v>0</v>
      </c>
      <c r="BJ85" s="17">
        <f>SUMIF('20.01'!$AB:$AB,$B:$B,'20.01'!$D:$D)*1.2</f>
        <v>0</v>
      </c>
      <c r="BK85" s="17">
        <f>SUMIF('20.01'!$AC:$AC,$B:$B,'20.01'!$D:$D)*1.2</f>
        <v>0</v>
      </c>
      <c r="BL85" s="17">
        <f>SUMIF('20.01'!$AD:$AD,$B:$B,'20.01'!$D:$D)*1.2</f>
        <v>0</v>
      </c>
      <c r="BM85" s="110">
        <f t="shared" si="136"/>
        <v>0</v>
      </c>
      <c r="BN85" s="17">
        <f>SUMIF('20.01'!$AE:$AE,$B:$B,'20.01'!$D:$D)*1.2</f>
        <v>0</v>
      </c>
      <c r="BO85" s="17">
        <f>SUMIF('20.01'!$AF:$AF,$B:$B,'20.01'!$D:$D)*1.2</f>
        <v>0</v>
      </c>
      <c r="BP85" s="110">
        <f>SUMIF('20.01'!$AG:$AG,$B:$B,'20.01'!$D:$D)*1.2</f>
        <v>0</v>
      </c>
      <c r="BQ85" s="110">
        <f>SUMIF('20.01'!$AH:$AH,$B:$B,'20.01'!$D:$D)*1.2</f>
        <v>0</v>
      </c>
      <c r="BR85" s="110">
        <f>SUMIF('20.01'!$AI:$AI,$B:$B,'20.01'!$D:$D)*1.2</f>
        <v>0</v>
      </c>
      <c r="BS85" s="110">
        <f t="shared" si="137"/>
        <v>0</v>
      </c>
      <c r="BT85" s="17">
        <f>SUMIF('20.01'!$AJ:$AJ,$B:$B,'20.01'!$D:$D)*1.2</f>
        <v>0</v>
      </c>
      <c r="BU85" s="17">
        <f>SUMIF('20.01'!$AK:$AK,$B:$B,'20.01'!$D:$D)*1.2</f>
        <v>0</v>
      </c>
      <c r="BV85" s="110">
        <f>SUMIF('20.01'!$AL:$AL,$B:$B,'20.01'!$D:$D)*1.2</f>
        <v>295725.06</v>
      </c>
      <c r="BW85" s="110">
        <f>SUMIF('20.01'!$AM:$AM,$B:$B,'20.01'!$D:$D)*1.2</f>
        <v>0</v>
      </c>
      <c r="BX85" s="110">
        <f>SUMIF('20.01'!$AN:$AN,$B:$B,'20.01'!$D:$D)*1.2</f>
        <v>0</v>
      </c>
      <c r="BY85" s="110">
        <f t="shared" si="87"/>
        <v>391727.50507568737</v>
      </c>
      <c r="BZ85" s="17">
        <f t="shared" si="82"/>
        <v>215757.21068683747</v>
      </c>
      <c r="CA85" s="17">
        <f t="shared" si="88"/>
        <v>21835.749843686703</v>
      </c>
      <c r="CB85" s="17">
        <f t="shared" si="89"/>
        <v>1451.528815240486</v>
      </c>
      <c r="CC85" s="17">
        <f>SUMIF('20.01'!$AO:$AO,$B:$B,'20.01'!$D:$D)*1.2</f>
        <v>0</v>
      </c>
      <c r="CD85" s="17">
        <f t="shared" si="90"/>
        <v>22787.528152655766</v>
      </c>
      <c r="CE85" s="17">
        <f>SUMIF('20.01'!$AQ:$AQ,$B:$B,'20.01'!$D:$D)*1.2</f>
        <v>0</v>
      </c>
      <c r="CF85" s="17">
        <f t="shared" si="91"/>
        <v>2073.3048373995766</v>
      </c>
      <c r="CG85" s="17">
        <f>SUMIF('20.01'!$AR:$AR,$B:$B,'20.01'!$D:$D)*1.2</f>
        <v>125392.37999999999</v>
      </c>
      <c r="CH85" s="17">
        <f t="shared" si="92"/>
        <v>1221.0261077186251</v>
      </c>
      <c r="CI85" s="17">
        <f>SUMIF('20.01'!$AT:$AT,$B:$B,'20.01'!$D:$D)*1.2</f>
        <v>0</v>
      </c>
      <c r="CJ85" s="17">
        <f>SUMIF('20.01'!$AU:$AU,$B:$B,'20.01'!$D:$D)*1.2</f>
        <v>0</v>
      </c>
      <c r="CK85" s="17">
        <f>SUMIF('20.01'!$AV:$AV,$B:$B,'20.01'!$D:$D)*1.2</f>
        <v>0</v>
      </c>
      <c r="CL85" s="17">
        <f t="shared" si="93"/>
        <v>1208.7766321486902</v>
      </c>
      <c r="CM85" s="17">
        <f>SUMIF('20.01'!$AW:$AW,$B:$B,'20.01'!$D:$D)*1.2</f>
        <v>0</v>
      </c>
      <c r="CN85" s="17">
        <f>SUMIF('20.01'!$AX:$AX,$B:$B,'20.01'!$D:$D)*1.2</f>
        <v>0</v>
      </c>
      <c r="CO85" s="110">
        <f t="shared" si="138"/>
        <v>405497.92646714859</v>
      </c>
      <c r="CP85" s="17">
        <f t="shared" si="139"/>
        <v>319873.54297436558</v>
      </c>
      <c r="CQ85" s="17">
        <f t="shared" si="94"/>
        <v>98685.389352670973</v>
      </c>
      <c r="CR85" s="17">
        <f t="shared" si="95"/>
        <v>221188.1536216946</v>
      </c>
      <c r="CS85" s="17">
        <f t="shared" si="140"/>
        <v>85624.383492783003</v>
      </c>
      <c r="CT85" s="17">
        <f t="shared" si="96"/>
        <v>3119.3714025616368</v>
      </c>
      <c r="CU85" s="17">
        <f t="shared" si="97"/>
        <v>3017.160511683654</v>
      </c>
      <c r="CV85" s="17">
        <f t="shared" si="98"/>
        <v>3118.3013320373448</v>
      </c>
      <c r="CW85" s="17">
        <f t="shared" si="99"/>
        <v>32.698822855545991</v>
      </c>
      <c r="CX85" s="17">
        <f t="shared" si="100"/>
        <v>46043.230008347768</v>
      </c>
      <c r="CY85" s="17">
        <f t="shared" si="101"/>
        <v>30293.621415297046</v>
      </c>
      <c r="CZ85" s="110">
        <f t="shared" si="141"/>
        <v>100655.20094485236</v>
      </c>
      <c r="DA85" s="17">
        <f t="shared" si="142"/>
        <v>3802.1887041332552</v>
      </c>
      <c r="DB85" s="17">
        <f t="shared" si="102"/>
        <v>3608.1376059956729</v>
      </c>
      <c r="DC85" s="17">
        <f t="shared" si="103"/>
        <v>194.05109813758239</v>
      </c>
      <c r="DD85" s="17">
        <f t="shared" si="104"/>
        <v>6699.8926400016298</v>
      </c>
      <c r="DE85" s="17">
        <f t="shared" si="105"/>
        <v>2311.6395011453528</v>
      </c>
      <c r="DF85" s="17">
        <f t="shared" si="106"/>
        <v>2805.4965812359451</v>
      </c>
      <c r="DG85" s="17">
        <f t="shared" si="143"/>
        <v>85035.983518336172</v>
      </c>
      <c r="DH85" s="110">
        <f t="shared" si="144"/>
        <v>62816.708294805816</v>
      </c>
      <c r="DI85" s="17">
        <f t="shared" si="107"/>
        <v>56349.148520221126</v>
      </c>
      <c r="DJ85" s="17">
        <f t="shared" si="108"/>
        <v>6231.8847158965955</v>
      </c>
      <c r="DK85" s="17">
        <f t="shared" si="109"/>
        <v>235.6750586880938</v>
      </c>
      <c r="DL85" s="110">
        <f t="shared" si="145"/>
        <v>373447.62495297228</v>
      </c>
      <c r="DM85" s="17">
        <f t="shared" si="110"/>
        <v>197927.2412250753</v>
      </c>
      <c r="DN85" s="17">
        <f t="shared" si="111"/>
        <v>175520.38372789699</v>
      </c>
      <c r="DO85" s="17">
        <f t="shared" si="112"/>
        <v>0</v>
      </c>
      <c r="DP85" s="110">
        <f t="shared" si="146"/>
        <v>0</v>
      </c>
      <c r="DQ85" s="17">
        <f>SUMIF('20.01'!$BB:$BB,$B:$B,'20.01'!$D:$D)*1.2</f>
        <v>0</v>
      </c>
      <c r="DR85" s="17">
        <f t="shared" si="113"/>
        <v>0</v>
      </c>
      <c r="DS85" s="17">
        <f t="shared" si="114"/>
        <v>0</v>
      </c>
      <c r="DT85" s="110">
        <f t="shared" si="147"/>
        <v>7586.0159999999996</v>
      </c>
      <c r="DU85" s="17">
        <f>SUMIF('20.01'!$BD:$BD,$B:$B,'20.01'!$D:$D)*1.2</f>
        <v>7586.0159999999996</v>
      </c>
      <c r="DV85" s="17">
        <f t="shared" si="115"/>
        <v>0</v>
      </c>
      <c r="DW85" s="17">
        <f t="shared" si="116"/>
        <v>0</v>
      </c>
      <c r="DX85" s="110">
        <f t="shared" si="117"/>
        <v>1854754.6511625734</v>
      </c>
      <c r="DY85" s="110"/>
      <c r="DZ85" s="110">
        <f t="shared" si="148"/>
        <v>1854754.6511625734</v>
      </c>
      <c r="EA85" s="257"/>
      <c r="EB85" s="110">
        <f t="shared" si="118"/>
        <v>3546.2168674698792</v>
      </c>
      <c r="EC85" s="110">
        <f>SUMIF(еирц!$B:$B,$B:$B,еирц!$K:$K)</f>
        <v>1178487</v>
      </c>
      <c r="ED85" s="110">
        <f>SUMIF(еирц!$B:$B,$B:$B,еирц!$P:$P)</f>
        <v>1154136.47</v>
      </c>
      <c r="EE85" s="110">
        <f>SUMIF(еирц!$B:$B,$B:$B,еирц!$S:$S)</f>
        <v>353175.39</v>
      </c>
      <c r="EF85" s="177">
        <f t="shared" si="149"/>
        <v>-672721.43429510342</v>
      </c>
      <c r="EG85" s="181">
        <f t="shared" si="152"/>
        <v>0</v>
      </c>
      <c r="EH85" s="177">
        <f t="shared" si="150"/>
        <v>-672721.43429510342</v>
      </c>
    </row>
    <row r="86" spans="1:138" ht="12" customHeight="1" x14ac:dyDescent="0.25">
      <c r="A86" s="5">
        <f t="shared" si="151"/>
        <v>82</v>
      </c>
      <c r="B86" s="6" t="s">
        <v>166</v>
      </c>
      <c r="C86" s="7">
        <f t="shared" si="84"/>
        <v>3523.58</v>
      </c>
      <c r="D86" s="8">
        <v>3523.58</v>
      </c>
      <c r="E86" s="8">
        <v>0</v>
      </c>
      <c r="F86" s="8">
        <v>313.8</v>
      </c>
      <c r="G86" s="87">
        <f t="shared" si="85"/>
        <v>3523.58</v>
      </c>
      <c r="H86" s="87">
        <f t="shared" si="86"/>
        <v>3523.58</v>
      </c>
      <c r="I86" s="91">
        <v>0</v>
      </c>
      <c r="J86" s="112">
        <v>0</v>
      </c>
      <c r="K86" s="17">
        <v>4</v>
      </c>
      <c r="L86" s="112">
        <f t="shared" si="119"/>
        <v>9.638554216867469E-3</v>
      </c>
      <c r="M86" s="116">
        <v>3.4064178116788408</v>
      </c>
      <c r="N86" s="120">
        <f t="shared" si="120"/>
        <v>3523.58</v>
      </c>
      <c r="O86" s="116">
        <v>3.0862309774743335</v>
      </c>
      <c r="P86" s="120">
        <f t="shared" si="121"/>
        <v>3523.58</v>
      </c>
      <c r="Q86" s="116">
        <v>0</v>
      </c>
      <c r="R86" s="120">
        <f t="shared" si="122"/>
        <v>0</v>
      </c>
      <c r="S86" s="5" t="s">
        <v>143</v>
      </c>
      <c r="T86" s="87">
        <v>28.44</v>
      </c>
      <c r="U86" s="88">
        <v>4.68</v>
      </c>
      <c r="V86" s="88">
        <v>6.05</v>
      </c>
      <c r="W86" s="88">
        <v>8.24</v>
      </c>
      <c r="X86" s="88">
        <v>6.34</v>
      </c>
      <c r="Y86" s="88">
        <v>2.89</v>
      </c>
      <c r="Z86" s="88">
        <v>0</v>
      </c>
      <c r="AA86" s="88">
        <v>0</v>
      </c>
      <c r="AB86" s="88">
        <v>0.24</v>
      </c>
      <c r="AC86" s="257"/>
      <c r="AD86" s="110">
        <f t="shared" si="123"/>
        <v>126862.53022806485</v>
      </c>
      <c r="AE86" s="110">
        <f t="shared" si="124"/>
        <v>125872.71411410863</v>
      </c>
      <c r="AF86" s="16">
        <f>SUMIF('20.01'!$I:$I,$B:$B,'20.01'!$D:$D)*1.2</f>
        <v>65253.323999999993</v>
      </c>
      <c r="AG86" s="17">
        <f t="shared" si="83"/>
        <v>9399.6020304921785</v>
      </c>
      <c r="AH86" s="17">
        <f t="shared" si="125"/>
        <v>2690.6021531072361</v>
      </c>
      <c r="AI86" s="16">
        <f>SUMIF('20.01'!$J:$J,$B:$B,'20.01'!$D:$D)*1.2</f>
        <v>0</v>
      </c>
      <c r="AJ86" s="17">
        <f t="shared" si="126"/>
        <v>1093.400224579759</v>
      </c>
      <c r="AK86" s="17">
        <f t="shared" si="127"/>
        <v>2659.9998423946859</v>
      </c>
      <c r="AL86" s="17">
        <f t="shared" si="128"/>
        <v>44775.78586353478</v>
      </c>
      <c r="AM86" s="110">
        <f t="shared" si="129"/>
        <v>0</v>
      </c>
      <c r="AN86" s="17">
        <f>SUMIF('20.01'!$K:$K,$B:$B,'20.01'!$D:$D)*1.2</f>
        <v>0</v>
      </c>
      <c r="AO86" s="17">
        <f>SUMIF('20.01'!$L:$L,$B:$B,'20.01'!$D:$D)*1.2</f>
        <v>0</v>
      </c>
      <c r="AP86" s="17">
        <f>SUMIF('20.01'!$M:$M,$B:$B,'20.01'!$D:$D)*1.2</f>
        <v>0</v>
      </c>
      <c r="AQ86" s="110">
        <f t="shared" si="130"/>
        <v>989.81611395621655</v>
      </c>
      <c r="AR86" s="17">
        <f t="shared" si="131"/>
        <v>989.81611395621655</v>
      </c>
      <c r="AS86" s="17">
        <f>(SUMIF('20.01'!$N:$N,$B:$B,'20.01'!$D:$D)+SUMIF('20.01'!$O:$O,$B:$B,'20.01'!$D:$D))*1.2</f>
        <v>0</v>
      </c>
      <c r="AT86" s="110">
        <f>SUMIF('20.01'!$P:$P,$B:$B,'20.01'!$D:$D)*1.2</f>
        <v>0</v>
      </c>
      <c r="AU86" s="110">
        <f t="shared" si="132"/>
        <v>0</v>
      </c>
      <c r="AV86" s="17">
        <f>SUMIF('20.01'!$Q:$Q,$B:$B,'20.01'!$D:$D)*1.2</f>
        <v>0</v>
      </c>
      <c r="AW86" s="17">
        <f>SUMIF('20.01'!$R:$R,$B:$B,'20.01'!$D:$D)*1.2</f>
        <v>0</v>
      </c>
      <c r="AX86" s="110">
        <f t="shared" si="133"/>
        <v>0</v>
      </c>
      <c r="AY86" s="17">
        <f>SUMIF('20.01'!$S:$S,$B:$B,'20.01'!$D:$D)*1.2</f>
        <v>0</v>
      </c>
      <c r="AZ86" s="17">
        <f>SUMIF('20.01'!$T:$T,$B:$B,'20.01'!$D:$D)*1.2</f>
        <v>0</v>
      </c>
      <c r="BA86" s="110">
        <f t="shared" si="134"/>
        <v>0</v>
      </c>
      <c r="BB86" s="17">
        <f>SUMIF('20.01'!$U:$U,$B:$B,'20.01'!$D:$D)*1.2</f>
        <v>0</v>
      </c>
      <c r="BC86" s="17">
        <f>SUMIF('20.01'!$V:$V,$B:$B,'20.01'!$D:$D)*1.2</f>
        <v>0</v>
      </c>
      <c r="BD86" s="17">
        <f>SUMIF('20.01'!$W:$W,$B:$B,'20.01'!$D:$D)*1.2</f>
        <v>0</v>
      </c>
      <c r="BE86" s="110">
        <f>SUMIF('20.01'!$X:$X,$B:$B,'20.01'!$D:$D)*1.2</f>
        <v>0</v>
      </c>
      <c r="BF86" s="110">
        <f t="shared" si="135"/>
        <v>0</v>
      </c>
      <c r="BG86" s="17">
        <f>SUMIF('20.01'!$Y:$Y,$B:$B,'20.01'!$D:$D)*1.2</f>
        <v>0</v>
      </c>
      <c r="BH86" s="17">
        <f>SUMIF('20.01'!$Z:$Z,$B:$B,'20.01'!$D:$D)*1.2</f>
        <v>0</v>
      </c>
      <c r="BI86" s="17">
        <f>SUMIF('20.01'!$AA:$AA,$B:$B,'20.01'!$D:$D)*1.2</f>
        <v>0</v>
      </c>
      <c r="BJ86" s="17">
        <f>SUMIF('20.01'!$AB:$AB,$B:$B,'20.01'!$D:$D)*1.2</f>
        <v>0</v>
      </c>
      <c r="BK86" s="17">
        <f>SUMIF('20.01'!$AC:$AC,$B:$B,'20.01'!$D:$D)*1.2</f>
        <v>0</v>
      </c>
      <c r="BL86" s="17">
        <f>SUMIF('20.01'!$AD:$AD,$B:$B,'20.01'!$D:$D)*1.2</f>
        <v>0</v>
      </c>
      <c r="BM86" s="110">
        <f t="shared" si="136"/>
        <v>0</v>
      </c>
      <c r="BN86" s="17">
        <f>SUMIF('20.01'!$AE:$AE,$B:$B,'20.01'!$D:$D)*1.2</f>
        <v>0</v>
      </c>
      <c r="BO86" s="17">
        <f>SUMIF('20.01'!$AF:$AF,$B:$B,'20.01'!$D:$D)*1.2</f>
        <v>0</v>
      </c>
      <c r="BP86" s="110">
        <f>SUMIF('20.01'!$AG:$AG,$B:$B,'20.01'!$D:$D)*1.2</f>
        <v>0</v>
      </c>
      <c r="BQ86" s="110">
        <f>SUMIF('20.01'!$AH:$AH,$B:$B,'20.01'!$D:$D)*1.2</f>
        <v>0</v>
      </c>
      <c r="BR86" s="110">
        <f>SUMIF('20.01'!$AI:$AI,$B:$B,'20.01'!$D:$D)*1.2</f>
        <v>0</v>
      </c>
      <c r="BS86" s="110">
        <f t="shared" si="137"/>
        <v>0</v>
      </c>
      <c r="BT86" s="17">
        <f>SUMIF('20.01'!$AJ:$AJ,$B:$B,'20.01'!$D:$D)*1.2</f>
        <v>0</v>
      </c>
      <c r="BU86" s="17">
        <f>SUMIF('20.01'!$AK:$AK,$B:$B,'20.01'!$D:$D)*1.2</f>
        <v>0</v>
      </c>
      <c r="BV86" s="110">
        <f>SUMIF('20.01'!$AL:$AL,$B:$B,'20.01'!$D:$D)*1.2</f>
        <v>0</v>
      </c>
      <c r="BW86" s="110">
        <f>SUMIF('20.01'!$AM:$AM,$B:$B,'20.01'!$D:$D)*1.2</f>
        <v>0</v>
      </c>
      <c r="BX86" s="110">
        <f>SUMIF('20.01'!$AN:$AN,$B:$B,'20.01'!$D:$D)*1.2</f>
        <v>0</v>
      </c>
      <c r="BY86" s="110">
        <f t="shared" si="87"/>
        <v>410924.1395443363</v>
      </c>
      <c r="BZ86" s="17">
        <f t="shared" si="82"/>
        <v>215939.83765037969</v>
      </c>
      <c r="CA86" s="17">
        <f t="shared" si="88"/>
        <v>21854.232640520815</v>
      </c>
      <c r="CB86" s="17">
        <f t="shared" si="89"/>
        <v>1452.7574569121944</v>
      </c>
      <c r="CC86" s="17">
        <f>SUMIF('20.01'!$AO:$AO,$B:$B,'20.01'!$D:$D)*1.2</f>
        <v>0</v>
      </c>
      <c r="CD86" s="17">
        <f t="shared" si="90"/>
        <v>22806.816579030507</v>
      </c>
      <c r="CE86" s="17">
        <f>SUMIF('20.01'!$AQ:$AQ,$B:$B,'20.01'!$D:$D)*1.2</f>
        <v>0</v>
      </c>
      <c r="CF86" s="17">
        <f t="shared" si="91"/>
        <v>2075.0597792888711</v>
      </c>
      <c r="CG86" s="17">
        <f>SUMIF('20.01'!$AR:$AR,$B:$B,'20.01'!$D:$D)*1.2</f>
        <v>144363.576</v>
      </c>
      <c r="CH86" s="17">
        <f t="shared" si="92"/>
        <v>1222.0596411507111</v>
      </c>
      <c r="CI86" s="17">
        <f>SUMIF('20.01'!$AT:$AT,$B:$B,'20.01'!$D:$D)*1.2</f>
        <v>0</v>
      </c>
      <c r="CJ86" s="17">
        <f>SUMIF('20.01'!$AU:$AU,$B:$B,'20.01'!$D:$D)*1.2</f>
        <v>0</v>
      </c>
      <c r="CK86" s="17">
        <f>SUMIF('20.01'!$AV:$AV,$B:$B,'20.01'!$D:$D)*1.2</f>
        <v>0</v>
      </c>
      <c r="CL86" s="17">
        <f t="shared" si="93"/>
        <v>1209.7997970534802</v>
      </c>
      <c r="CM86" s="17">
        <f>SUMIF('20.01'!$AW:$AW,$B:$B,'20.01'!$D:$D)*1.2</f>
        <v>0</v>
      </c>
      <c r="CN86" s="17">
        <f>SUMIF('20.01'!$AX:$AX,$B:$B,'20.01'!$D:$D)*1.2</f>
        <v>0</v>
      </c>
      <c r="CO86" s="110">
        <f t="shared" si="138"/>
        <v>405841.15881983622</v>
      </c>
      <c r="CP86" s="17">
        <f t="shared" si="139"/>
        <v>320144.29885633558</v>
      </c>
      <c r="CQ86" s="17">
        <f t="shared" si="94"/>
        <v>98768.921267762416</v>
      </c>
      <c r="CR86" s="17">
        <f t="shared" si="95"/>
        <v>221375.37758857314</v>
      </c>
      <c r="CS86" s="17">
        <f t="shared" si="140"/>
        <v>85696.859963500625</v>
      </c>
      <c r="CT86" s="17">
        <f t="shared" si="96"/>
        <v>3122.0117839681111</v>
      </c>
      <c r="CU86" s="17">
        <f t="shared" si="97"/>
        <v>3019.7143770261573</v>
      </c>
      <c r="CV86" s="17">
        <f t="shared" si="98"/>
        <v>3120.9408076862319</v>
      </c>
      <c r="CW86" s="17">
        <f t="shared" si="99"/>
        <v>32.726500663905227</v>
      </c>
      <c r="CX86" s="17">
        <f t="shared" si="100"/>
        <v>46082.203145149702</v>
      </c>
      <c r="CY86" s="17">
        <f t="shared" si="101"/>
        <v>30319.263349006524</v>
      </c>
      <c r="CZ86" s="110">
        <f t="shared" si="141"/>
        <v>100740.40020032463</v>
      </c>
      <c r="DA86" s="17">
        <f t="shared" si="142"/>
        <v>3805.4070539424688</v>
      </c>
      <c r="DB86" s="17">
        <f t="shared" si="102"/>
        <v>3611.1917019071275</v>
      </c>
      <c r="DC86" s="17">
        <f t="shared" si="103"/>
        <v>194.21535203534131</v>
      </c>
      <c r="DD86" s="17">
        <f t="shared" si="104"/>
        <v>6705.5637415375058</v>
      </c>
      <c r="DE86" s="17">
        <f t="shared" si="105"/>
        <v>2313.5961806072096</v>
      </c>
      <c r="DF86" s="17">
        <f t="shared" si="106"/>
        <v>2807.8712843581638</v>
      </c>
      <c r="DG86" s="17">
        <f t="shared" si="143"/>
        <v>85107.961939879286</v>
      </c>
      <c r="DH86" s="110">
        <f t="shared" si="144"/>
        <v>62869.879285750118</v>
      </c>
      <c r="DI86" s="17">
        <f t="shared" si="107"/>
        <v>56396.845067000155</v>
      </c>
      <c r="DJ86" s="17">
        <f t="shared" si="108"/>
        <v>6237.1596737030404</v>
      </c>
      <c r="DK86" s="17">
        <f t="shared" si="109"/>
        <v>235.87454504692198</v>
      </c>
      <c r="DL86" s="110">
        <f t="shared" si="145"/>
        <v>373763.72843600356</v>
      </c>
      <c r="DM86" s="17">
        <f t="shared" si="110"/>
        <v>198094.77607108187</v>
      </c>
      <c r="DN86" s="17">
        <f t="shared" si="111"/>
        <v>175668.95236492169</v>
      </c>
      <c r="DO86" s="17">
        <f t="shared" si="112"/>
        <v>0</v>
      </c>
      <c r="DP86" s="110">
        <f t="shared" si="146"/>
        <v>0</v>
      </c>
      <c r="DQ86" s="17">
        <f>SUMIF('20.01'!$BB:$BB,$B:$B,'20.01'!$D:$D)*1.2</f>
        <v>0</v>
      </c>
      <c r="DR86" s="17">
        <f t="shared" si="113"/>
        <v>0</v>
      </c>
      <c r="DS86" s="17">
        <f t="shared" si="114"/>
        <v>0</v>
      </c>
      <c r="DT86" s="110">
        <f t="shared" si="147"/>
        <v>7586.0159999999996</v>
      </c>
      <c r="DU86" s="17">
        <f>SUMIF('20.01'!$BD:$BD,$B:$B,'20.01'!$D:$D)*1.2</f>
        <v>7586.0159999999996</v>
      </c>
      <c r="DV86" s="17">
        <f t="shared" si="115"/>
        <v>0</v>
      </c>
      <c r="DW86" s="17">
        <f t="shared" si="116"/>
        <v>0</v>
      </c>
      <c r="DX86" s="110">
        <f t="shared" si="117"/>
        <v>1488587.8525143156</v>
      </c>
      <c r="DY86" s="110"/>
      <c r="DZ86" s="110">
        <f t="shared" si="148"/>
        <v>1488587.8525143156</v>
      </c>
      <c r="EA86" s="257"/>
      <c r="EB86" s="110">
        <f t="shared" si="118"/>
        <v>3546.2168674698792</v>
      </c>
      <c r="EC86" s="110">
        <f>SUMIF(еирц!$B:$B,$B:$B,еирц!$K:$K)</f>
        <v>1178213.5899999999</v>
      </c>
      <c r="ED86" s="110">
        <f>SUMIF(еирц!$B:$B,$B:$B,еирц!$P:$P)</f>
        <v>1080865.33</v>
      </c>
      <c r="EE86" s="110">
        <f>SUMIF(еирц!$B:$B,$B:$B,еирц!$S:$S)</f>
        <v>885957.52999999991</v>
      </c>
      <c r="EF86" s="177">
        <f t="shared" si="149"/>
        <v>-306828.04564684583</v>
      </c>
      <c r="EG86" s="181">
        <f t="shared" si="152"/>
        <v>0</v>
      </c>
      <c r="EH86" s="177">
        <f t="shared" si="150"/>
        <v>-306828.04564684583</v>
      </c>
    </row>
    <row r="87" spans="1:138" ht="12" customHeight="1" x14ac:dyDescent="0.25">
      <c r="A87" s="5">
        <f t="shared" si="151"/>
        <v>83</v>
      </c>
      <c r="B87" s="6" t="s">
        <v>167</v>
      </c>
      <c r="C87" s="7">
        <f t="shared" si="84"/>
        <v>3477.26</v>
      </c>
      <c r="D87" s="8">
        <v>3477.26</v>
      </c>
      <c r="E87" s="8">
        <v>0</v>
      </c>
      <c r="F87" s="8">
        <v>363.6</v>
      </c>
      <c r="G87" s="87">
        <f t="shared" si="85"/>
        <v>3477.26</v>
      </c>
      <c r="H87" s="87">
        <f t="shared" si="86"/>
        <v>3477.26</v>
      </c>
      <c r="I87" s="91">
        <v>0</v>
      </c>
      <c r="J87" s="112">
        <v>0</v>
      </c>
      <c r="K87" s="17">
        <v>4</v>
      </c>
      <c r="L87" s="112">
        <f t="shared" si="119"/>
        <v>9.638554216867469E-3</v>
      </c>
      <c r="M87" s="116">
        <v>3.4064188134044349</v>
      </c>
      <c r="N87" s="120">
        <f t="shared" si="120"/>
        <v>3477.26</v>
      </c>
      <c r="O87" s="116">
        <v>3.086229707688926</v>
      </c>
      <c r="P87" s="120">
        <f t="shared" si="121"/>
        <v>3477.26</v>
      </c>
      <c r="Q87" s="116">
        <v>0</v>
      </c>
      <c r="R87" s="120">
        <f t="shared" si="122"/>
        <v>0</v>
      </c>
      <c r="S87" s="5" t="s">
        <v>143</v>
      </c>
      <c r="T87" s="87">
        <v>28.44</v>
      </c>
      <c r="U87" s="88">
        <v>4.68</v>
      </c>
      <c r="V87" s="88">
        <v>6.05</v>
      </c>
      <c r="W87" s="88">
        <v>8.24</v>
      </c>
      <c r="X87" s="88">
        <v>6.34</v>
      </c>
      <c r="Y87" s="88">
        <v>2.89</v>
      </c>
      <c r="Z87" s="88">
        <v>0</v>
      </c>
      <c r="AA87" s="88">
        <v>0</v>
      </c>
      <c r="AB87" s="88">
        <v>0.24</v>
      </c>
      <c r="AC87" s="257"/>
      <c r="AD87" s="110">
        <f t="shared" si="123"/>
        <v>367814.08878498594</v>
      </c>
      <c r="AE87" s="110">
        <f t="shared" si="124"/>
        <v>105976.91651761715</v>
      </c>
      <c r="AF87" s="16">
        <f>SUMIF('20.01'!$I:$I,$B:$B,'20.01'!$D:$D)*1.2</f>
        <v>46154.412000000004</v>
      </c>
      <c r="AG87" s="17">
        <f t="shared" si="83"/>
        <v>9276.0374836243918</v>
      </c>
      <c r="AH87" s="17">
        <f t="shared" si="125"/>
        <v>2655.2322475759506</v>
      </c>
      <c r="AI87" s="16">
        <f>SUMIF('20.01'!$J:$J,$B:$B,'20.01'!$D:$D)*1.2</f>
        <v>0</v>
      </c>
      <c r="AJ87" s="17">
        <f t="shared" si="126"/>
        <v>1079.0266901623386</v>
      </c>
      <c r="AK87" s="17">
        <f t="shared" si="127"/>
        <v>2625.0322263054468</v>
      </c>
      <c r="AL87" s="17">
        <f t="shared" si="128"/>
        <v>44187.175869949016</v>
      </c>
      <c r="AM87" s="110">
        <f t="shared" si="129"/>
        <v>0</v>
      </c>
      <c r="AN87" s="17">
        <f>SUMIF('20.01'!$K:$K,$B:$B,'20.01'!$D:$D)*1.2</f>
        <v>0</v>
      </c>
      <c r="AO87" s="17">
        <f>SUMIF('20.01'!$L:$L,$B:$B,'20.01'!$D:$D)*1.2</f>
        <v>0</v>
      </c>
      <c r="AP87" s="17">
        <f>SUMIF('20.01'!$M:$M,$B:$B,'20.01'!$D:$D)*1.2</f>
        <v>0</v>
      </c>
      <c r="AQ87" s="110">
        <f t="shared" si="130"/>
        <v>976.80426736881066</v>
      </c>
      <c r="AR87" s="17">
        <f t="shared" si="131"/>
        <v>976.80426736881066</v>
      </c>
      <c r="AS87" s="17">
        <f>(SUMIF('20.01'!$N:$N,$B:$B,'20.01'!$D:$D)+SUMIF('20.01'!$O:$O,$B:$B,'20.01'!$D:$D))*1.2</f>
        <v>0</v>
      </c>
      <c r="AT87" s="110">
        <f>SUMIF('20.01'!$P:$P,$B:$B,'20.01'!$D:$D)*1.2</f>
        <v>0</v>
      </c>
      <c r="AU87" s="110">
        <f t="shared" si="132"/>
        <v>0</v>
      </c>
      <c r="AV87" s="17">
        <f>SUMIF('20.01'!$Q:$Q,$B:$B,'20.01'!$D:$D)*1.2</f>
        <v>0</v>
      </c>
      <c r="AW87" s="17">
        <f>SUMIF('20.01'!$R:$R,$B:$B,'20.01'!$D:$D)*1.2</f>
        <v>0</v>
      </c>
      <c r="AX87" s="110">
        <f t="shared" si="133"/>
        <v>117591.61199999999</v>
      </c>
      <c r="AY87" s="17">
        <f>SUMIF('20.01'!$S:$S,$B:$B,'20.01'!$D:$D)*1.2</f>
        <v>117591.61199999999</v>
      </c>
      <c r="AZ87" s="17">
        <f>SUMIF('20.01'!$T:$T,$B:$B,'20.01'!$D:$D)*1.2</f>
        <v>0</v>
      </c>
      <c r="BA87" s="110">
        <f t="shared" si="134"/>
        <v>143268.75599999999</v>
      </c>
      <c r="BB87" s="17">
        <f>SUMIF('20.01'!$U:$U,$B:$B,'20.01'!$D:$D)*1.2</f>
        <v>143268.75599999999</v>
      </c>
      <c r="BC87" s="17">
        <f>SUMIF('20.01'!$V:$V,$B:$B,'20.01'!$D:$D)*1.2</f>
        <v>0</v>
      </c>
      <c r="BD87" s="17">
        <f>SUMIF('20.01'!$W:$W,$B:$B,'20.01'!$D:$D)*1.2</f>
        <v>0</v>
      </c>
      <c r="BE87" s="110">
        <f>SUMIF('20.01'!$X:$X,$B:$B,'20.01'!$D:$D)*1.2</f>
        <v>0</v>
      </c>
      <c r="BF87" s="110">
        <f t="shared" si="135"/>
        <v>0</v>
      </c>
      <c r="BG87" s="17">
        <f>SUMIF('20.01'!$Y:$Y,$B:$B,'20.01'!$D:$D)*1.2</f>
        <v>0</v>
      </c>
      <c r="BH87" s="17">
        <f>SUMIF('20.01'!$Z:$Z,$B:$B,'20.01'!$D:$D)*1.2</f>
        <v>0</v>
      </c>
      <c r="BI87" s="17">
        <f>SUMIF('20.01'!$AA:$AA,$B:$B,'20.01'!$D:$D)*1.2</f>
        <v>0</v>
      </c>
      <c r="BJ87" s="17">
        <f>SUMIF('20.01'!$AB:$AB,$B:$B,'20.01'!$D:$D)*1.2</f>
        <v>0</v>
      </c>
      <c r="BK87" s="17">
        <f>SUMIF('20.01'!$AC:$AC,$B:$B,'20.01'!$D:$D)*1.2</f>
        <v>0</v>
      </c>
      <c r="BL87" s="17">
        <f>SUMIF('20.01'!$AD:$AD,$B:$B,'20.01'!$D:$D)*1.2</f>
        <v>0</v>
      </c>
      <c r="BM87" s="110">
        <f t="shared" si="136"/>
        <v>0</v>
      </c>
      <c r="BN87" s="17">
        <f>SUMIF('20.01'!$AE:$AE,$B:$B,'20.01'!$D:$D)*1.2</f>
        <v>0</v>
      </c>
      <c r="BO87" s="17">
        <f>SUMIF('20.01'!$AF:$AF,$B:$B,'20.01'!$D:$D)*1.2</f>
        <v>0</v>
      </c>
      <c r="BP87" s="110">
        <f>SUMIF('20.01'!$AG:$AG,$B:$B,'20.01'!$D:$D)*1.2</f>
        <v>0</v>
      </c>
      <c r="BQ87" s="110">
        <f>SUMIF('20.01'!$AH:$AH,$B:$B,'20.01'!$D:$D)*1.2</f>
        <v>0</v>
      </c>
      <c r="BR87" s="110">
        <f>SUMIF('20.01'!$AI:$AI,$B:$B,'20.01'!$D:$D)*1.2</f>
        <v>0</v>
      </c>
      <c r="BS87" s="110">
        <f t="shared" si="137"/>
        <v>0</v>
      </c>
      <c r="BT87" s="17">
        <f>SUMIF('20.01'!$AJ:$AJ,$B:$B,'20.01'!$D:$D)*1.2</f>
        <v>0</v>
      </c>
      <c r="BU87" s="17">
        <f>SUMIF('20.01'!$AK:$AK,$B:$B,'20.01'!$D:$D)*1.2</f>
        <v>0</v>
      </c>
      <c r="BV87" s="110">
        <f>SUMIF('20.01'!$AL:$AL,$B:$B,'20.01'!$D:$D)*1.2</f>
        <v>0</v>
      </c>
      <c r="BW87" s="110">
        <f>SUMIF('20.01'!$AM:$AM,$B:$B,'20.01'!$D:$D)*1.2</f>
        <v>0</v>
      </c>
      <c r="BX87" s="110">
        <f>SUMIF('20.01'!$AN:$AN,$B:$B,'20.01'!$D:$D)*1.2</f>
        <v>0</v>
      </c>
      <c r="BY87" s="110">
        <f t="shared" si="87"/>
        <v>414785.66871620878</v>
      </c>
      <c r="BZ87" s="17">
        <f t="shared" si="82"/>
        <v>213101.15276740116</v>
      </c>
      <c r="CA87" s="17">
        <f t="shared" si="88"/>
        <v>21566.942993085846</v>
      </c>
      <c r="CB87" s="17">
        <f t="shared" si="89"/>
        <v>1433.6599125385255</v>
      </c>
      <c r="CC87" s="17">
        <f>SUMIF('20.01'!$AO:$AO,$B:$B,'20.01'!$D:$D)*1.2</f>
        <v>0</v>
      </c>
      <c r="CD87" s="17">
        <f t="shared" si="90"/>
        <v>22507.004528802987</v>
      </c>
      <c r="CE87" s="17">
        <f>SUMIF('20.01'!$AQ:$AQ,$B:$B,'20.01'!$D:$D)*1.2</f>
        <v>0</v>
      </c>
      <c r="CF87" s="17">
        <f t="shared" si="91"/>
        <v>2047.7816221371504</v>
      </c>
      <c r="CG87" s="17">
        <f>SUMIF('20.01'!$AR:$AR,$B:$B,'20.01'!$D:$D)*1.2</f>
        <v>151729.236</v>
      </c>
      <c r="CH87" s="17">
        <f t="shared" si="92"/>
        <v>1205.9947859244637</v>
      </c>
      <c r="CI87" s="17">
        <f>SUMIF('20.01'!$AT:$AT,$B:$B,'20.01'!$D:$D)*1.2</f>
        <v>0</v>
      </c>
      <c r="CJ87" s="17">
        <f>SUMIF('20.01'!$AU:$AU,$B:$B,'20.01'!$D:$D)*1.2</f>
        <v>0</v>
      </c>
      <c r="CK87" s="17">
        <f>SUMIF('20.01'!$AV:$AV,$B:$B,'20.01'!$D:$D)*1.2</f>
        <v>0</v>
      </c>
      <c r="CL87" s="17">
        <f t="shared" si="93"/>
        <v>1193.8961063186262</v>
      </c>
      <c r="CM87" s="17">
        <f>SUMIF('20.01'!$AW:$AW,$B:$B,'20.01'!$D:$D)*1.2</f>
        <v>0</v>
      </c>
      <c r="CN87" s="17">
        <f>SUMIF('20.01'!$AX:$AX,$B:$B,'20.01'!$D:$D)*1.2</f>
        <v>0</v>
      </c>
      <c r="CO87" s="110">
        <f t="shared" si="138"/>
        <v>400506.08412973845</v>
      </c>
      <c r="CP87" s="17">
        <f t="shared" si="139"/>
        <v>315935.77118759375</v>
      </c>
      <c r="CQ87" s="17">
        <f t="shared" si="94"/>
        <v>97470.532574126191</v>
      </c>
      <c r="CR87" s="17">
        <f t="shared" si="95"/>
        <v>218465.23861346755</v>
      </c>
      <c r="CS87" s="17">
        <f t="shared" si="140"/>
        <v>84570.312942144694</v>
      </c>
      <c r="CT87" s="17">
        <f t="shared" si="96"/>
        <v>3080.9706877439862</v>
      </c>
      <c r="CU87" s="17">
        <f t="shared" si="97"/>
        <v>2980.0180539842936</v>
      </c>
      <c r="CV87" s="17">
        <f t="shared" si="98"/>
        <v>3079.9137902176271</v>
      </c>
      <c r="CW87" s="17">
        <f t="shared" si="99"/>
        <v>32.296287213167034</v>
      </c>
      <c r="CX87" s="17">
        <f t="shared" si="100"/>
        <v>45476.419354322381</v>
      </c>
      <c r="CY87" s="17">
        <f t="shared" si="101"/>
        <v>29920.694768663241</v>
      </c>
      <c r="CZ87" s="110">
        <f t="shared" si="141"/>
        <v>99416.094994460422</v>
      </c>
      <c r="DA87" s="17">
        <f t="shared" si="142"/>
        <v>3755.3822340891907</v>
      </c>
      <c r="DB87" s="17">
        <f t="shared" si="102"/>
        <v>3563.7199829076053</v>
      </c>
      <c r="DC87" s="17">
        <f t="shared" si="103"/>
        <v>191.66225118158548</v>
      </c>
      <c r="DD87" s="17">
        <f t="shared" si="104"/>
        <v>6617.4142706845614</v>
      </c>
      <c r="DE87" s="17">
        <f t="shared" si="105"/>
        <v>2283.1822904484152</v>
      </c>
      <c r="DF87" s="17">
        <f t="shared" si="106"/>
        <v>2770.9597915322684</v>
      </c>
      <c r="DG87" s="17">
        <f t="shared" si="143"/>
        <v>83989.156407705988</v>
      </c>
      <c r="DH87" s="110">
        <f t="shared" si="144"/>
        <v>62043.40938623999</v>
      </c>
      <c r="DI87" s="17">
        <f t="shared" si="107"/>
        <v>55655.46787008582</v>
      </c>
      <c r="DJ87" s="17">
        <f t="shared" si="108"/>
        <v>6155.1677120941304</v>
      </c>
      <c r="DK87" s="17">
        <f t="shared" si="109"/>
        <v>232.77380406003553</v>
      </c>
      <c r="DL87" s="110">
        <f t="shared" si="145"/>
        <v>368850.33469975926</v>
      </c>
      <c r="DM87" s="17">
        <f t="shared" si="110"/>
        <v>195490.67739087241</v>
      </c>
      <c r="DN87" s="17">
        <f t="shared" si="111"/>
        <v>173359.65730888688</v>
      </c>
      <c r="DO87" s="17">
        <f t="shared" si="112"/>
        <v>0</v>
      </c>
      <c r="DP87" s="110">
        <f t="shared" si="146"/>
        <v>0</v>
      </c>
      <c r="DQ87" s="17">
        <f>SUMIF('20.01'!$BB:$BB,$B:$B,'20.01'!$D:$D)*1.2</f>
        <v>0</v>
      </c>
      <c r="DR87" s="17">
        <f t="shared" si="113"/>
        <v>0</v>
      </c>
      <c r="DS87" s="17">
        <f t="shared" si="114"/>
        <v>0</v>
      </c>
      <c r="DT87" s="110">
        <f t="shared" si="147"/>
        <v>7586.0159999999996</v>
      </c>
      <c r="DU87" s="17">
        <f>SUMIF('20.01'!$BD:$BD,$B:$B,'20.01'!$D:$D)*1.2</f>
        <v>7586.0159999999996</v>
      </c>
      <c r="DV87" s="17">
        <f t="shared" si="115"/>
        <v>0</v>
      </c>
      <c r="DW87" s="17">
        <f t="shared" si="116"/>
        <v>0</v>
      </c>
      <c r="DX87" s="110">
        <f t="shared" si="117"/>
        <v>1721001.6967113928</v>
      </c>
      <c r="DY87" s="110"/>
      <c r="DZ87" s="110">
        <f t="shared" si="148"/>
        <v>1721001.6967113928</v>
      </c>
      <c r="EA87" s="257"/>
      <c r="EB87" s="110">
        <f t="shared" si="118"/>
        <v>3546.2168674698792</v>
      </c>
      <c r="EC87" s="110">
        <f>SUMIF(еирц!$B:$B,$B:$B,еирц!$K:$K)</f>
        <v>1164044.8799999999</v>
      </c>
      <c r="ED87" s="110">
        <f>SUMIF(еирц!$B:$B,$B:$B,еирц!$P:$P)</f>
        <v>1056212.24</v>
      </c>
      <c r="EE87" s="110">
        <f>SUMIF(еирц!$B:$B,$B:$B,еирц!$S:$S)</f>
        <v>466989.46</v>
      </c>
      <c r="EF87" s="177">
        <f t="shared" si="149"/>
        <v>-553410.599843923</v>
      </c>
      <c r="EG87" s="181">
        <f t="shared" si="152"/>
        <v>0</v>
      </c>
      <c r="EH87" s="177">
        <f t="shared" si="150"/>
        <v>-553410.599843923</v>
      </c>
    </row>
    <row r="88" spans="1:138" ht="12" customHeight="1" x14ac:dyDescent="0.25">
      <c r="A88" s="5">
        <f t="shared" si="151"/>
        <v>84</v>
      </c>
      <c r="B88" s="6" t="s">
        <v>168</v>
      </c>
      <c r="C88" s="7">
        <f t="shared" si="84"/>
        <v>3071.9</v>
      </c>
      <c r="D88" s="8">
        <v>3071.9</v>
      </c>
      <c r="E88" s="8">
        <v>0</v>
      </c>
      <c r="F88" s="8">
        <v>340.85</v>
      </c>
      <c r="G88" s="87">
        <f t="shared" si="85"/>
        <v>3071.9</v>
      </c>
      <c r="H88" s="87">
        <f t="shared" si="86"/>
        <v>3071.9</v>
      </c>
      <c r="I88" s="91">
        <v>1</v>
      </c>
      <c r="J88" s="112">
        <v>4.7867081509244515E-3</v>
      </c>
      <c r="K88" s="17">
        <v>1</v>
      </c>
      <c r="L88" s="112">
        <f t="shared" si="119"/>
        <v>2.4096385542168672E-3</v>
      </c>
      <c r="M88" s="117">
        <f>3.40641700535111/2</f>
        <v>1.703208502675555</v>
      </c>
      <c r="N88" s="120">
        <f t="shared" si="120"/>
        <v>3071.9</v>
      </c>
      <c r="O88" s="117">
        <f>3.08623205487059/2</f>
        <v>1.5431160274352951</v>
      </c>
      <c r="P88" s="120">
        <f t="shared" si="121"/>
        <v>3071.9</v>
      </c>
      <c r="Q88" s="117">
        <f>1.60092735807001/2</f>
        <v>0.80046367903500504</v>
      </c>
      <c r="R88" s="120">
        <f t="shared" si="122"/>
        <v>3071.9</v>
      </c>
      <c r="S88" s="5" t="s">
        <v>143</v>
      </c>
      <c r="T88" s="87">
        <v>41.34</v>
      </c>
      <c r="U88" s="88">
        <v>4.68</v>
      </c>
      <c r="V88" s="88">
        <v>7.92</v>
      </c>
      <c r="W88" s="88">
        <v>12.32</v>
      </c>
      <c r="X88" s="88">
        <v>6.34</v>
      </c>
      <c r="Y88" s="88">
        <v>2.89</v>
      </c>
      <c r="Z88" s="88">
        <v>1.66</v>
      </c>
      <c r="AA88" s="88">
        <v>5.29</v>
      </c>
      <c r="AB88" s="88">
        <v>0.24</v>
      </c>
      <c r="AC88" s="257"/>
      <c r="AD88" s="110">
        <f t="shared" si="123"/>
        <v>86635.729650097201</v>
      </c>
      <c r="AE88" s="110">
        <f t="shared" si="124"/>
        <v>85772.795895091753</v>
      </c>
      <c r="AF88" s="131">
        <f>SUMIF('20.01'!$I:$I,$B:$B,'20.01'!$D:$D)*1.2/(G88+G89)*G88</f>
        <v>32924.072582003828</v>
      </c>
      <c r="AG88" s="17">
        <f t="shared" si="83"/>
        <v>8194.6876408280568</v>
      </c>
      <c r="AH88" s="17">
        <f t="shared" si="125"/>
        <v>2345.6997582373947</v>
      </c>
      <c r="AI88" s="16">
        <f>SUMIF('20.01'!$J:$J,$B:$B,'20.01'!$D:$D)*1.2</f>
        <v>0</v>
      </c>
      <c r="AJ88" s="17">
        <f t="shared" si="126"/>
        <v>953.23964544201112</v>
      </c>
      <c r="AK88" s="17">
        <f t="shared" si="127"/>
        <v>2319.0202906851086</v>
      </c>
      <c r="AL88" s="17">
        <f t="shared" si="128"/>
        <v>39036.075977895351</v>
      </c>
      <c r="AM88" s="110">
        <f t="shared" si="129"/>
        <v>0</v>
      </c>
      <c r="AN88" s="17">
        <f>SUMIF('20.01'!$K:$K,$B:$B,'20.01'!$D:$D)*1.2</f>
        <v>0</v>
      </c>
      <c r="AO88" s="17">
        <f>SUMIF('20.01'!$L:$L,$B:$B,'20.01'!$D:$D)*1.2</f>
        <v>0</v>
      </c>
      <c r="AP88" s="17">
        <f>SUMIF('20.01'!$M:$M,$B:$B,'20.01'!$D:$D)*1.2</f>
        <v>0</v>
      </c>
      <c r="AQ88" s="110">
        <f t="shared" si="130"/>
        <v>862.93375500544948</v>
      </c>
      <c r="AR88" s="17">
        <f t="shared" si="131"/>
        <v>862.93375500544948</v>
      </c>
      <c r="AS88" s="17">
        <f>(SUMIF('20.01'!$N:$N,$B:$B,'20.01'!$D:$D)+SUMIF('20.01'!$O:$O,$B:$B,'20.01'!$D:$D))*1.2</f>
        <v>0</v>
      </c>
      <c r="AT88" s="110">
        <f>SUMIF('20.01'!$P:$P,$B:$B,'20.01'!$D:$D)*1.2</f>
        <v>0</v>
      </c>
      <c r="AU88" s="110">
        <f t="shared" si="132"/>
        <v>0</v>
      </c>
      <c r="AV88" s="17">
        <f>SUMIF('20.01'!$Q:$Q,$B:$B,'20.01'!$D:$D)*1.2</f>
        <v>0</v>
      </c>
      <c r="AW88" s="17">
        <f>SUMIF('20.01'!$R:$R,$B:$B,'20.01'!$D:$D)*1.2</f>
        <v>0</v>
      </c>
      <c r="AX88" s="110">
        <f t="shared" si="133"/>
        <v>0</v>
      </c>
      <c r="AY88" s="17">
        <f>SUMIF('20.01'!$S:$S,$B:$B,'20.01'!$D:$D)*1.2</f>
        <v>0</v>
      </c>
      <c r="AZ88" s="17">
        <f>SUMIF('20.01'!$T:$T,$B:$B,'20.01'!$D:$D)*1.2</f>
        <v>0</v>
      </c>
      <c r="BA88" s="110">
        <f t="shared" si="134"/>
        <v>0</v>
      </c>
      <c r="BB88" s="17">
        <f>SUMIF('20.01'!$U:$U,$B:$B,'20.01'!$D:$D)*1.2</f>
        <v>0</v>
      </c>
      <c r="BC88" s="17">
        <f>SUMIF('20.01'!$V:$V,$B:$B,'20.01'!$D:$D)*1.2</f>
        <v>0</v>
      </c>
      <c r="BD88" s="17">
        <f>SUMIF('20.01'!$W:$W,$B:$B,'20.01'!$D:$D)*1.2</f>
        <v>0</v>
      </c>
      <c r="BE88" s="110">
        <f>SUMIF('20.01'!$X:$X,$B:$B,'20.01'!$D:$D)*1.2</f>
        <v>0</v>
      </c>
      <c r="BF88" s="110">
        <f t="shared" si="135"/>
        <v>0</v>
      </c>
      <c r="BG88" s="17">
        <f>SUMIF('20.01'!$Y:$Y,$B:$B,'20.01'!$D:$D)*1.2</f>
        <v>0</v>
      </c>
      <c r="BH88" s="17">
        <f>SUMIF('20.01'!$Z:$Z,$B:$B,'20.01'!$D:$D)*1.2</f>
        <v>0</v>
      </c>
      <c r="BI88" s="17">
        <f>SUMIF('20.01'!$AA:$AA,$B:$B,'20.01'!$D:$D)*1.2</f>
        <v>0</v>
      </c>
      <c r="BJ88" s="17">
        <f>SUMIF('20.01'!$AB:$AB,$B:$B,'20.01'!$D:$D)*1.2</f>
        <v>0</v>
      </c>
      <c r="BK88" s="17">
        <f>SUMIF('20.01'!$AC:$AC,$B:$B,'20.01'!$D:$D)*1.2</f>
        <v>0</v>
      </c>
      <c r="BL88" s="17">
        <f>SUMIF('20.01'!$AD:$AD,$B:$B,'20.01'!$D:$D)*1.2</f>
        <v>0</v>
      </c>
      <c r="BM88" s="110">
        <f t="shared" si="136"/>
        <v>0</v>
      </c>
      <c r="BN88" s="17">
        <f>SUMIF('20.01'!$AE:$AE,$B:$B,'20.01'!$D:$D)*1.2</f>
        <v>0</v>
      </c>
      <c r="BO88" s="17">
        <f>SUMIF('20.01'!$AF:$AF,$B:$B,'20.01'!$D:$D)*1.2</f>
        <v>0</v>
      </c>
      <c r="BP88" s="110">
        <f>SUMIF('20.01'!$AG:$AG,$B:$B,'20.01'!$D:$D)*1.2</f>
        <v>0</v>
      </c>
      <c r="BQ88" s="110">
        <f>SUMIF('20.01'!$AH:$AH,$B:$B,'20.01'!$D:$D)*1.2</f>
        <v>0</v>
      </c>
      <c r="BR88" s="110">
        <f>SUMIF('20.01'!$AI:$AI,$B:$B,'20.01'!$D:$D)*1.2</f>
        <v>0</v>
      </c>
      <c r="BS88" s="110">
        <f t="shared" si="137"/>
        <v>0</v>
      </c>
      <c r="BT88" s="17">
        <f>SUMIF('20.01'!$AJ:$AJ,$B:$B,'20.01'!$D:$D)*1.2</f>
        <v>0</v>
      </c>
      <c r="BU88" s="17">
        <f>SUMIF('20.01'!$AK:$AK,$B:$B,'20.01'!$D:$D)*1.2</f>
        <v>0</v>
      </c>
      <c r="BV88" s="110">
        <f>SUMIF('20.01'!$AL:$AL,$B:$B,'20.01'!$D:$D)*1.2</f>
        <v>0</v>
      </c>
      <c r="BW88" s="110">
        <f>SUMIF('20.01'!$AM:$AM,$B:$B,'20.01'!$D:$D)*1.2</f>
        <v>0</v>
      </c>
      <c r="BX88" s="110">
        <f>SUMIF('20.01'!$AN:$AN,$B:$B,'20.01'!$D:$D)*1.2</f>
        <v>0</v>
      </c>
      <c r="BY88" s="110">
        <f t="shared" si="87"/>
        <v>232390.74894052261</v>
      </c>
      <c r="BZ88" s="17">
        <f t="shared" si="82"/>
        <v>188258.98298838153</v>
      </c>
      <c r="CA88" s="17">
        <f t="shared" si="88"/>
        <v>19052.786441180815</v>
      </c>
      <c r="CB88" s="17">
        <f t="shared" si="89"/>
        <v>1266.5316615171416</v>
      </c>
      <c r="CC88" s="17">
        <f>SUMIF('20.01'!$AO:$AO,$B:$B,'20.01'!$D:$D)*1.2</f>
        <v>0</v>
      </c>
      <c r="CD88" s="17">
        <f t="shared" si="90"/>
        <v>19883.26073173415</v>
      </c>
      <c r="CE88" s="17">
        <f>SUMIF('20.01'!$AQ:$AQ,$B:$B,'20.01'!$D:$D)*1.2</f>
        <v>0</v>
      </c>
      <c r="CF88" s="17">
        <f t="shared" si="91"/>
        <v>1809.0624126591374</v>
      </c>
      <c r="CG88" s="17">
        <f>SUMIF('20.01'!$AR:$AR,$B:$B,'20.01'!$D:$D)*1.2</f>
        <v>0</v>
      </c>
      <c r="CH88" s="17">
        <f t="shared" si="92"/>
        <v>1065.4064932968372</v>
      </c>
      <c r="CI88" s="17">
        <f>SUMIF('20.01'!$AT:$AT,$B:$B,'20.01'!$D:$D)*1.2</f>
        <v>0</v>
      </c>
      <c r="CJ88" s="17">
        <f>SUMIF('20.01'!$AU:$AU,$B:$B,'20.01'!$D:$D)*1.2</f>
        <v>0</v>
      </c>
      <c r="CK88" s="17">
        <f>SUMIF('20.01'!$AV:$AV,$B:$B,'20.01'!$D:$D)*1.2</f>
        <v>0</v>
      </c>
      <c r="CL88" s="17">
        <f t="shared" si="93"/>
        <v>1054.7182117529858</v>
      </c>
      <c r="CM88" s="17">
        <f>SUMIF('20.01'!$AW:$AW,$B:$B,'20.01'!$D:$D)*1.2</f>
        <v>0</v>
      </c>
      <c r="CN88" s="17">
        <f>SUMIF('20.01'!$AX:$AX,$B:$B,'20.01'!$D:$D)*1.2</f>
        <v>0</v>
      </c>
      <c r="CO88" s="110">
        <f t="shared" si="138"/>
        <v>353817.2698728721</v>
      </c>
      <c r="CP88" s="17">
        <f t="shared" si="139"/>
        <v>279105.70262539154</v>
      </c>
      <c r="CQ88" s="17">
        <f t="shared" si="94"/>
        <v>86107.94965416973</v>
      </c>
      <c r="CR88" s="17">
        <f t="shared" si="95"/>
        <v>192997.75297122184</v>
      </c>
      <c r="CS88" s="17">
        <f t="shared" si="140"/>
        <v>74711.567247480561</v>
      </c>
      <c r="CT88" s="17">
        <f t="shared" si="96"/>
        <v>2721.80793374115</v>
      </c>
      <c r="CU88" s="17">
        <f t="shared" si="97"/>
        <v>2632.6238072604151</v>
      </c>
      <c r="CV88" s="17">
        <f t="shared" si="98"/>
        <v>2720.8742435623249</v>
      </c>
      <c r="CW88" s="17">
        <f t="shared" si="99"/>
        <v>28.531362247898578</v>
      </c>
      <c r="CX88" s="17">
        <f t="shared" si="100"/>
        <v>40175.026490553748</v>
      </c>
      <c r="CY88" s="17">
        <f t="shared" si="101"/>
        <v>26432.703410115035</v>
      </c>
      <c r="CZ88" s="110">
        <f t="shared" si="141"/>
        <v>87826.70902189739</v>
      </c>
      <c r="DA88" s="17">
        <f t="shared" si="142"/>
        <v>3317.6002613835558</v>
      </c>
      <c r="DB88" s="17">
        <f t="shared" si="102"/>
        <v>3148.2809497977923</v>
      </c>
      <c r="DC88" s="17">
        <f t="shared" si="103"/>
        <v>169.31931158576361</v>
      </c>
      <c r="DD88" s="17">
        <f t="shared" si="104"/>
        <v>5845.9922174688991</v>
      </c>
      <c r="DE88" s="17">
        <f t="shared" si="105"/>
        <v>2017.0213553281853</v>
      </c>
      <c r="DF88" s="17">
        <f t="shared" si="106"/>
        <v>2447.9364164911381</v>
      </c>
      <c r="DG88" s="17">
        <f t="shared" si="143"/>
        <v>74198.158771225615</v>
      </c>
      <c r="DH88" s="110">
        <f t="shared" si="144"/>
        <v>54810.727208661592</v>
      </c>
      <c r="DI88" s="17">
        <f t="shared" si="107"/>
        <v>49167.457063928676</v>
      </c>
      <c r="DJ88" s="17">
        <f t="shared" si="108"/>
        <v>5437.6318408120069</v>
      </c>
      <c r="DK88" s="17">
        <f t="shared" si="109"/>
        <v>205.63830392090989</v>
      </c>
      <c r="DL88" s="110">
        <f t="shared" si="145"/>
        <v>414760.45143501053</v>
      </c>
      <c r="DM88" s="17">
        <f t="shared" si="110"/>
        <v>172701.44075422056</v>
      </c>
      <c r="DN88" s="17">
        <f t="shared" si="111"/>
        <v>153150.33425374277</v>
      </c>
      <c r="DO88" s="17">
        <f t="shared" si="112"/>
        <v>88908.676427047219</v>
      </c>
      <c r="DP88" s="110">
        <f t="shared" si="146"/>
        <v>134795.53755958754</v>
      </c>
      <c r="DQ88" s="108">
        <f>SUMIF('20.01'!$BB:$BB,$B:$B,'20.01'!$D:$D)*1.2/2</f>
        <v>2596.14</v>
      </c>
      <c r="DR88" s="17">
        <f t="shared" si="113"/>
        <v>131226.60430146361</v>
      </c>
      <c r="DS88" s="17">
        <f t="shared" si="114"/>
        <v>972.79325812390266</v>
      </c>
      <c r="DT88" s="110">
        <f t="shared" si="147"/>
        <v>6863.7263280153156</v>
      </c>
      <c r="DU88" s="108">
        <f>(SUMIF('20.01'!$BD:$BD,$B:$B,'20.01'!$D:$D)/(G88+G89)*G88)*1.2</f>
        <v>6863.7263280153156</v>
      </c>
      <c r="DV88" s="17">
        <f t="shared" si="115"/>
        <v>0</v>
      </c>
      <c r="DW88" s="17">
        <f t="shared" si="116"/>
        <v>0</v>
      </c>
      <c r="DX88" s="110">
        <f t="shared" si="117"/>
        <v>1371900.9000166643</v>
      </c>
      <c r="DY88" s="110">
        <f>EC88*EG88</f>
        <v>194214.54419755368</v>
      </c>
      <c r="DZ88" s="110">
        <f t="shared" si="148"/>
        <v>1566115.4442142181</v>
      </c>
      <c r="EA88" s="257"/>
      <c r="EB88" s="110">
        <f t="shared" si="118"/>
        <v>886.55421686746979</v>
      </c>
      <c r="EC88" s="110">
        <f>SUMIF(еирц!$B:$B,$B:$B,еирц!$K:$K)</f>
        <v>1493958.0322888745</v>
      </c>
      <c r="ED88" s="110">
        <f>SUMIF(еирц!$B:$B,$B:$B,еирц!$P:$P)</f>
        <v>1506534.8723356733</v>
      </c>
      <c r="EE88" s="110">
        <f>SUMIF(еирц!$B:$B,$B:$B,еирц!$S:$S)</f>
        <v>311655.30595830671</v>
      </c>
      <c r="EF88" s="177">
        <f t="shared" si="149"/>
        <v>122943.68648907775</v>
      </c>
      <c r="EG88" s="183">
        <v>0.13</v>
      </c>
      <c r="EH88" s="177">
        <f t="shared" si="150"/>
        <v>-71270.857708476018</v>
      </c>
    </row>
    <row r="89" spans="1:138" ht="12" customHeight="1" x14ac:dyDescent="0.25">
      <c r="A89" s="5">
        <f t="shared" si="151"/>
        <v>85</v>
      </c>
      <c r="B89" s="6" t="s">
        <v>169</v>
      </c>
      <c r="C89" s="7">
        <f t="shared" si="84"/>
        <v>3039.4</v>
      </c>
      <c r="D89" s="8">
        <v>3039.4</v>
      </c>
      <c r="E89" s="8">
        <v>0</v>
      </c>
      <c r="F89" s="8">
        <v>337.25</v>
      </c>
      <c r="G89" s="87">
        <f t="shared" si="85"/>
        <v>3039.4</v>
      </c>
      <c r="H89" s="87">
        <f t="shared" si="86"/>
        <v>3039.4</v>
      </c>
      <c r="I89" s="91">
        <v>1</v>
      </c>
      <c r="J89" s="112">
        <v>4.7864081470272418E-3</v>
      </c>
      <c r="K89" s="17">
        <v>1</v>
      </c>
      <c r="L89" s="112">
        <f t="shared" si="119"/>
        <v>2.4096385542168672E-3</v>
      </c>
      <c r="M89" s="117">
        <f>M88</f>
        <v>1.703208502675555</v>
      </c>
      <c r="N89" s="120">
        <f t="shared" si="120"/>
        <v>3039.4</v>
      </c>
      <c r="O89" s="117">
        <f>O88</f>
        <v>1.5431160274352951</v>
      </c>
      <c r="P89" s="120">
        <f t="shared" si="121"/>
        <v>3039.4</v>
      </c>
      <c r="Q89" s="117">
        <f>Q88</f>
        <v>0.80046367903500504</v>
      </c>
      <c r="R89" s="120">
        <f t="shared" si="122"/>
        <v>3039.4</v>
      </c>
      <c r="S89" s="5" t="s">
        <v>143</v>
      </c>
      <c r="T89" s="87">
        <v>41.34</v>
      </c>
      <c r="U89" s="88">
        <v>4.68</v>
      </c>
      <c r="V89" s="88">
        <v>7.92</v>
      </c>
      <c r="W89" s="88">
        <v>12.32</v>
      </c>
      <c r="X89" s="88">
        <v>6.34</v>
      </c>
      <c r="Y89" s="88">
        <v>2.89</v>
      </c>
      <c r="Z89" s="88">
        <v>1.66</v>
      </c>
      <c r="AA89" s="88">
        <v>5.29</v>
      </c>
      <c r="AB89" s="88">
        <v>0.24</v>
      </c>
      <c r="AC89" s="257"/>
      <c r="AD89" s="110">
        <f t="shared" si="123"/>
        <v>85719.143428661555</v>
      </c>
      <c r="AE89" s="110">
        <f t="shared" si="124"/>
        <v>84865.339315583798</v>
      </c>
      <c r="AF89" s="131">
        <f>65499.816/(G88+G89)*G89</f>
        <v>32575.743417996171</v>
      </c>
      <c r="AG89" s="17">
        <f t="shared" si="83"/>
        <v>8107.989718263223</v>
      </c>
      <c r="AH89" s="17">
        <f t="shared" si="125"/>
        <v>2320.8827908417384</v>
      </c>
      <c r="AI89" s="16">
        <f>SUMIF('20.01'!$J:$J,$B:$B,'20.01'!$D:$D)*1.2</f>
        <v>0</v>
      </c>
      <c r="AJ89" s="17">
        <f t="shared" si="126"/>
        <v>943.15458783047904</v>
      </c>
      <c r="AK89" s="17">
        <f t="shared" si="127"/>
        <v>2294.4855859592826</v>
      </c>
      <c r="AL89" s="17">
        <f t="shared" si="128"/>
        <v>38623.083214692902</v>
      </c>
      <c r="AM89" s="110">
        <f t="shared" si="129"/>
        <v>0</v>
      </c>
      <c r="AN89" s="17">
        <f>SUMIF('20.01'!$K:$K,$B:$B,'20.01'!$D:$D)*1.2</f>
        <v>0</v>
      </c>
      <c r="AO89" s="17">
        <f>SUMIF('20.01'!$L:$L,$B:$B,'20.01'!$D:$D)*1.2</f>
        <v>0</v>
      </c>
      <c r="AP89" s="17">
        <f>SUMIF('20.01'!$M:$M,$B:$B,'20.01'!$D:$D)*1.2</f>
        <v>0</v>
      </c>
      <c r="AQ89" s="110">
        <f t="shared" si="130"/>
        <v>853.80411307775751</v>
      </c>
      <c r="AR89" s="17">
        <f t="shared" si="131"/>
        <v>853.80411307775751</v>
      </c>
      <c r="AS89" s="17">
        <f>(SUMIF('20.01'!$N:$N,$B:$B,'20.01'!$D:$D)+SUMIF('20.01'!$O:$O,$B:$B,'20.01'!$D:$D))*1.2</f>
        <v>0</v>
      </c>
      <c r="AT89" s="110">
        <f>SUMIF('20.01'!$P:$P,$B:$B,'20.01'!$D:$D)*1.2</f>
        <v>0</v>
      </c>
      <c r="AU89" s="110">
        <f t="shared" si="132"/>
        <v>0</v>
      </c>
      <c r="AV89" s="17">
        <f>SUMIF('20.01'!$Q:$Q,$B:$B,'20.01'!$D:$D)*1.2</f>
        <v>0</v>
      </c>
      <c r="AW89" s="17">
        <f>SUMIF('20.01'!$R:$R,$B:$B,'20.01'!$D:$D)*1.2</f>
        <v>0</v>
      </c>
      <c r="AX89" s="110">
        <f t="shared" si="133"/>
        <v>0</v>
      </c>
      <c r="AY89" s="17">
        <f>SUMIF('20.01'!$S:$S,$B:$B,'20.01'!$D:$D)*1.2</f>
        <v>0</v>
      </c>
      <c r="AZ89" s="17">
        <f>SUMIF('20.01'!$T:$T,$B:$B,'20.01'!$D:$D)*1.2</f>
        <v>0</v>
      </c>
      <c r="BA89" s="110">
        <f t="shared" si="134"/>
        <v>0</v>
      </c>
      <c r="BB89" s="17">
        <f>SUMIF('20.01'!$U:$U,$B:$B,'20.01'!$D:$D)*1.2</f>
        <v>0</v>
      </c>
      <c r="BC89" s="17">
        <f>SUMIF('20.01'!$V:$V,$B:$B,'20.01'!$D:$D)*1.2</f>
        <v>0</v>
      </c>
      <c r="BD89" s="17">
        <f>SUMIF('20.01'!$W:$W,$B:$B,'20.01'!$D:$D)*1.2</f>
        <v>0</v>
      </c>
      <c r="BE89" s="110">
        <f>SUMIF('20.01'!$X:$X,$B:$B,'20.01'!$D:$D)*1.2</f>
        <v>0</v>
      </c>
      <c r="BF89" s="110">
        <f t="shared" si="135"/>
        <v>0</v>
      </c>
      <c r="BG89" s="17">
        <f>SUMIF('20.01'!$Y:$Y,$B:$B,'20.01'!$D:$D)*1.2</f>
        <v>0</v>
      </c>
      <c r="BH89" s="17">
        <f>SUMIF('20.01'!$Z:$Z,$B:$B,'20.01'!$D:$D)*1.2</f>
        <v>0</v>
      </c>
      <c r="BI89" s="17">
        <f>SUMIF('20.01'!$AA:$AA,$B:$B,'20.01'!$D:$D)*1.2</f>
        <v>0</v>
      </c>
      <c r="BJ89" s="17">
        <f>SUMIF('20.01'!$AB:$AB,$B:$B,'20.01'!$D:$D)*1.2</f>
        <v>0</v>
      </c>
      <c r="BK89" s="17">
        <f>SUMIF('20.01'!$AC:$AC,$B:$B,'20.01'!$D:$D)*1.2</f>
        <v>0</v>
      </c>
      <c r="BL89" s="17">
        <f>SUMIF('20.01'!$AD:$AD,$B:$B,'20.01'!$D:$D)*1.2</f>
        <v>0</v>
      </c>
      <c r="BM89" s="110">
        <f t="shared" si="136"/>
        <v>0</v>
      </c>
      <c r="BN89" s="17">
        <f>SUMIF('20.01'!$AE:$AE,$B:$B,'20.01'!$D:$D)*1.2</f>
        <v>0</v>
      </c>
      <c r="BO89" s="17">
        <f>SUMIF('20.01'!$AF:$AF,$B:$B,'20.01'!$D:$D)*1.2</f>
        <v>0</v>
      </c>
      <c r="BP89" s="110">
        <f>SUMIF('20.01'!$AG:$AG,$B:$B,'20.01'!$D:$D)*1.2</f>
        <v>0</v>
      </c>
      <c r="BQ89" s="110">
        <f>SUMIF('20.01'!$AH:$AH,$B:$B,'20.01'!$D:$D)*1.2</f>
        <v>0</v>
      </c>
      <c r="BR89" s="110">
        <f>SUMIF('20.01'!$AI:$AI,$B:$B,'20.01'!$D:$D)*1.2</f>
        <v>0</v>
      </c>
      <c r="BS89" s="110">
        <f t="shared" si="137"/>
        <v>0</v>
      </c>
      <c r="BT89" s="17">
        <f>SUMIF('20.01'!$AJ:$AJ,$B:$B,'20.01'!$D:$D)*1.2</f>
        <v>0</v>
      </c>
      <c r="BU89" s="17">
        <f>SUMIF('20.01'!$AK:$AK,$B:$B,'20.01'!$D:$D)*1.2</f>
        <v>0</v>
      </c>
      <c r="BV89" s="110">
        <f>SUMIF('20.01'!$AL:$AL,$B:$B,'20.01'!$D:$D)*1.2</f>
        <v>0</v>
      </c>
      <c r="BW89" s="110">
        <f>SUMIF('20.01'!$AM:$AM,$B:$B,'20.01'!$D:$D)*1.2</f>
        <v>0</v>
      </c>
      <c r="BX89" s="110">
        <f>SUMIF('20.01'!$AN:$AN,$B:$B,'20.01'!$D:$D)*1.2</f>
        <v>0</v>
      </c>
      <c r="BY89" s="110">
        <f t="shared" si="87"/>
        <v>229932.10792337786</v>
      </c>
      <c r="BZ89" s="17">
        <f t="shared" si="82"/>
        <v>186267.24596988407</v>
      </c>
      <c r="CA89" s="17">
        <f t="shared" si="88"/>
        <v>18851.212314634256</v>
      </c>
      <c r="CB89" s="17">
        <f t="shared" si="89"/>
        <v>1253.1320459699862</v>
      </c>
      <c r="CC89" s="17">
        <f>SUMIF('20.01'!$AO:$AO,$B:$B,'20.01'!$D:$D)*1.2</f>
        <v>0</v>
      </c>
      <c r="CD89" s="17">
        <f t="shared" si="90"/>
        <v>19672.900376976067</v>
      </c>
      <c r="CE89" s="17">
        <f>SUMIF('20.01'!$AQ:$AQ,$B:$B,'20.01'!$D:$D)*1.2</f>
        <v>0</v>
      </c>
      <c r="CF89" s="17">
        <f t="shared" si="91"/>
        <v>1789.922945745689</v>
      </c>
      <c r="CG89" s="17">
        <f>SUMIF('20.01'!$AR:$AR,$B:$B,'20.01'!$D:$D)*1.2</f>
        <v>0</v>
      </c>
      <c r="CH89" s="17">
        <f t="shared" si="92"/>
        <v>1054.1347360677128</v>
      </c>
      <c r="CI89" s="17">
        <f>SUMIF('20.01'!$AT:$AT,$B:$B,'20.01'!$D:$D)*1.2</f>
        <v>0</v>
      </c>
      <c r="CJ89" s="17">
        <f>SUMIF('20.01'!$AU:$AU,$B:$B,'20.01'!$D:$D)*1.2</f>
        <v>0</v>
      </c>
      <c r="CK89" s="17">
        <f>SUMIF('20.01'!$AV:$AV,$B:$B,'20.01'!$D:$D)*1.2</f>
        <v>0</v>
      </c>
      <c r="CL89" s="17">
        <f t="shared" si="93"/>
        <v>1043.5595341000765</v>
      </c>
      <c r="CM89" s="17">
        <f>SUMIF('20.01'!$AW:$AW,$B:$B,'20.01'!$D:$D)*1.2</f>
        <v>0</v>
      </c>
      <c r="CN89" s="17">
        <f>SUMIF('20.01'!$AX:$AX,$B:$B,'20.01'!$D:$D)*1.2</f>
        <v>0</v>
      </c>
      <c r="CO89" s="110">
        <f t="shared" si="138"/>
        <v>350073.96401302377</v>
      </c>
      <c r="CP89" s="17">
        <f t="shared" si="139"/>
        <v>276152.82807370526</v>
      </c>
      <c r="CQ89" s="17">
        <f t="shared" si="94"/>
        <v>85196.947224481104</v>
      </c>
      <c r="CR89" s="17">
        <f t="shared" si="95"/>
        <v>190955.88084922417</v>
      </c>
      <c r="CS89" s="17">
        <f t="shared" si="140"/>
        <v>73921.135939318483</v>
      </c>
      <c r="CT89" s="17">
        <f t="shared" si="96"/>
        <v>2693.0118277980569</v>
      </c>
      <c r="CU89" s="17">
        <f t="shared" si="97"/>
        <v>2604.7712489948585</v>
      </c>
      <c r="CV89" s="17">
        <f t="shared" si="98"/>
        <v>2692.088015847954</v>
      </c>
      <c r="CW89" s="17">
        <f t="shared" si="99"/>
        <v>28.229506955390129</v>
      </c>
      <c r="CX89" s="17">
        <f t="shared" si="100"/>
        <v>39749.983891203832</v>
      </c>
      <c r="CY89" s="17">
        <f t="shared" si="101"/>
        <v>26153.051448518388</v>
      </c>
      <c r="CZ89" s="110">
        <f t="shared" si="141"/>
        <v>86897.522510874362</v>
      </c>
      <c r="DA89" s="17">
        <f t="shared" si="142"/>
        <v>3282.5008087662945</v>
      </c>
      <c r="DB89" s="17">
        <f t="shared" si="102"/>
        <v>3114.9728568037403</v>
      </c>
      <c r="DC89" s="17">
        <f t="shared" si="103"/>
        <v>167.52795196255411</v>
      </c>
      <c r="DD89" s="17">
        <f t="shared" si="104"/>
        <v>5784.1429557521315</v>
      </c>
      <c r="DE89" s="17">
        <f t="shared" si="105"/>
        <v>1995.6817303247133</v>
      </c>
      <c r="DF89" s="17">
        <f t="shared" si="106"/>
        <v>2422.037808614592</v>
      </c>
      <c r="DG89" s="17">
        <f t="shared" si="143"/>
        <v>73413.159207416626</v>
      </c>
      <c r="DH89" s="110">
        <f t="shared" si="144"/>
        <v>54230.84224030927</v>
      </c>
      <c r="DI89" s="17">
        <f t="shared" si="107"/>
        <v>48647.276604090242</v>
      </c>
      <c r="DJ89" s="17">
        <f t="shared" si="108"/>
        <v>5380.1029385605043</v>
      </c>
      <c r="DK89" s="17">
        <f t="shared" si="109"/>
        <v>203.46269765852193</v>
      </c>
      <c r="DL89" s="110">
        <f t="shared" si="145"/>
        <v>410372.38064115727</v>
      </c>
      <c r="DM89" s="17">
        <f t="shared" si="110"/>
        <v>170874.29897730329</v>
      </c>
      <c r="DN89" s="17">
        <f t="shared" si="111"/>
        <v>151530.03871572178</v>
      </c>
      <c r="DO89" s="17">
        <f t="shared" si="112"/>
        <v>87968.042948132206</v>
      </c>
      <c r="DP89" s="110">
        <f t="shared" si="146"/>
        <v>134787.25204619791</v>
      </c>
      <c r="DQ89" s="108">
        <f>DQ88</f>
        <v>2596.14</v>
      </c>
      <c r="DR89" s="17">
        <f t="shared" si="113"/>
        <v>131218.37975727441</v>
      </c>
      <c r="DS89" s="17">
        <f t="shared" si="114"/>
        <v>972.73228892348038</v>
      </c>
      <c r="DT89" s="110">
        <f t="shared" si="147"/>
        <v>6791.1096719846846</v>
      </c>
      <c r="DU89" s="108">
        <f>(11379.03/(G88+G89)*G89)*1.2</f>
        <v>6791.1096719846846</v>
      </c>
      <c r="DV89" s="17">
        <f t="shared" si="115"/>
        <v>0</v>
      </c>
      <c r="DW89" s="17">
        <f t="shared" si="116"/>
        <v>0</v>
      </c>
      <c r="DX89" s="110">
        <f t="shared" si="117"/>
        <v>1358804.3224755868</v>
      </c>
      <c r="DY89" s="110">
        <f>EC89*EG89</f>
        <v>192159.79870244631</v>
      </c>
      <c r="DZ89" s="110">
        <f t="shared" si="148"/>
        <v>1550964.1211780331</v>
      </c>
      <c r="EA89" s="257"/>
      <c r="EB89" s="110">
        <f t="shared" si="118"/>
        <v>886.55421686746979</v>
      </c>
      <c r="EC89" s="110">
        <f>SUMIF(еирц!$B:$B,$B:$B,еирц!$K:$K)</f>
        <v>1478152.2977111253</v>
      </c>
      <c r="ED89" s="110">
        <f>SUMIF(еирц!$B:$B,$B:$B,еирц!$P:$P)</f>
        <v>1490596.0776643266</v>
      </c>
      <c r="EE89" s="110">
        <f>SUMIF(еирц!$B:$B,$B:$B,еирц!$S:$S)</f>
        <v>308358.06404169323</v>
      </c>
      <c r="EF89" s="177">
        <f t="shared" si="149"/>
        <v>120234.5294524061</v>
      </c>
      <c r="EG89" s="183">
        <v>0.13</v>
      </c>
      <c r="EH89" s="177">
        <f t="shared" si="150"/>
        <v>-71925.269250040175</v>
      </c>
    </row>
    <row r="90" spans="1:138" ht="12" customHeight="1" x14ac:dyDescent="0.25">
      <c r="A90" s="5">
        <f t="shared" si="151"/>
        <v>86</v>
      </c>
      <c r="B90" s="6" t="s">
        <v>170</v>
      </c>
      <c r="C90" s="7">
        <f t="shared" si="84"/>
        <v>8990.7000000000007</v>
      </c>
      <c r="D90" s="8">
        <v>8990.7000000000007</v>
      </c>
      <c r="E90" s="8">
        <v>0</v>
      </c>
      <c r="F90" s="8">
        <v>835.8</v>
      </c>
      <c r="G90" s="87">
        <f t="shared" si="85"/>
        <v>8990.7000000000007</v>
      </c>
      <c r="H90" s="87">
        <f t="shared" si="86"/>
        <v>8990.7000000000007</v>
      </c>
      <c r="I90" s="91">
        <v>6</v>
      </c>
      <c r="J90" s="112">
        <v>1.4118354263574561E-2</v>
      </c>
      <c r="K90" s="17">
        <v>6</v>
      </c>
      <c r="L90" s="112">
        <f t="shared" si="119"/>
        <v>1.4457831325301205E-2</v>
      </c>
      <c r="M90" s="116">
        <v>3.4064172978744702</v>
      </c>
      <c r="N90" s="120">
        <f t="shared" si="120"/>
        <v>8990.7000000000007</v>
      </c>
      <c r="O90" s="116">
        <v>3.0862322355322722</v>
      </c>
      <c r="P90" s="120">
        <f t="shared" si="121"/>
        <v>8990.7000000000007</v>
      </c>
      <c r="Q90" s="116">
        <v>1.6009277497858898</v>
      </c>
      <c r="R90" s="120">
        <f t="shared" si="122"/>
        <v>8990.7000000000007</v>
      </c>
      <c r="S90" s="5" t="s">
        <v>143</v>
      </c>
      <c r="T90" s="87">
        <v>41.34</v>
      </c>
      <c r="U90" s="88">
        <v>4.68</v>
      </c>
      <c r="V90" s="88">
        <v>7.92</v>
      </c>
      <c r="W90" s="88">
        <v>12.32</v>
      </c>
      <c r="X90" s="88">
        <v>6.34</v>
      </c>
      <c r="Y90" s="88">
        <v>2.89</v>
      </c>
      <c r="Z90" s="88">
        <v>1.66</v>
      </c>
      <c r="AA90" s="88">
        <v>5.29</v>
      </c>
      <c r="AB90" s="88">
        <v>0.24</v>
      </c>
      <c r="AC90" s="257"/>
      <c r="AD90" s="110">
        <f t="shared" si="123"/>
        <v>399215.20388362481</v>
      </c>
      <c r="AE90" s="110">
        <f t="shared" si="124"/>
        <v>230591.11583195403</v>
      </c>
      <c r="AF90" s="16">
        <f>SUMIF('20.01'!$I:$I,$B:$B,'20.01'!$D:$D)*1.2</f>
        <v>75915.827999999994</v>
      </c>
      <c r="AG90" s="17">
        <f t="shared" si="83"/>
        <v>23983.846535496861</v>
      </c>
      <c r="AH90" s="17">
        <f t="shared" si="125"/>
        <v>6865.2895004345664</v>
      </c>
      <c r="AI90" s="16">
        <f>SUMIF('20.01'!$J:$J,$B:$B,'20.01'!$D:$D)*1.2</f>
        <v>0</v>
      </c>
      <c r="AJ90" s="17">
        <f t="shared" si="126"/>
        <v>2789.8993067077345</v>
      </c>
      <c r="AK90" s="17">
        <f t="shared" si="127"/>
        <v>6787.2052239534514</v>
      </c>
      <c r="AL90" s="17">
        <f t="shared" si="128"/>
        <v>114249.04726536141</v>
      </c>
      <c r="AM90" s="110">
        <f t="shared" si="129"/>
        <v>6183.5999999999995</v>
      </c>
      <c r="AN90" s="17">
        <f>SUMIF('20.01'!$K:$K,$B:$B,'20.01'!$D:$D)*1.2</f>
        <v>6183.5999999999995</v>
      </c>
      <c r="AO90" s="17">
        <f>SUMIF('20.01'!$L:$L,$B:$B,'20.01'!$D:$D)*1.2</f>
        <v>0</v>
      </c>
      <c r="AP90" s="17">
        <f>SUMIF('20.01'!$M:$M,$B:$B,'20.01'!$D:$D)*1.2</f>
        <v>0</v>
      </c>
      <c r="AQ90" s="110">
        <f t="shared" si="130"/>
        <v>2525.5960516707883</v>
      </c>
      <c r="AR90" s="17">
        <f t="shared" si="131"/>
        <v>2525.5960516707883</v>
      </c>
      <c r="AS90" s="17">
        <f>(SUMIF('20.01'!$N:$N,$B:$B,'20.01'!$D:$D)+SUMIF('20.01'!$O:$O,$B:$B,'20.01'!$D:$D))*1.2</f>
        <v>0</v>
      </c>
      <c r="AT90" s="110">
        <f>SUMIF('20.01'!$P:$P,$B:$B,'20.01'!$D:$D)*1.2</f>
        <v>0</v>
      </c>
      <c r="AU90" s="110">
        <f t="shared" si="132"/>
        <v>0</v>
      </c>
      <c r="AV90" s="17">
        <f>SUMIF('20.01'!$Q:$Q,$B:$B,'20.01'!$D:$D)*1.2</f>
        <v>0</v>
      </c>
      <c r="AW90" s="17">
        <f>SUMIF('20.01'!$R:$R,$B:$B,'20.01'!$D:$D)*1.2</f>
        <v>0</v>
      </c>
      <c r="AX90" s="110">
        <f t="shared" si="133"/>
        <v>0</v>
      </c>
      <c r="AY90" s="17">
        <f>SUMIF('20.01'!$S:$S,$B:$B,'20.01'!$D:$D)*1.2</f>
        <v>0</v>
      </c>
      <c r="AZ90" s="17">
        <f>SUMIF('20.01'!$T:$T,$B:$B,'20.01'!$D:$D)*1.2</f>
        <v>0</v>
      </c>
      <c r="BA90" s="110">
        <f t="shared" si="134"/>
        <v>0</v>
      </c>
      <c r="BB90" s="17">
        <f>SUMIF('20.01'!$U:$U,$B:$B,'20.01'!$D:$D)*1.2</f>
        <v>0</v>
      </c>
      <c r="BC90" s="17">
        <f>SUMIF('20.01'!$V:$V,$B:$B,'20.01'!$D:$D)*1.2</f>
        <v>0</v>
      </c>
      <c r="BD90" s="17">
        <f>SUMIF('20.01'!$W:$W,$B:$B,'20.01'!$D:$D)*1.2</f>
        <v>0</v>
      </c>
      <c r="BE90" s="110">
        <f>SUMIF('20.01'!$X:$X,$B:$B,'20.01'!$D:$D)*1.2</f>
        <v>0</v>
      </c>
      <c r="BF90" s="110">
        <f t="shared" si="135"/>
        <v>159914.89199999999</v>
      </c>
      <c r="BG90" s="17">
        <f>SUMIF('20.01'!$Y:$Y,$B:$B,'20.01'!$D:$D)*1.2</f>
        <v>0</v>
      </c>
      <c r="BH90" s="17">
        <f>SUMIF('20.01'!$Z:$Z,$B:$B,'20.01'!$D:$D)*1.2</f>
        <v>159914.89199999999</v>
      </c>
      <c r="BI90" s="17">
        <f>SUMIF('20.01'!$AA:$AA,$B:$B,'20.01'!$D:$D)*1.2</f>
        <v>0</v>
      </c>
      <c r="BJ90" s="17">
        <f>SUMIF('20.01'!$AB:$AB,$B:$B,'20.01'!$D:$D)*1.2</f>
        <v>0</v>
      </c>
      <c r="BK90" s="17">
        <f>SUMIF('20.01'!$AC:$AC,$B:$B,'20.01'!$D:$D)*1.2</f>
        <v>0</v>
      </c>
      <c r="BL90" s="17">
        <f>SUMIF('20.01'!$AD:$AD,$B:$B,'20.01'!$D:$D)*1.2</f>
        <v>0</v>
      </c>
      <c r="BM90" s="110">
        <f t="shared" si="136"/>
        <v>0</v>
      </c>
      <c r="BN90" s="17">
        <f>SUMIF('20.01'!$AE:$AE,$B:$B,'20.01'!$D:$D)*1.2</f>
        <v>0</v>
      </c>
      <c r="BO90" s="17">
        <f>SUMIF('20.01'!$AF:$AF,$B:$B,'20.01'!$D:$D)*1.2</f>
        <v>0</v>
      </c>
      <c r="BP90" s="110">
        <f>SUMIF('20.01'!$AG:$AG,$B:$B,'20.01'!$D:$D)*1.2</f>
        <v>0</v>
      </c>
      <c r="BQ90" s="110">
        <f>SUMIF('20.01'!$AH:$AH,$B:$B,'20.01'!$D:$D)*1.2</f>
        <v>0</v>
      </c>
      <c r="BR90" s="110">
        <f>SUMIF('20.01'!$AI:$AI,$B:$B,'20.01'!$D:$D)*1.2</f>
        <v>0</v>
      </c>
      <c r="BS90" s="110">
        <f t="shared" si="137"/>
        <v>0</v>
      </c>
      <c r="BT90" s="17">
        <f>SUMIF('20.01'!$AJ:$AJ,$B:$B,'20.01'!$D:$D)*1.2</f>
        <v>0</v>
      </c>
      <c r="BU90" s="17">
        <f>SUMIF('20.01'!$AK:$AK,$B:$B,'20.01'!$D:$D)*1.2</f>
        <v>0</v>
      </c>
      <c r="BV90" s="110">
        <f>SUMIF('20.01'!$AL:$AL,$B:$B,'20.01'!$D:$D)*1.2</f>
        <v>0</v>
      </c>
      <c r="BW90" s="110">
        <f>SUMIF('20.01'!$AM:$AM,$B:$B,'20.01'!$D:$D)*1.2</f>
        <v>0</v>
      </c>
      <c r="BX90" s="110">
        <f>SUMIF('20.01'!$AN:$AN,$B:$B,'20.01'!$D:$D)*1.2</f>
        <v>0</v>
      </c>
      <c r="BY90" s="110">
        <f t="shared" si="87"/>
        <v>680150.88593364262</v>
      </c>
      <c r="BZ90" s="17">
        <f t="shared" si="82"/>
        <v>550988.00037554675</v>
      </c>
      <c r="CA90" s="17">
        <f t="shared" si="88"/>
        <v>55762.846139758578</v>
      </c>
      <c r="CB90" s="17">
        <f t="shared" si="89"/>
        <v>3706.82841537881</v>
      </c>
      <c r="CC90" s="17">
        <f>SUMIF('20.01'!$AO:$AO,$B:$B,'20.01'!$D:$D)*1.2</f>
        <v>0</v>
      </c>
      <c r="CD90" s="17">
        <f t="shared" si="90"/>
        <v>58193.441277646481</v>
      </c>
      <c r="CE90" s="17">
        <f>SUMIF('20.01'!$AQ:$AQ,$B:$B,'20.01'!$D:$D)*1.2</f>
        <v>0</v>
      </c>
      <c r="CF90" s="17">
        <f t="shared" si="91"/>
        <v>5294.6832362689238</v>
      </c>
      <c r="CG90" s="17">
        <f>SUMIF('20.01'!$AR:$AR,$B:$B,'20.01'!$D:$D)*1.2</f>
        <v>0</v>
      </c>
      <c r="CH90" s="17">
        <f t="shared" si="92"/>
        <v>3118.1842375350352</v>
      </c>
      <c r="CI90" s="17">
        <f>SUMIF('20.01'!$AT:$AT,$B:$B,'20.01'!$D:$D)*1.2</f>
        <v>0</v>
      </c>
      <c r="CJ90" s="17">
        <f>SUMIF('20.01'!$AU:$AU,$B:$B,'20.01'!$D:$D)*1.2</f>
        <v>0</v>
      </c>
      <c r="CK90" s="17">
        <f>SUMIF('20.01'!$AV:$AV,$B:$B,'20.01'!$D:$D)*1.2</f>
        <v>0</v>
      </c>
      <c r="CL90" s="17">
        <f t="shared" si="93"/>
        <v>3086.9022515080474</v>
      </c>
      <c r="CM90" s="17">
        <f>SUMIF('20.01'!$AW:$AW,$B:$B,'20.01'!$D:$D)*1.2</f>
        <v>0</v>
      </c>
      <c r="CN90" s="17">
        <f>SUMIF('20.01'!$AX:$AX,$B:$B,'20.01'!$D:$D)*1.2</f>
        <v>0</v>
      </c>
      <c r="CO90" s="110">
        <f t="shared" si="138"/>
        <v>1035536.6152042814</v>
      </c>
      <c r="CP90" s="17">
        <f t="shared" si="139"/>
        <v>816874.13021065411</v>
      </c>
      <c r="CQ90" s="17">
        <f t="shared" si="94"/>
        <v>252016.90906466483</v>
      </c>
      <c r="CR90" s="17">
        <f t="shared" si="95"/>
        <v>564857.22114598926</v>
      </c>
      <c r="CS90" s="17">
        <f t="shared" si="140"/>
        <v>218662.48499362727</v>
      </c>
      <c r="CT90" s="17">
        <f t="shared" si="96"/>
        <v>7966.066144694345</v>
      </c>
      <c r="CU90" s="17">
        <f t="shared" si="97"/>
        <v>7705.046018404315</v>
      </c>
      <c r="CV90" s="17">
        <f t="shared" si="98"/>
        <v>7963.3334618951767</v>
      </c>
      <c r="CW90" s="17">
        <f t="shared" si="99"/>
        <v>83.504319334021872</v>
      </c>
      <c r="CX90" s="17">
        <f t="shared" si="100"/>
        <v>117582.47686077724</v>
      </c>
      <c r="CY90" s="17">
        <f t="shared" si="101"/>
        <v>77362.058188522176</v>
      </c>
      <c r="CZ90" s="110">
        <f t="shared" si="141"/>
        <v>257047.29737399428</v>
      </c>
      <c r="DA90" s="17">
        <f t="shared" si="142"/>
        <v>9709.8045737234734</v>
      </c>
      <c r="DB90" s="17">
        <f t="shared" si="102"/>
        <v>9214.2483594345558</v>
      </c>
      <c r="DC90" s="17">
        <f t="shared" si="103"/>
        <v>495.55621428891732</v>
      </c>
      <c r="DD90" s="17">
        <f t="shared" si="104"/>
        <v>17109.789455905997</v>
      </c>
      <c r="DE90" s="17">
        <f t="shared" si="105"/>
        <v>5903.3282005759038</v>
      </c>
      <c r="DF90" s="17">
        <f t="shared" si="106"/>
        <v>7164.5111949434795</v>
      </c>
      <c r="DG90" s="17">
        <f t="shared" si="143"/>
        <v>217159.86394884542</v>
      </c>
      <c r="DH90" s="110">
        <f t="shared" si="144"/>
        <v>160417.59338354561</v>
      </c>
      <c r="DI90" s="17">
        <f t="shared" si="107"/>
        <v>143901.12185444302</v>
      </c>
      <c r="DJ90" s="17">
        <f t="shared" si="108"/>
        <v>15914.618506848698</v>
      </c>
      <c r="DK90" s="17">
        <f t="shared" si="109"/>
        <v>601.85302225389</v>
      </c>
      <c r="DL90" s="110">
        <f t="shared" si="145"/>
        <v>1213902.4026552783</v>
      </c>
      <c r="DM90" s="17">
        <f t="shared" si="110"/>
        <v>505454.87919169595</v>
      </c>
      <c r="DN90" s="17">
        <f t="shared" si="111"/>
        <v>448233.57211339078</v>
      </c>
      <c r="DO90" s="17">
        <f t="shared" si="112"/>
        <v>260213.95135019158</v>
      </c>
      <c r="DP90" s="110">
        <f t="shared" si="146"/>
        <v>405497.8189543839</v>
      </c>
      <c r="DQ90" s="17">
        <f>SUMIF('20.01'!$BB:$BB,$B:$B,'20.01'!$D:$D)*1.2</f>
        <v>15576.84</v>
      </c>
      <c r="DR90" s="17">
        <f t="shared" si="113"/>
        <v>387051.73365879222</v>
      </c>
      <c r="DS90" s="17">
        <f t="shared" si="114"/>
        <v>2869.2452955916501</v>
      </c>
      <c r="DT90" s="110">
        <f t="shared" si="147"/>
        <v>18775.403999999999</v>
      </c>
      <c r="DU90" s="17">
        <f>SUMIF('20.01'!$BD:$BD,$B:$B,'20.01'!$D:$D)*1.2</f>
        <v>18775.403999999999</v>
      </c>
      <c r="DV90" s="17">
        <f t="shared" si="115"/>
        <v>0</v>
      </c>
      <c r="DW90" s="17">
        <f t="shared" si="116"/>
        <v>0</v>
      </c>
      <c r="DX90" s="110">
        <f t="shared" si="117"/>
        <v>4170543.2213887512</v>
      </c>
      <c r="DY90" s="110">
        <f>EC90*EG90</f>
        <v>349947.11520000006</v>
      </c>
      <c r="DZ90" s="110">
        <f t="shared" si="148"/>
        <v>4520490.3365887515</v>
      </c>
      <c r="EA90" s="257"/>
      <c r="EB90" s="110">
        <f t="shared" si="118"/>
        <v>5319.3253012048199</v>
      </c>
      <c r="EC90" s="110">
        <f>SUMIF(еирц!$B:$B,$B:$B,еирц!$K:$K)</f>
        <v>4374338.9400000004</v>
      </c>
      <c r="ED90" s="110">
        <f>SUMIF(еирц!$B:$B,$B:$B,еирц!$P:$P)</f>
        <v>4112146.72</v>
      </c>
      <c r="EE90" s="110">
        <f>SUMIF(еирц!$B:$B,$B:$B,еирц!$S:$S)</f>
        <v>1390131.66</v>
      </c>
      <c r="EF90" s="177">
        <f t="shared" si="149"/>
        <v>209115.04391245404</v>
      </c>
      <c r="EG90" s="182">
        <v>0.08</v>
      </c>
      <c r="EH90" s="177">
        <f t="shared" si="150"/>
        <v>-140832.07128754631</v>
      </c>
    </row>
    <row r="91" spans="1:138" ht="12" customHeight="1" x14ac:dyDescent="0.25">
      <c r="A91" s="5">
        <f t="shared" si="151"/>
        <v>87</v>
      </c>
      <c r="B91" s="6" t="s">
        <v>171</v>
      </c>
      <c r="C91" s="7">
        <f t="shared" si="84"/>
        <v>3242.2</v>
      </c>
      <c r="D91" s="8">
        <v>2712.7</v>
      </c>
      <c r="E91" s="8">
        <v>529.5</v>
      </c>
      <c r="F91" s="8">
        <v>305.5</v>
      </c>
      <c r="G91" s="87">
        <f t="shared" si="85"/>
        <v>3242.2</v>
      </c>
      <c r="H91" s="87">
        <f t="shared" si="86"/>
        <v>3242.2</v>
      </c>
      <c r="I91" s="91">
        <v>0</v>
      </c>
      <c r="J91" s="112">
        <v>0</v>
      </c>
      <c r="K91" s="17">
        <v>4</v>
      </c>
      <c r="L91" s="112">
        <f t="shared" si="119"/>
        <v>9.638554216867469E-3</v>
      </c>
      <c r="M91" s="116">
        <v>3.4064189147683646</v>
      </c>
      <c r="N91" s="120">
        <f t="shared" si="120"/>
        <v>3242.2</v>
      </c>
      <c r="O91" s="116">
        <v>3.0862344509854109</v>
      </c>
      <c r="P91" s="120">
        <f t="shared" si="121"/>
        <v>3242.2</v>
      </c>
      <c r="Q91" s="116">
        <v>0</v>
      </c>
      <c r="R91" s="120">
        <f t="shared" si="122"/>
        <v>0</v>
      </c>
      <c r="S91" s="5" t="s">
        <v>143</v>
      </c>
      <c r="T91" s="87">
        <v>28.44</v>
      </c>
      <c r="U91" s="88">
        <v>4.68</v>
      </c>
      <c r="V91" s="88">
        <v>6.05</v>
      </c>
      <c r="W91" s="88">
        <v>8.24</v>
      </c>
      <c r="X91" s="88">
        <v>6.34</v>
      </c>
      <c r="Y91" s="88">
        <v>2.89</v>
      </c>
      <c r="Z91" s="88">
        <v>0</v>
      </c>
      <c r="AA91" s="88">
        <v>0</v>
      </c>
      <c r="AB91" s="88">
        <v>0.24</v>
      </c>
      <c r="AC91" s="257"/>
      <c r="AD91" s="110">
        <f t="shared" si="123"/>
        <v>115731.56804901602</v>
      </c>
      <c r="AE91" s="110">
        <f t="shared" si="124"/>
        <v>114820.79497030946</v>
      </c>
      <c r="AF91" s="16">
        <f>SUMIF('20.01'!$I:$I,$B:$B,'20.01'!$D:$D)*1.2</f>
        <v>59042.243999999992</v>
      </c>
      <c r="AG91" s="17">
        <f t="shared" si="83"/>
        <v>8648.9847550677823</v>
      </c>
      <c r="AH91" s="17">
        <f t="shared" si="125"/>
        <v>2475.7406673906312</v>
      </c>
      <c r="AI91" s="16">
        <f>SUMIF('20.01'!$J:$J,$B:$B,'20.01'!$D:$D)*1.2</f>
        <v>0</v>
      </c>
      <c r="AJ91" s="17">
        <f t="shared" si="126"/>
        <v>1006.0853473264391</v>
      </c>
      <c r="AK91" s="17">
        <f t="shared" si="127"/>
        <v>2447.5821434484387</v>
      </c>
      <c r="AL91" s="17">
        <f t="shared" si="128"/>
        <v>41200.158057076173</v>
      </c>
      <c r="AM91" s="110">
        <f t="shared" si="129"/>
        <v>0</v>
      </c>
      <c r="AN91" s="17">
        <f>SUMIF('20.01'!$K:$K,$B:$B,'20.01'!$D:$D)*1.2</f>
        <v>0</v>
      </c>
      <c r="AO91" s="17">
        <f>SUMIF('20.01'!$L:$L,$B:$B,'20.01'!$D:$D)*1.2</f>
        <v>0</v>
      </c>
      <c r="AP91" s="17">
        <f>SUMIF('20.01'!$M:$M,$B:$B,'20.01'!$D:$D)*1.2</f>
        <v>0</v>
      </c>
      <c r="AQ91" s="110">
        <f t="shared" si="130"/>
        <v>910.77307870655557</v>
      </c>
      <c r="AR91" s="17">
        <f t="shared" si="131"/>
        <v>910.77307870655557</v>
      </c>
      <c r="AS91" s="17">
        <f>(SUMIF('20.01'!$N:$N,$B:$B,'20.01'!$D:$D)+SUMIF('20.01'!$O:$O,$B:$B,'20.01'!$D:$D))*1.2</f>
        <v>0</v>
      </c>
      <c r="AT91" s="110">
        <f>SUMIF('20.01'!$P:$P,$B:$B,'20.01'!$D:$D)*1.2</f>
        <v>0</v>
      </c>
      <c r="AU91" s="110">
        <f t="shared" si="132"/>
        <v>0</v>
      </c>
      <c r="AV91" s="17">
        <f>SUMIF('20.01'!$Q:$Q,$B:$B,'20.01'!$D:$D)*1.2</f>
        <v>0</v>
      </c>
      <c r="AW91" s="17">
        <f>SUMIF('20.01'!$R:$R,$B:$B,'20.01'!$D:$D)*1.2</f>
        <v>0</v>
      </c>
      <c r="AX91" s="110">
        <f t="shared" si="133"/>
        <v>0</v>
      </c>
      <c r="AY91" s="17">
        <f>SUMIF('20.01'!$S:$S,$B:$B,'20.01'!$D:$D)*1.2</f>
        <v>0</v>
      </c>
      <c r="AZ91" s="17">
        <f>SUMIF('20.01'!$T:$T,$B:$B,'20.01'!$D:$D)*1.2</f>
        <v>0</v>
      </c>
      <c r="BA91" s="110">
        <f t="shared" si="134"/>
        <v>0</v>
      </c>
      <c r="BB91" s="17">
        <f>SUMIF('20.01'!$U:$U,$B:$B,'20.01'!$D:$D)*1.2</f>
        <v>0</v>
      </c>
      <c r="BC91" s="17">
        <f>SUMIF('20.01'!$V:$V,$B:$B,'20.01'!$D:$D)*1.2</f>
        <v>0</v>
      </c>
      <c r="BD91" s="17">
        <f>SUMIF('20.01'!$W:$W,$B:$B,'20.01'!$D:$D)*1.2</f>
        <v>0</v>
      </c>
      <c r="BE91" s="110">
        <f>SUMIF('20.01'!$X:$X,$B:$B,'20.01'!$D:$D)*1.2</f>
        <v>0</v>
      </c>
      <c r="BF91" s="110">
        <f t="shared" si="135"/>
        <v>0</v>
      </c>
      <c r="BG91" s="17">
        <f>SUMIF('20.01'!$Y:$Y,$B:$B,'20.01'!$D:$D)*1.2</f>
        <v>0</v>
      </c>
      <c r="BH91" s="17">
        <f>SUMIF('20.01'!$Z:$Z,$B:$B,'20.01'!$D:$D)*1.2</f>
        <v>0</v>
      </c>
      <c r="BI91" s="17">
        <f>SUMIF('20.01'!$AA:$AA,$B:$B,'20.01'!$D:$D)*1.2</f>
        <v>0</v>
      </c>
      <c r="BJ91" s="17">
        <f>SUMIF('20.01'!$AB:$AB,$B:$B,'20.01'!$D:$D)*1.2</f>
        <v>0</v>
      </c>
      <c r="BK91" s="17">
        <f>SUMIF('20.01'!$AC:$AC,$B:$B,'20.01'!$D:$D)*1.2</f>
        <v>0</v>
      </c>
      <c r="BL91" s="17">
        <f>SUMIF('20.01'!$AD:$AD,$B:$B,'20.01'!$D:$D)*1.2</f>
        <v>0</v>
      </c>
      <c r="BM91" s="110">
        <f t="shared" si="136"/>
        <v>0</v>
      </c>
      <c r="BN91" s="17">
        <f>SUMIF('20.01'!$AE:$AE,$B:$B,'20.01'!$D:$D)*1.2</f>
        <v>0</v>
      </c>
      <c r="BO91" s="17">
        <f>SUMIF('20.01'!$AF:$AF,$B:$B,'20.01'!$D:$D)*1.2</f>
        <v>0</v>
      </c>
      <c r="BP91" s="110">
        <f>SUMIF('20.01'!$AG:$AG,$B:$B,'20.01'!$D:$D)*1.2</f>
        <v>0</v>
      </c>
      <c r="BQ91" s="110">
        <f>SUMIF('20.01'!$AH:$AH,$B:$B,'20.01'!$D:$D)*1.2</f>
        <v>0</v>
      </c>
      <c r="BR91" s="110">
        <f>SUMIF('20.01'!$AI:$AI,$B:$B,'20.01'!$D:$D)*1.2</f>
        <v>0</v>
      </c>
      <c r="BS91" s="110">
        <f t="shared" si="137"/>
        <v>0</v>
      </c>
      <c r="BT91" s="17">
        <f>SUMIF('20.01'!$AJ:$AJ,$B:$B,'20.01'!$D:$D)*1.2</f>
        <v>0</v>
      </c>
      <c r="BU91" s="17">
        <f>SUMIF('20.01'!$AK:$AK,$B:$B,'20.01'!$D:$D)*1.2</f>
        <v>0</v>
      </c>
      <c r="BV91" s="110">
        <f>SUMIF('20.01'!$AL:$AL,$B:$B,'20.01'!$D:$D)*1.2</f>
        <v>0</v>
      </c>
      <c r="BW91" s="110">
        <f>SUMIF('20.01'!$AM:$AM,$B:$B,'20.01'!$D:$D)*1.2</f>
        <v>0</v>
      </c>
      <c r="BX91" s="110">
        <f>SUMIF('20.01'!$AN:$AN,$B:$B,'20.01'!$D:$D)*1.2</f>
        <v>0</v>
      </c>
      <c r="BY91" s="110">
        <f t="shared" si="87"/>
        <v>410880.60387036105</v>
      </c>
      <c r="BZ91" s="17">
        <f t="shared" si="82"/>
        <v>198695.68496530829</v>
      </c>
      <c r="CA91" s="17">
        <f t="shared" si="88"/>
        <v>20109.034864284786</v>
      </c>
      <c r="CB91" s="17">
        <f t="shared" si="89"/>
        <v>1336.7456469842366</v>
      </c>
      <c r="CC91" s="17">
        <f>SUMIF('20.01'!$AO:$AO,$B:$B,'20.01'!$D:$D)*1.2</f>
        <v>0</v>
      </c>
      <c r="CD91" s="17">
        <f t="shared" si="90"/>
        <v>20985.54899066651</v>
      </c>
      <c r="CE91" s="17">
        <f>SUMIF('20.01'!$AQ:$AQ,$B:$B,'20.01'!$D:$D)*1.2</f>
        <v>0</v>
      </c>
      <c r="CF91" s="17">
        <f t="shared" si="91"/>
        <v>1909.3532192856067</v>
      </c>
      <c r="CG91" s="17">
        <f>SUMIF('20.01'!$AR:$AR,$B:$B,'20.01'!$D:$D)*1.2</f>
        <v>165606.576</v>
      </c>
      <c r="CH91" s="17">
        <f t="shared" si="92"/>
        <v>1124.4705011774488</v>
      </c>
      <c r="CI91" s="17">
        <f>SUMIF('20.01'!$AT:$AT,$B:$B,'20.01'!$D:$D)*1.2</f>
        <v>0</v>
      </c>
      <c r="CJ91" s="17">
        <f>SUMIF('20.01'!$AU:$AU,$B:$B,'20.01'!$D:$D)*1.2</f>
        <v>0</v>
      </c>
      <c r="CK91" s="17">
        <f>SUMIF('20.01'!$AV:$AV,$B:$B,'20.01'!$D:$D)*1.2</f>
        <v>0</v>
      </c>
      <c r="CL91" s="17">
        <f t="shared" si="93"/>
        <v>1113.1896826542304</v>
      </c>
      <c r="CM91" s="17">
        <f>SUMIF('20.01'!$AW:$AW,$B:$B,'20.01'!$D:$D)*1.2</f>
        <v>0</v>
      </c>
      <c r="CN91" s="17">
        <f>SUMIF('20.01'!$AX:$AX,$B:$B,'20.01'!$D:$D)*1.2</f>
        <v>0</v>
      </c>
      <c r="CO91" s="110">
        <f t="shared" si="138"/>
        <v>373432.19257847778</v>
      </c>
      <c r="CP91" s="17">
        <f t="shared" si="139"/>
        <v>294578.7652762279</v>
      </c>
      <c r="CQ91" s="17">
        <f t="shared" si="94"/>
        <v>90881.602385738166</v>
      </c>
      <c r="CR91" s="17">
        <f t="shared" si="95"/>
        <v>203697.16289048974</v>
      </c>
      <c r="CS91" s="17">
        <f t="shared" si="140"/>
        <v>78853.427302249911</v>
      </c>
      <c r="CT91" s="17">
        <f t="shared" si="96"/>
        <v>2872.6995288829571</v>
      </c>
      <c r="CU91" s="17">
        <f t="shared" si="97"/>
        <v>2778.5712125719315</v>
      </c>
      <c r="CV91" s="17">
        <f t="shared" si="98"/>
        <v>2871.7140767856272</v>
      </c>
      <c r="CW91" s="17">
        <f t="shared" si="99"/>
        <v>30.113083980642848</v>
      </c>
      <c r="CX91" s="17">
        <f t="shared" si="100"/>
        <v>42402.249711147284</v>
      </c>
      <c r="CY91" s="17">
        <f t="shared" si="101"/>
        <v>27898.079688881462</v>
      </c>
      <c r="CZ91" s="110">
        <f t="shared" si="141"/>
        <v>92695.646339658109</v>
      </c>
      <c r="DA91" s="17">
        <f t="shared" si="142"/>
        <v>3501.5213930980058</v>
      </c>
      <c r="DB91" s="17">
        <f t="shared" si="102"/>
        <v>3322.8153570866243</v>
      </c>
      <c r="DC91" s="17">
        <f t="shared" si="103"/>
        <v>178.70603601138149</v>
      </c>
      <c r="DD91" s="17">
        <f t="shared" si="104"/>
        <v>6170.082348864762</v>
      </c>
      <c r="DE91" s="17">
        <f t="shared" si="105"/>
        <v>2128.8409903463794</v>
      </c>
      <c r="DF91" s="17">
        <f t="shared" si="106"/>
        <v>2583.6451217642393</v>
      </c>
      <c r="DG91" s="17">
        <f t="shared" si="143"/>
        <v>78311.556485584719</v>
      </c>
      <c r="DH91" s="110">
        <f t="shared" si="144"/>
        <v>57849.324442827754</v>
      </c>
      <c r="DI91" s="17">
        <f t="shared" si="107"/>
        <v>51893.202673482054</v>
      </c>
      <c r="DJ91" s="17">
        <f t="shared" si="108"/>
        <v>5739.0832886098788</v>
      </c>
      <c r="DK91" s="17">
        <f t="shared" si="109"/>
        <v>217.03848073582279</v>
      </c>
      <c r="DL91" s="110">
        <f t="shared" si="145"/>
        <v>343916.34653823974</v>
      </c>
      <c r="DM91" s="17">
        <f t="shared" si="110"/>
        <v>182275.66366526703</v>
      </c>
      <c r="DN91" s="17">
        <f t="shared" si="111"/>
        <v>161640.68287297268</v>
      </c>
      <c r="DO91" s="17">
        <f t="shared" si="112"/>
        <v>0</v>
      </c>
      <c r="DP91" s="110">
        <f t="shared" si="146"/>
        <v>0</v>
      </c>
      <c r="DQ91" s="17">
        <f>SUMIF('20.01'!$BB:$BB,$B:$B,'20.01'!$D:$D)*1.2</f>
        <v>0</v>
      </c>
      <c r="DR91" s="17">
        <f t="shared" si="113"/>
        <v>0</v>
      </c>
      <c r="DS91" s="17">
        <f t="shared" si="114"/>
        <v>0</v>
      </c>
      <c r="DT91" s="110">
        <f t="shared" si="147"/>
        <v>7586.0159999999996</v>
      </c>
      <c r="DU91" s="17">
        <f>SUMIF('20.01'!$BD:$BD,$B:$B,'20.01'!$D:$D)*1.2</f>
        <v>7586.0159999999996</v>
      </c>
      <c r="DV91" s="17">
        <f t="shared" si="115"/>
        <v>0</v>
      </c>
      <c r="DW91" s="17">
        <f t="shared" si="116"/>
        <v>0</v>
      </c>
      <c r="DX91" s="110">
        <f t="shared" si="117"/>
        <v>1402091.6978185803</v>
      </c>
      <c r="DY91" s="110"/>
      <c r="DZ91" s="110">
        <f t="shared" si="148"/>
        <v>1402091.6978185803</v>
      </c>
      <c r="EA91" s="257"/>
      <c r="EB91" s="110">
        <f t="shared" si="118"/>
        <v>3546.2168674698792</v>
      </c>
      <c r="EC91" s="110">
        <f>SUMIF(еирц!$B:$B,$B:$B,еирц!$K:$K)</f>
        <v>916262.55</v>
      </c>
      <c r="ED91" s="110">
        <f>SUMIF(еирц!$B:$B,$B:$B,еирц!$P:$P)</f>
        <v>873263.62000000011</v>
      </c>
      <c r="EE91" s="110">
        <f>SUMIF(еирц!$B:$B,$B:$B,еирц!$S:$S)</f>
        <v>291803.41000000003</v>
      </c>
      <c r="EF91" s="177">
        <f t="shared" si="149"/>
        <v>-482282.93095111044</v>
      </c>
      <c r="EG91" s="181">
        <f t="shared" si="152"/>
        <v>0</v>
      </c>
      <c r="EH91" s="177">
        <f t="shared" si="150"/>
        <v>-482282.93095111044</v>
      </c>
    </row>
    <row r="92" spans="1:138" ht="12" customHeight="1" x14ac:dyDescent="0.25">
      <c r="A92" s="5">
        <f t="shared" si="151"/>
        <v>88</v>
      </c>
      <c r="B92" s="6" t="s">
        <v>172</v>
      </c>
      <c r="C92" s="7">
        <f t="shared" si="84"/>
        <v>3473.5</v>
      </c>
      <c r="D92" s="8">
        <v>3473.5</v>
      </c>
      <c r="E92" s="8">
        <v>0</v>
      </c>
      <c r="F92" s="8">
        <v>325.60000000000002</v>
      </c>
      <c r="G92" s="87">
        <f t="shared" si="85"/>
        <v>3473.5</v>
      </c>
      <c r="H92" s="87">
        <f t="shared" si="86"/>
        <v>3473.5</v>
      </c>
      <c r="I92" s="91">
        <v>0</v>
      </c>
      <c r="J92" s="112">
        <v>0</v>
      </c>
      <c r="K92" s="17">
        <v>4</v>
      </c>
      <c r="L92" s="112">
        <f t="shared" si="119"/>
        <v>9.638554216867469E-3</v>
      </c>
      <c r="M92" s="116">
        <v>3.4064198779223775</v>
      </c>
      <c r="N92" s="120">
        <f t="shared" si="120"/>
        <v>3473.5</v>
      </c>
      <c r="O92" s="116">
        <v>3.0862314868133134</v>
      </c>
      <c r="P92" s="120">
        <f t="shared" si="121"/>
        <v>3473.5</v>
      </c>
      <c r="Q92" s="116">
        <v>0</v>
      </c>
      <c r="R92" s="120">
        <f t="shared" si="122"/>
        <v>0</v>
      </c>
      <c r="S92" s="5" t="s">
        <v>143</v>
      </c>
      <c r="T92" s="87">
        <v>28.44</v>
      </c>
      <c r="U92" s="88">
        <v>4.68</v>
      </c>
      <c r="V92" s="88">
        <v>6.05</v>
      </c>
      <c r="W92" s="88">
        <v>8.24</v>
      </c>
      <c r="X92" s="88">
        <v>6.34</v>
      </c>
      <c r="Y92" s="88">
        <v>2.89</v>
      </c>
      <c r="Z92" s="88">
        <v>0</v>
      </c>
      <c r="AA92" s="88">
        <v>0</v>
      </c>
      <c r="AB92" s="88">
        <v>0.24</v>
      </c>
      <c r="AC92" s="257"/>
      <c r="AD92" s="110">
        <f t="shared" si="123"/>
        <v>507301.4938146497</v>
      </c>
      <c r="AE92" s="110">
        <f t="shared" si="124"/>
        <v>141262.20177662387</v>
      </c>
      <c r="AF92" s="16">
        <f>SUMIF('20.01'!$I:$I,$B:$B,'20.01'!$D:$D)*1.2</f>
        <v>81504.384000000005</v>
      </c>
      <c r="AG92" s="17">
        <f t="shared" si="83"/>
        <v>9266.0072008907355</v>
      </c>
      <c r="AH92" s="17">
        <f t="shared" si="125"/>
        <v>2652.3611153480224</v>
      </c>
      <c r="AI92" s="16">
        <f>SUMIF('20.01'!$J:$J,$B:$B,'20.01'!$D:$D)*1.2</f>
        <v>0</v>
      </c>
      <c r="AJ92" s="17">
        <f t="shared" si="126"/>
        <v>1077.8599265740504</v>
      </c>
      <c r="AK92" s="17">
        <f t="shared" si="127"/>
        <v>2622.1937496971664</v>
      </c>
      <c r="AL92" s="17">
        <f t="shared" si="128"/>
        <v>44139.395784113898</v>
      </c>
      <c r="AM92" s="110">
        <f t="shared" si="129"/>
        <v>0</v>
      </c>
      <c r="AN92" s="17">
        <f>SUMIF('20.01'!$K:$K,$B:$B,'20.01'!$D:$D)*1.2</f>
        <v>0</v>
      </c>
      <c r="AO92" s="17">
        <f>SUMIF('20.01'!$L:$L,$B:$B,'20.01'!$D:$D)*1.2</f>
        <v>0</v>
      </c>
      <c r="AP92" s="17">
        <f>SUMIF('20.01'!$M:$M,$B:$B,'20.01'!$D:$D)*1.2</f>
        <v>0</v>
      </c>
      <c r="AQ92" s="110">
        <f t="shared" si="130"/>
        <v>975.7480380257914</v>
      </c>
      <c r="AR92" s="17">
        <f t="shared" si="131"/>
        <v>975.7480380257914</v>
      </c>
      <c r="AS92" s="17">
        <f>(SUMIF('20.01'!$N:$N,$B:$B,'20.01'!$D:$D)+SUMIF('20.01'!$O:$O,$B:$B,'20.01'!$D:$D))*1.2</f>
        <v>0</v>
      </c>
      <c r="AT92" s="110">
        <f>SUMIF('20.01'!$P:$P,$B:$B,'20.01'!$D:$D)*1.2</f>
        <v>0</v>
      </c>
      <c r="AU92" s="110">
        <f t="shared" si="132"/>
        <v>0</v>
      </c>
      <c r="AV92" s="17">
        <f>SUMIF('20.01'!$Q:$Q,$B:$B,'20.01'!$D:$D)*1.2</f>
        <v>0</v>
      </c>
      <c r="AW92" s="17">
        <f>SUMIF('20.01'!$R:$R,$B:$B,'20.01'!$D:$D)*1.2</f>
        <v>0</v>
      </c>
      <c r="AX92" s="110">
        <f t="shared" si="133"/>
        <v>64612.524000000005</v>
      </c>
      <c r="AY92" s="17">
        <f>SUMIF('20.01'!$S:$S,$B:$B,'20.01'!$D:$D)*1.2</f>
        <v>44262</v>
      </c>
      <c r="AZ92" s="17">
        <f>SUMIF('20.01'!$T:$T,$B:$B,'20.01'!$D:$D)*1.2</f>
        <v>20350.524000000001</v>
      </c>
      <c r="BA92" s="110">
        <f t="shared" si="134"/>
        <v>0</v>
      </c>
      <c r="BB92" s="17">
        <f>SUMIF('20.01'!$U:$U,$B:$B,'20.01'!$D:$D)*1.2</f>
        <v>0</v>
      </c>
      <c r="BC92" s="17">
        <f>SUMIF('20.01'!$V:$V,$B:$B,'20.01'!$D:$D)*1.2</f>
        <v>0</v>
      </c>
      <c r="BD92" s="17">
        <f>SUMIF('20.01'!$W:$W,$B:$B,'20.01'!$D:$D)*1.2</f>
        <v>0</v>
      </c>
      <c r="BE92" s="110">
        <f>SUMIF('20.01'!$X:$X,$B:$B,'20.01'!$D:$D)*1.2</f>
        <v>0</v>
      </c>
      <c r="BF92" s="110">
        <f t="shared" si="135"/>
        <v>0</v>
      </c>
      <c r="BG92" s="17">
        <f>SUMIF('20.01'!$Y:$Y,$B:$B,'20.01'!$D:$D)*1.2</f>
        <v>0</v>
      </c>
      <c r="BH92" s="17">
        <f>SUMIF('20.01'!$Z:$Z,$B:$B,'20.01'!$D:$D)*1.2</f>
        <v>0</v>
      </c>
      <c r="BI92" s="17">
        <f>SUMIF('20.01'!$AA:$AA,$B:$B,'20.01'!$D:$D)*1.2</f>
        <v>0</v>
      </c>
      <c r="BJ92" s="17">
        <f>SUMIF('20.01'!$AB:$AB,$B:$B,'20.01'!$D:$D)*1.2</f>
        <v>0</v>
      </c>
      <c r="BK92" s="17">
        <f>SUMIF('20.01'!$AC:$AC,$B:$B,'20.01'!$D:$D)*1.2</f>
        <v>0</v>
      </c>
      <c r="BL92" s="17">
        <f>SUMIF('20.01'!$AD:$AD,$B:$B,'20.01'!$D:$D)*1.2</f>
        <v>0</v>
      </c>
      <c r="BM92" s="110">
        <f t="shared" si="136"/>
        <v>0</v>
      </c>
      <c r="BN92" s="17">
        <f>SUMIF('20.01'!$AE:$AE,$B:$B,'20.01'!$D:$D)*1.2</f>
        <v>0</v>
      </c>
      <c r="BO92" s="17">
        <f>SUMIF('20.01'!$AF:$AF,$B:$B,'20.01'!$D:$D)*1.2</f>
        <v>0</v>
      </c>
      <c r="BP92" s="110">
        <f>SUMIF('20.01'!$AG:$AG,$B:$B,'20.01'!$D:$D)*1.2</f>
        <v>0</v>
      </c>
      <c r="BQ92" s="110">
        <f>SUMIF('20.01'!$AH:$AH,$B:$B,'20.01'!$D:$D)*1.2</f>
        <v>0</v>
      </c>
      <c r="BR92" s="110">
        <f>SUMIF('20.01'!$AI:$AI,$B:$B,'20.01'!$D:$D)*1.2</f>
        <v>0</v>
      </c>
      <c r="BS92" s="110">
        <f t="shared" si="137"/>
        <v>0</v>
      </c>
      <c r="BT92" s="17">
        <f>SUMIF('20.01'!$AJ:$AJ,$B:$B,'20.01'!$D:$D)*1.2</f>
        <v>0</v>
      </c>
      <c r="BU92" s="17">
        <f>SUMIF('20.01'!$AK:$AK,$B:$B,'20.01'!$D:$D)*1.2</f>
        <v>0</v>
      </c>
      <c r="BV92" s="110">
        <f>SUMIF('20.01'!$AL:$AL,$B:$B,'20.01'!$D:$D)*1.2</f>
        <v>300451.02</v>
      </c>
      <c r="BW92" s="110">
        <f>SUMIF('20.01'!$AM:$AM,$B:$B,'20.01'!$D:$D)*1.2</f>
        <v>0</v>
      </c>
      <c r="BX92" s="110">
        <f>SUMIF('20.01'!$AN:$AN,$B:$B,'20.01'!$D:$D)*1.2</f>
        <v>0</v>
      </c>
      <c r="BY92" s="110">
        <f t="shared" si="87"/>
        <v>383532.48686314828</v>
      </c>
      <c r="BZ92" s="17">
        <f t="shared" si="82"/>
        <v>212870.72411541495</v>
      </c>
      <c r="CA92" s="17">
        <f t="shared" si="88"/>
        <v>21543.62241721461</v>
      </c>
      <c r="CB92" s="17">
        <f t="shared" si="89"/>
        <v>1432.1096800936853</v>
      </c>
      <c r="CC92" s="17">
        <f>SUMIF('20.01'!$AO:$AO,$B:$B,'20.01'!$D:$D)*1.2</f>
        <v>0</v>
      </c>
      <c r="CD92" s="17">
        <f t="shared" si="90"/>
        <v>22482.667453914051</v>
      </c>
      <c r="CE92" s="17">
        <f>SUMIF('20.01'!$AQ:$AQ,$B:$B,'20.01'!$D:$D)*1.2</f>
        <v>0</v>
      </c>
      <c r="CF92" s="17">
        <f t="shared" si="91"/>
        <v>2045.5673330419329</v>
      </c>
      <c r="CG92" s="17">
        <f>SUMIF('20.01'!$AR:$AR,$B:$B,'20.01'!$D:$D)*1.2</f>
        <v>120760.5</v>
      </c>
      <c r="CH92" s="17">
        <f t="shared" si="92"/>
        <v>1204.6907303188789</v>
      </c>
      <c r="CI92" s="17">
        <f>SUMIF('20.01'!$AT:$AT,$B:$B,'20.01'!$D:$D)*1.2</f>
        <v>0</v>
      </c>
      <c r="CJ92" s="17">
        <f>SUMIF('20.01'!$AU:$AU,$B:$B,'20.01'!$D:$D)*1.2</f>
        <v>0</v>
      </c>
      <c r="CK92" s="17">
        <f>SUMIF('20.01'!$AV:$AV,$B:$B,'20.01'!$D:$D)*1.2</f>
        <v>0</v>
      </c>
      <c r="CL92" s="17">
        <f t="shared" si="93"/>
        <v>1192.6051331501665</v>
      </c>
      <c r="CM92" s="17">
        <f>SUMIF('20.01'!$AW:$AW,$B:$B,'20.01'!$D:$D)*1.2</f>
        <v>0</v>
      </c>
      <c r="CN92" s="17">
        <f>SUMIF('20.01'!$AX:$AX,$B:$B,'20.01'!$D:$D)*1.2</f>
        <v>0</v>
      </c>
      <c r="CO92" s="110">
        <f t="shared" si="138"/>
        <v>400073.01243641443</v>
      </c>
      <c r="CP92" s="17">
        <f t="shared" si="139"/>
        <v>315594.14631638327</v>
      </c>
      <c r="CQ92" s="17">
        <f t="shared" si="94"/>
        <v>97365.13660072221</v>
      </c>
      <c r="CR92" s="17">
        <f t="shared" si="95"/>
        <v>218229.00971566103</v>
      </c>
      <c r="CS92" s="17">
        <f t="shared" si="140"/>
        <v>84478.866120031176</v>
      </c>
      <c r="CT92" s="17">
        <f t="shared" si="96"/>
        <v>3077.6391997948776</v>
      </c>
      <c r="CU92" s="17">
        <f t="shared" si="97"/>
        <v>2976.7957272434164</v>
      </c>
      <c r="CV92" s="17">
        <f t="shared" si="98"/>
        <v>3076.5834451035953</v>
      </c>
      <c r="CW92" s="17">
        <f t="shared" si="99"/>
        <v>32.261364877787592</v>
      </c>
      <c r="CX92" s="17">
        <f t="shared" si="100"/>
        <v>45427.245195136049</v>
      </c>
      <c r="CY92" s="17">
        <f t="shared" si="101"/>
        <v>29888.341187875445</v>
      </c>
      <c r="CZ92" s="110">
        <f t="shared" si="141"/>
        <v>99308.595262723597</v>
      </c>
      <c r="DA92" s="17">
        <f t="shared" si="142"/>
        <v>3751.3214974171624</v>
      </c>
      <c r="DB92" s="17">
        <f t="shared" si="102"/>
        <v>3559.8664927642931</v>
      </c>
      <c r="DC92" s="17">
        <f t="shared" si="103"/>
        <v>191.45500465286955</v>
      </c>
      <c r="DD92" s="17">
        <f t="shared" si="104"/>
        <v>6610.2587868674827</v>
      </c>
      <c r="DE92" s="17">
        <f t="shared" si="105"/>
        <v>2280.7134599864748</v>
      </c>
      <c r="DF92" s="17">
        <f t="shared" si="106"/>
        <v>2767.9635218210124</v>
      </c>
      <c r="DG92" s="17">
        <f t="shared" si="143"/>
        <v>83898.337996631468</v>
      </c>
      <c r="DH92" s="110">
        <f t="shared" si="144"/>
        <v>61976.321156055223</v>
      </c>
      <c r="DI92" s="17">
        <f t="shared" si="107"/>
        <v>55595.28699227066</v>
      </c>
      <c r="DJ92" s="17">
        <f t="shared" si="108"/>
        <v>6148.5120606336486</v>
      </c>
      <c r="DK92" s="17">
        <f t="shared" si="109"/>
        <v>232.52210315091003</v>
      </c>
      <c r="DL92" s="110">
        <f t="shared" si="145"/>
        <v>368451.49272116949</v>
      </c>
      <c r="DM92" s="17">
        <f t="shared" si="110"/>
        <v>195279.29114221982</v>
      </c>
      <c r="DN92" s="17">
        <f t="shared" si="111"/>
        <v>173172.20157894967</v>
      </c>
      <c r="DO92" s="17">
        <f t="shared" si="112"/>
        <v>0</v>
      </c>
      <c r="DP92" s="110">
        <f t="shared" si="146"/>
        <v>0</v>
      </c>
      <c r="DQ92" s="17">
        <f>SUMIF('20.01'!$BB:$BB,$B:$B,'20.01'!$D:$D)*1.2</f>
        <v>0</v>
      </c>
      <c r="DR92" s="17">
        <f t="shared" si="113"/>
        <v>0</v>
      </c>
      <c r="DS92" s="17">
        <f t="shared" si="114"/>
        <v>0</v>
      </c>
      <c r="DT92" s="110">
        <f t="shared" si="147"/>
        <v>7586.0159999999996</v>
      </c>
      <c r="DU92" s="17">
        <f>SUMIF('20.01'!$BD:$BD,$B:$B,'20.01'!$D:$D)*1.2</f>
        <v>7586.0159999999996</v>
      </c>
      <c r="DV92" s="17">
        <f t="shared" si="115"/>
        <v>0</v>
      </c>
      <c r="DW92" s="17">
        <f t="shared" si="116"/>
        <v>0</v>
      </c>
      <c r="DX92" s="110">
        <f t="shared" si="117"/>
        <v>1828229.4182541606</v>
      </c>
      <c r="DY92" s="110"/>
      <c r="DZ92" s="110">
        <f t="shared" si="148"/>
        <v>1828229.4182541606</v>
      </c>
      <c r="EA92" s="257"/>
      <c r="EB92" s="110">
        <f t="shared" si="118"/>
        <v>3546.2168674698792</v>
      </c>
      <c r="EC92" s="110">
        <f>SUMIF(еирц!$B:$B,$B:$B,еирц!$K:$K)</f>
        <v>1162709.8600000001</v>
      </c>
      <c r="ED92" s="110">
        <f>SUMIF(еирц!$B:$B,$B:$B,еирц!$P:$P)</f>
        <v>1129398.3500000001</v>
      </c>
      <c r="EE92" s="110">
        <f>SUMIF(еирц!$B:$B,$B:$B,еирц!$S:$S)</f>
        <v>430601.89999999997</v>
      </c>
      <c r="EF92" s="177">
        <f t="shared" si="149"/>
        <v>-661973.3413866905</v>
      </c>
      <c r="EG92" s="181">
        <f t="shared" si="152"/>
        <v>0</v>
      </c>
      <c r="EH92" s="177">
        <f t="shared" si="150"/>
        <v>-661973.3413866905</v>
      </c>
    </row>
    <row r="93" spans="1:138" ht="12" customHeight="1" x14ac:dyDescent="0.25">
      <c r="A93" s="5">
        <f t="shared" si="151"/>
        <v>89</v>
      </c>
      <c r="B93" s="6" t="s">
        <v>173</v>
      </c>
      <c r="C93" s="7">
        <f t="shared" si="84"/>
        <v>3480.2</v>
      </c>
      <c r="D93" s="8">
        <v>3480.2</v>
      </c>
      <c r="E93" s="8">
        <v>0</v>
      </c>
      <c r="F93" s="8">
        <v>307.7</v>
      </c>
      <c r="G93" s="87">
        <f t="shared" si="85"/>
        <v>3480.2</v>
      </c>
      <c r="H93" s="87">
        <f t="shared" si="86"/>
        <v>3480.2</v>
      </c>
      <c r="I93" s="91">
        <v>0</v>
      </c>
      <c r="J93" s="112">
        <v>0</v>
      </c>
      <c r="K93" s="17">
        <v>4</v>
      </c>
      <c r="L93" s="112">
        <f t="shared" si="119"/>
        <v>9.638554216867469E-3</v>
      </c>
      <c r="M93" s="116">
        <v>3.4064194045292568</v>
      </c>
      <c r="N93" s="120">
        <f t="shared" si="120"/>
        <v>3480.2</v>
      </c>
      <c r="O93" s="116">
        <v>3.0862309230946092</v>
      </c>
      <c r="P93" s="120">
        <f t="shared" si="121"/>
        <v>3480.2</v>
      </c>
      <c r="Q93" s="116">
        <v>0</v>
      </c>
      <c r="R93" s="120">
        <f t="shared" si="122"/>
        <v>0</v>
      </c>
      <c r="S93" s="5" t="s">
        <v>143</v>
      </c>
      <c r="T93" s="87">
        <v>28.44</v>
      </c>
      <c r="U93" s="88">
        <v>4.68</v>
      </c>
      <c r="V93" s="88">
        <v>6.05</v>
      </c>
      <c r="W93" s="88">
        <v>8.24</v>
      </c>
      <c r="X93" s="88">
        <v>6.34</v>
      </c>
      <c r="Y93" s="88">
        <v>2.89</v>
      </c>
      <c r="Z93" s="88">
        <v>0</v>
      </c>
      <c r="AA93" s="88">
        <v>0</v>
      </c>
      <c r="AB93" s="88">
        <v>0.24</v>
      </c>
      <c r="AC93" s="257"/>
      <c r="AD93" s="110">
        <f t="shared" si="123"/>
        <v>336136.8701926425</v>
      </c>
      <c r="AE93" s="110">
        <f t="shared" si="124"/>
        <v>113073.00804381931</v>
      </c>
      <c r="AF93" s="16">
        <f>SUMIF('20.01'!$I:$I,$B:$B,'20.01'!$D:$D)*1.2</f>
        <v>53199.923999999992</v>
      </c>
      <c r="AG93" s="17">
        <f t="shared" si="83"/>
        <v>9283.880311081024</v>
      </c>
      <c r="AH93" s="17">
        <f t="shared" si="125"/>
        <v>2657.4772286265111</v>
      </c>
      <c r="AI93" s="16">
        <f>SUMIF('20.01'!$J:$J,$B:$B,'20.01'!$D:$D)*1.2</f>
        <v>0</v>
      </c>
      <c r="AJ93" s="17">
        <f t="shared" si="126"/>
        <v>1079.9389999893508</v>
      </c>
      <c r="AK93" s="17">
        <f t="shared" si="127"/>
        <v>2627.251673440644</v>
      </c>
      <c r="AL93" s="17">
        <f t="shared" si="128"/>
        <v>44224.535830681787</v>
      </c>
      <c r="AM93" s="110">
        <f t="shared" si="129"/>
        <v>37735.872000000003</v>
      </c>
      <c r="AN93" s="17">
        <f>SUMIF('20.01'!$K:$K,$B:$B,'20.01'!$D:$D)*1.2</f>
        <v>37735.872000000003</v>
      </c>
      <c r="AO93" s="17">
        <f>SUMIF('20.01'!$L:$L,$B:$B,'20.01'!$D:$D)*1.2</f>
        <v>0</v>
      </c>
      <c r="AP93" s="17">
        <f>SUMIF('20.01'!$M:$M,$B:$B,'20.01'!$D:$D)*1.2</f>
        <v>0</v>
      </c>
      <c r="AQ93" s="110">
        <f t="shared" si="130"/>
        <v>977.63014882319248</v>
      </c>
      <c r="AR93" s="17">
        <f t="shared" si="131"/>
        <v>977.63014882319248</v>
      </c>
      <c r="AS93" s="17">
        <f>(SUMIF('20.01'!$N:$N,$B:$B,'20.01'!$D:$D)+SUMIF('20.01'!$O:$O,$B:$B,'20.01'!$D:$D))*1.2</f>
        <v>0</v>
      </c>
      <c r="AT93" s="110">
        <f>SUMIF('20.01'!$P:$P,$B:$B,'20.01'!$D:$D)*1.2</f>
        <v>0</v>
      </c>
      <c r="AU93" s="110">
        <f t="shared" si="132"/>
        <v>0</v>
      </c>
      <c r="AV93" s="17">
        <f>SUMIF('20.01'!$Q:$Q,$B:$B,'20.01'!$D:$D)*1.2</f>
        <v>0</v>
      </c>
      <c r="AW93" s="17">
        <f>SUMIF('20.01'!$R:$R,$B:$B,'20.01'!$D:$D)*1.2</f>
        <v>0</v>
      </c>
      <c r="AX93" s="110">
        <f t="shared" si="133"/>
        <v>51936.155999999995</v>
      </c>
      <c r="AY93" s="17">
        <f>SUMIF('20.01'!$S:$S,$B:$B,'20.01'!$D:$D)*1.2</f>
        <v>51936.155999999995</v>
      </c>
      <c r="AZ93" s="17">
        <f>SUMIF('20.01'!$T:$T,$B:$B,'20.01'!$D:$D)*1.2</f>
        <v>0</v>
      </c>
      <c r="BA93" s="110">
        <f t="shared" si="134"/>
        <v>0</v>
      </c>
      <c r="BB93" s="17">
        <f>SUMIF('20.01'!$U:$U,$B:$B,'20.01'!$D:$D)*1.2</f>
        <v>0</v>
      </c>
      <c r="BC93" s="17">
        <f>SUMIF('20.01'!$V:$V,$B:$B,'20.01'!$D:$D)*1.2</f>
        <v>0</v>
      </c>
      <c r="BD93" s="17">
        <f>SUMIF('20.01'!$W:$W,$B:$B,'20.01'!$D:$D)*1.2</f>
        <v>0</v>
      </c>
      <c r="BE93" s="110">
        <f>SUMIF('20.01'!$X:$X,$B:$B,'20.01'!$D:$D)*1.2</f>
        <v>0</v>
      </c>
      <c r="BF93" s="110">
        <f t="shared" si="135"/>
        <v>113494.60799999999</v>
      </c>
      <c r="BG93" s="17">
        <f>SUMIF('20.01'!$Y:$Y,$B:$B,'20.01'!$D:$D)*1.2</f>
        <v>0</v>
      </c>
      <c r="BH93" s="17">
        <f>SUMIF('20.01'!$Z:$Z,$B:$B,'20.01'!$D:$D)*1.2</f>
        <v>113494.60799999999</v>
      </c>
      <c r="BI93" s="17">
        <f>SUMIF('20.01'!$AA:$AA,$B:$B,'20.01'!$D:$D)*1.2</f>
        <v>0</v>
      </c>
      <c r="BJ93" s="17">
        <f>SUMIF('20.01'!$AB:$AB,$B:$B,'20.01'!$D:$D)*1.2</f>
        <v>0</v>
      </c>
      <c r="BK93" s="17">
        <f>SUMIF('20.01'!$AC:$AC,$B:$B,'20.01'!$D:$D)*1.2</f>
        <v>0</v>
      </c>
      <c r="BL93" s="17">
        <f>SUMIF('20.01'!$AD:$AD,$B:$B,'20.01'!$D:$D)*1.2</f>
        <v>0</v>
      </c>
      <c r="BM93" s="110">
        <f t="shared" si="136"/>
        <v>0</v>
      </c>
      <c r="BN93" s="17">
        <f>SUMIF('20.01'!$AE:$AE,$B:$B,'20.01'!$D:$D)*1.2</f>
        <v>0</v>
      </c>
      <c r="BO93" s="17">
        <f>SUMIF('20.01'!$AF:$AF,$B:$B,'20.01'!$D:$D)*1.2</f>
        <v>0</v>
      </c>
      <c r="BP93" s="110">
        <f>SUMIF('20.01'!$AG:$AG,$B:$B,'20.01'!$D:$D)*1.2</f>
        <v>0</v>
      </c>
      <c r="BQ93" s="110">
        <f>SUMIF('20.01'!$AH:$AH,$B:$B,'20.01'!$D:$D)*1.2</f>
        <v>0</v>
      </c>
      <c r="BR93" s="110">
        <f>SUMIF('20.01'!$AI:$AI,$B:$B,'20.01'!$D:$D)*1.2</f>
        <v>0</v>
      </c>
      <c r="BS93" s="110">
        <f t="shared" si="137"/>
        <v>18919.595999999998</v>
      </c>
      <c r="BT93" s="17">
        <f>SUMIF('20.01'!$AJ:$AJ,$B:$B,'20.01'!$D:$D)*1.2</f>
        <v>4940.7240000000002</v>
      </c>
      <c r="BU93" s="17">
        <f>SUMIF('20.01'!$AK:$AK,$B:$B,'20.01'!$D:$D)*1.2</f>
        <v>13978.871999999999</v>
      </c>
      <c r="BV93" s="110">
        <f>SUMIF('20.01'!$AL:$AL,$B:$B,'20.01'!$D:$D)*1.2</f>
        <v>0</v>
      </c>
      <c r="BW93" s="110">
        <f>SUMIF('20.01'!$AM:$AM,$B:$B,'20.01'!$D:$D)*1.2</f>
        <v>0</v>
      </c>
      <c r="BX93" s="110">
        <f>SUMIF('20.01'!$AN:$AN,$B:$B,'20.01'!$D:$D)*1.2</f>
        <v>0</v>
      </c>
      <c r="BY93" s="110">
        <f t="shared" si="87"/>
        <v>408692.3491651442</v>
      </c>
      <c r="BZ93" s="17">
        <f t="shared" si="82"/>
        <v>213281.32836230521</v>
      </c>
      <c r="CA93" s="17">
        <f t="shared" si="88"/>
        <v>21585.177698687286</v>
      </c>
      <c r="CB93" s="17">
        <f t="shared" si="89"/>
        <v>1434.8720623757142</v>
      </c>
      <c r="CC93" s="17">
        <f>SUMIF('20.01'!$AO:$AO,$B:$B,'20.01'!$D:$D)*1.2</f>
        <v>0</v>
      </c>
      <c r="CD93" s="17">
        <f t="shared" si="90"/>
        <v>22526.034050125716</v>
      </c>
      <c r="CE93" s="17">
        <f>SUMIF('20.01'!$AQ:$AQ,$B:$B,'20.01'!$D:$D)*1.2</f>
        <v>0</v>
      </c>
      <c r="CF93" s="17">
        <f t="shared" si="91"/>
        <v>2049.5130077594745</v>
      </c>
      <c r="CG93" s="17">
        <f>SUMIF('20.01'!$AR:$AR,$B:$B,'20.01'!$D:$D)*1.2</f>
        <v>145413.50399999999</v>
      </c>
      <c r="CH93" s="17">
        <f t="shared" si="92"/>
        <v>1207.0144464245752</v>
      </c>
      <c r="CI93" s="17">
        <f>SUMIF('20.01'!$AT:$AT,$B:$B,'20.01'!$D:$D)*1.2</f>
        <v>0</v>
      </c>
      <c r="CJ93" s="17">
        <f>SUMIF('20.01'!$AU:$AU,$B:$B,'20.01'!$D:$D)*1.2</f>
        <v>0</v>
      </c>
      <c r="CK93" s="17">
        <f>SUMIF('20.01'!$AV:$AV,$B:$B,'20.01'!$D:$D)*1.2</f>
        <v>0</v>
      </c>
      <c r="CL93" s="17">
        <f t="shared" si="93"/>
        <v>1194.9055374663046</v>
      </c>
      <c r="CM93" s="17">
        <f>SUMIF('20.01'!$AW:$AW,$B:$B,'20.01'!$D:$D)*1.2</f>
        <v>0</v>
      </c>
      <c r="CN93" s="17">
        <f>SUMIF('20.01'!$AX:$AX,$B:$B,'20.01'!$D:$D)*1.2</f>
        <v>0</v>
      </c>
      <c r="CO93" s="110">
        <f t="shared" si="138"/>
        <v>400844.7093367523</v>
      </c>
      <c r="CP93" s="17">
        <f t="shared" si="139"/>
        <v>316202.89276242314</v>
      </c>
      <c r="CQ93" s="17">
        <f t="shared" si="94"/>
        <v>97552.943255458013</v>
      </c>
      <c r="CR93" s="17">
        <f t="shared" si="95"/>
        <v>218649.94950696515</v>
      </c>
      <c r="CS93" s="17">
        <f t="shared" si="140"/>
        <v>84641.81657432919</v>
      </c>
      <c r="CT93" s="17">
        <f t="shared" si="96"/>
        <v>3083.5756277892997</v>
      </c>
      <c r="CU93" s="17">
        <f t="shared" si="97"/>
        <v>2982.5376392550847</v>
      </c>
      <c r="CV93" s="17">
        <f t="shared" si="98"/>
        <v>3082.5178366631731</v>
      </c>
      <c r="CW93" s="17">
        <f t="shared" si="99"/>
        <v>32.323593507320105</v>
      </c>
      <c r="CX93" s="17">
        <f t="shared" si="100"/>
        <v>45514.869361771263</v>
      </c>
      <c r="CY93" s="17">
        <f t="shared" si="101"/>
        <v>29945.992515343059</v>
      </c>
      <c r="CZ93" s="110">
        <f t="shared" si="141"/>
        <v>99500.150635765254</v>
      </c>
      <c r="DA93" s="17">
        <f t="shared" si="142"/>
        <v>3758.5573845721055</v>
      </c>
      <c r="DB93" s="17">
        <f t="shared" si="102"/>
        <v>3566.7330842430665</v>
      </c>
      <c r="DC93" s="17">
        <f t="shared" si="103"/>
        <v>191.82430032903886</v>
      </c>
      <c r="DD93" s="17">
        <f t="shared" si="104"/>
        <v>6623.0092500521705</v>
      </c>
      <c r="DE93" s="17">
        <f t="shared" si="105"/>
        <v>2285.1127057564213</v>
      </c>
      <c r="DF93" s="17">
        <f t="shared" si="106"/>
        <v>2773.3026194447925</v>
      </c>
      <c r="DG93" s="17">
        <f t="shared" si="143"/>
        <v>84060.168675939771</v>
      </c>
      <c r="DH93" s="110">
        <f t="shared" si="144"/>
        <v>62095.866672607845</v>
      </c>
      <c r="DI93" s="17">
        <f t="shared" si="107"/>
        <v>55702.524194760423</v>
      </c>
      <c r="DJ93" s="17">
        <f t="shared" si="108"/>
        <v>6160.3718650978044</v>
      </c>
      <c r="DK93" s="17">
        <f t="shared" si="109"/>
        <v>232.97061274961769</v>
      </c>
      <c r="DL93" s="110">
        <f t="shared" si="145"/>
        <v>369162.19518301822</v>
      </c>
      <c r="DM93" s="17">
        <f t="shared" si="110"/>
        <v>195655.96344699967</v>
      </c>
      <c r="DN93" s="17">
        <f t="shared" si="111"/>
        <v>173506.23173601858</v>
      </c>
      <c r="DO93" s="17">
        <f t="shared" si="112"/>
        <v>0</v>
      </c>
      <c r="DP93" s="110">
        <f t="shared" si="146"/>
        <v>0</v>
      </c>
      <c r="DQ93" s="17">
        <f>SUMIF('20.01'!$BB:$BB,$B:$B,'20.01'!$D:$D)*1.2</f>
        <v>0</v>
      </c>
      <c r="DR93" s="17">
        <f t="shared" si="113"/>
        <v>0</v>
      </c>
      <c r="DS93" s="17">
        <f t="shared" si="114"/>
        <v>0</v>
      </c>
      <c r="DT93" s="110">
        <f t="shared" si="147"/>
        <v>7586.0159999999996</v>
      </c>
      <c r="DU93" s="17">
        <f>SUMIF('20.01'!$BD:$BD,$B:$B,'20.01'!$D:$D)*1.2</f>
        <v>7586.0159999999996</v>
      </c>
      <c r="DV93" s="17">
        <f t="shared" si="115"/>
        <v>0</v>
      </c>
      <c r="DW93" s="17">
        <f t="shared" si="116"/>
        <v>0</v>
      </c>
      <c r="DX93" s="110">
        <f t="shared" si="117"/>
        <v>1684018.1571859303</v>
      </c>
      <c r="DY93" s="110"/>
      <c r="DZ93" s="110">
        <f t="shared" si="148"/>
        <v>1684018.1571859303</v>
      </c>
      <c r="EA93" s="257"/>
      <c r="EB93" s="110">
        <f t="shared" si="118"/>
        <v>3546.2168674698792</v>
      </c>
      <c r="EC93" s="110">
        <f>SUMIF(еирц!$B:$B,$B:$B,еирц!$K:$K)</f>
        <v>1164963.7799999998</v>
      </c>
      <c r="ED93" s="110">
        <f>SUMIF(еирц!$B:$B,$B:$B,еирц!$P:$P)</f>
        <v>1151223.6399999999</v>
      </c>
      <c r="EE93" s="110">
        <f>SUMIF(еирц!$B:$B,$B:$B,еирц!$S:$S)</f>
        <v>254831.7</v>
      </c>
      <c r="EF93" s="177">
        <f t="shared" si="149"/>
        <v>-515508.16031846055</v>
      </c>
      <c r="EG93" s="181">
        <f t="shared" si="152"/>
        <v>0</v>
      </c>
      <c r="EH93" s="177">
        <f t="shared" si="150"/>
        <v>-515508.16031846055</v>
      </c>
    </row>
    <row r="94" spans="1:138" ht="12" customHeight="1" x14ac:dyDescent="0.25">
      <c r="A94" s="5">
        <f t="shared" si="151"/>
        <v>90</v>
      </c>
      <c r="B94" s="6" t="s">
        <v>174</v>
      </c>
      <c r="C94" s="7">
        <f t="shared" si="84"/>
        <v>3501.57</v>
      </c>
      <c r="D94" s="8">
        <v>3501.57</v>
      </c>
      <c r="E94" s="8">
        <v>0</v>
      </c>
      <c r="F94" s="8">
        <v>302.8</v>
      </c>
      <c r="G94" s="87">
        <f t="shared" si="85"/>
        <v>3501.57</v>
      </c>
      <c r="H94" s="87">
        <f t="shared" si="86"/>
        <v>3501.57</v>
      </c>
      <c r="I94" s="91">
        <v>0</v>
      </c>
      <c r="J94" s="112">
        <v>0</v>
      </c>
      <c r="K94" s="17">
        <v>4</v>
      </c>
      <c r="L94" s="112">
        <f t="shared" si="119"/>
        <v>9.638554216867469E-3</v>
      </c>
      <c r="M94" s="116">
        <v>3.406417064188155</v>
      </c>
      <c r="N94" s="120">
        <f t="shared" si="120"/>
        <v>3501.57</v>
      </c>
      <c r="O94" s="116">
        <v>3.0862327782817345</v>
      </c>
      <c r="P94" s="120">
        <f t="shared" si="121"/>
        <v>3501.57</v>
      </c>
      <c r="Q94" s="116">
        <v>0</v>
      </c>
      <c r="R94" s="120">
        <f t="shared" si="122"/>
        <v>0</v>
      </c>
      <c r="S94" s="5" t="s">
        <v>143</v>
      </c>
      <c r="T94" s="87">
        <v>28.44</v>
      </c>
      <c r="U94" s="88">
        <v>4.68</v>
      </c>
      <c r="V94" s="88">
        <v>6.05</v>
      </c>
      <c r="W94" s="88">
        <v>8.24</v>
      </c>
      <c r="X94" s="88">
        <v>6.34</v>
      </c>
      <c r="Y94" s="88">
        <v>2.89</v>
      </c>
      <c r="Z94" s="88">
        <v>0</v>
      </c>
      <c r="AA94" s="88">
        <v>0</v>
      </c>
      <c r="AB94" s="88">
        <v>0.24</v>
      </c>
      <c r="AC94" s="257"/>
      <c r="AD94" s="110">
        <f t="shared" si="123"/>
        <v>255650.29706394207</v>
      </c>
      <c r="AE94" s="110">
        <f t="shared" si="124"/>
        <v>115895.31582441136</v>
      </c>
      <c r="AF94" s="16">
        <f>SUMIF('20.01'!$I:$I,$B:$B,'20.01'!$D:$D)*1.2</f>
        <v>55654.583999999995</v>
      </c>
      <c r="AG94" s="17">
        <f t="shared" si="83"/>
        <v>9340.8875297028862</v>
      </c>
      <c r="AH94" s="17">
        <f t="shared" si="125"/>
        <v>2673.7953391879009</v>
      </c>
      <c r="AI94" s="16">
        <f>SUMIF('20.01'!$J:$J,$B:$B,'20.01'!$D:$D)*1.2</f>
        <v>0</v>
      </c>
      <c r="AJ94" s="17">
        <f t="shared" si="126"/>
        <v>1086.5703132557646</v>
      </c>
      <c r="AK94" s="17">
        <f t="shared" si="127"/>
        <v>2643.3841854403649</v>
      </c>
      <c r="AL94" s="17">
        <f t="shared" si="128"/>
        <v>44496.094456824445</v>
      </c>
      <c r="AM94" s="110">
        <f t="shared" si="129"/>
        <v>0</v>
      </c>
      <c r="AN94" s="17">
        <f>SUMIF('20.01'!$K:$K,$B:$B,'20.01'!$D:$D)*1.2</f>
        <v>0</v>
      </c>
      <c r="AO94" s="17">
        <f>SUMIF('20.01'!$L:$L,$B:$B,'20.01'!$D:$D)*1.2</f>
        <v>0</v>
      </c>
      <c r="AP94" s="17">
        <f>SUMIF('20.01'!$M:$M,$B:$B,'20.01'!$D:$D)*1.2</f>
        <v>0</v>
      </c>
      <c r="AQ94" s="110">
        <f t="shared" si="130"/>
        <v>983.63323953072427</v>
      </c>
      <c r="AR94" s="17">
        <f t="shared" si="131"/>
        <v>983.63323953072427</v>
      </c>
      <c r="AS94" s="17">
        <f>(SUMIF('20.01'!$N:$N,$B:$B,'20.01'!$D:$D)+SUMIF('20.01'!$O:$O,$B:$B,'20.01'!$D:$D))*1.2</f>
        <v>0</v>
      </c>
      <c r="AT94" s="110">
        <f>SUMIF('20.01'!$P:$P,$B:$B,'20.01'!$D:$D)*1.2</f>
        <v>0</v>
      </c>
      <c r="AU94" s="110">
        <f t="shared" si="132"/>
        <v>0</v>
      </c>
      <c r="AV94" s="17">
        <f>SUMIF('20.01'!$Q:$Q,$B:$B,'20.01'!$D:$D)*1.2</f>
        <v>0</v>
      </c>
      <c r="AW94" s="17">
        <f>SUMIF('20.01'!$R:$R,$B:$B,'20.01'!$D:$D)*1.2</f>
        <v>0</v>
      </c>
      <c r="AX94" s="110">
        <f t="shared" si="133"/>
        <v>113549.196</v>
      </c>
      <c r="AY94" s="17">
        <f>SUMIF('20.01'!$S:$S,$B:$B,'20.01'!$D:$D)*1.2</f>
        <v>113549.196</v>
      </c>
      <c r="AZ94" s="17">
        <f>SUMIF('20.01'!$T:$T,$B:$B,'20.01'!$D:$D)*1.2</f>
        <v>0</v>
      </c>
      <c r="BA94" s="110">
        <f t="shared" si="134"/>
        <v>0</v>
      </c>
      <c r="BB94" s="17">
        <f>SUMIF('20.01'!$U:$U,$B:$B,'20.01'!$D:$D)*1.2</f>
        <v>0</v>
      </c>
      <c r="BC94" s="17">
        <f>SUMIF('20.01'!$V:$V,$B:$B,'20.01'!$D:$D)*1.2</f>
        <v>0</v>
      </c>
      <c r="BD94" s="17">
        <f>SUMIF('20.01'!$W:$W,$B:$B,'20.01'!$D:$D)*1.2</f>
        <v>0</v>
      </c>
      <c r="BE94" s="110">
        <f>SUMIF('20.01'!$X:$X,$B:$B,'20.01'!$D:$D)*1.2</f>
        <v>0</v>
      </c>
      <c r="BF94" s="110">
        <f t="shared" si="135"/>
        <v>0</v>
      </c>
      <c r="BG94" s="17">
        <f>SUMIF('20.01'!$Y:$Y,$B:$B,'20.01'!$D:$D)*1.2</f>
        <v>0</v>
      </c>
      <c r="BH94" s="17">
        <f>SUMIF('20.01'!$Z:$Z,$B:$B,'20.01'!$D:$D)*1.2</f>
        <v>0</v>
      </c>
      <c r="BI94" s="17">
        <f>SUMIF('20.01'!$AA:$AA,$B:$B,'20.01'!$D:$D)*1.2</f>
        <v>0</v>
      </c>
      <c r="BJ94" s="17">
        <f>SUMIF('20.01'!$AB:$AB,$B:$B,'20.01'!$D:$D)*1.2</f>
        <v>0</v>
      </c>
      <c r="BK94" s="17">
        <f>SUMIF('20.01'!$AC:$AC,$B:$B,'20.01'!$D:$D)*1.2</f>
        <v>0</v>
      </c>
      <c r="BL94" s="17">
        <f>SUMIF('20.01'!$AD:$AD,$B:$B,'20.01'!$D:$D)*1.2</f>
        <v>0</v>
      </c>
      <c r="BM94" s="110">
        <f t="shared" si="136"/>
        <v>0</v>
      </c>
      <c r="BN94" s="17">
        <f>SUMIF('20.01'!$AE:$AE,$B:$B,'20.01'!$D:$D)*1.2</f>
        <v>0</v>
      </c>
      <c r="BO94" s="17">
        <f>SUMIF('20.01'!$AF:$AF,$B:$B,'20.01'!$D:$D)*1.2</f>
        <v>0</v>
      </c>
      <c r="BP94" s="110">
        <f>SUMIF('20.01'!$AG:$AG,$B:$B,'20.01'!$D:$D)*1.2</f>
        <v>0</v>
      </c>
      <c r="BQ94" s="110">
        <f>SUMIF('20.01'!$AH:$AH,$B:$B,'20.01'!$D:$D)*1.2</f>
        <v>0</v>
      </c>
      <c r="BR94" s="110">
        <f>SUMIF('20.01'!$AI:$AI,$B:$B,'20.01'!$D:$D)*1.2</f>
        <v>0</v>
      </c>
      <c r="BS94" s="110">
        <f t="shared" si="137"/>
        <v>25222.152000000002</v>
      </c>
      <c r="BT94" s="17">
        <f>SUMIF('20.01'!$AJ:$AJ,$B:$B,'20.01'!$D:$D)*1.2</f>
        <v>8447.5079999999998</v>
      </c>
      <c r="BU94" s="17">
        <f>SUMIF('20.01'!$AK:$AK,$B:$B,'20.01'!$D:$D)*1.2</f>
        <v>16774.644</v>
      </c>
      <c r="BV94" s="110">
        <f>SUMIF('20.01'!$AL:$AL,$B:$B,'20.01'!$D:$D)*1.2</f>
        <v>0</v>
      </c>
      <c r="BW94" s="110">
        <f>SUMIF('20.01'!$AM:$AM,$B:$B,'20.01'!$D:$D)*1.2</f>
        <v>0</v>
      </c>
      <c r="BX94" s="110">
        <f>SUMIF('20.01'!$AN:$AN,$B:$B,'20.01'!$D:$D)*1.2</f>
        <v>0</v>
      </c>
      <c r="BY94" s="110">
        <f t="shared" si="87"/>
        <v>423923.01219703304</v>
      </c>
      <c r="BZ94" s="17">
        <f t="shared" si="82"/>
        <v>214590.97205723726</v>
      </c>
      <c r="CA94" s="17">
        <f t="shared" si="88"/>
        <v>21717.720439742672</v>
      </c>
      <c r="CB94" s="17">
        <f t="shared" si="89"/>
        <v>1443.6828249677978</v>
      </c>
      <c r="CC94" s="17">
        <f>SUMIF('20.01'!$AO:$AO,$B:$B,'20.01'!$D:$D)*1.2</f>
        <v>0</v>
      </c>
      <c r="CD94" s="17">
        <f t="shared" si="90"/>
        <v>22664.354074162035</v>
      </c>
      <c r="CE94" s="17">
        <f>SUMIF('20.01'!$AQ:$AQ,$B:$B,'20.01'!$D:$D)*1.2</f>
        <v>0</v>
      </c>
      <c r="CF94" s="17">
        <f t="shared" si="91"/>
        <v>2062.0979433884099</v>
      </c>
      <c r="CG94" s="17">
        <f>SUMIF('20.01'!$AR:$AR,$B:$B,'20.01'!$D:$D)*1.2</f>
        <v>159027.51599999997</v>
      </c>
      <c r="CH94" s="17">
        <f t="shared" si="92"/>
        <v>1214.4260603318487</v>
      </c>
      <c r="CI94" s="17">
        <f>SUMIF('20.01'!$AT:$AT,$B:$B,'20.01'!$D:$D)*1.2</f>
        <v>0</v>
      </c>
      <c r="CJ94" s="17">
        <f>SUMIF('20.01'!$AU:$AU,$B:$B,'20.01'!$D:$D)*1.2</f>
        <v>0</v>
      </c>
      <c r="CK94" s="17">
        <f>SUMIF('20.01'!$AV:$AV,$B:$B,'20.01'!$D:$D)*1.2</f>
        <v>0</v>
      </c>
      <c r="CL94" s="17">
        <f t="shared" si="93"/>
        <v>1202.2427972030023</v>
      </c>
      <c r="CM94" s="17">
        <f>SUMIF('20.01'!$AW:$AW,$B:$B,'20.01'!$D:$D)*1.2</f>
        <v>0</v>
      </c>
      <c r="CN94" s="17">
        <f>SUMIF('20.01'!$AX:$AX,$B:$B,'20.01'!$D:$D)*1.2</f>
        <v>0</v>
      </c>
      <c r="CO94" s="110">
        <f t="shared" si="138"/>
        <v>403306.07691290503</v>
      </c>
      <c r="CP94" s="17">
        <f t="shared" si="139"/>
        <v>318144.52135225508</v>
      </c>
      <c r="CQ94" s="17">
        <f t="shared" si="94"/>
        <v>98151.962391533292</v>
      </c>
      <c r="CR94" s="17">
        <f t="shared" si="95"/>
        <v>219992.5589607218</v>
      </c>
      <c r="CS94" s="17">
        <f t="shared" si="140"/>
        <v>85161.55556064994</v>
      </c>
      <c r="CT94" s="17">
        <f t="shared" si="96"/>
        <v>3102.5101749894197</v>
      </c>
      <c r="CU94" s="17">
        <f t="shared" si="97"/>
        <v>3000.8517675669295</v>
      </c>
      <c r="CV94" s="17">
        <f t="shared" si="98"/>
        <v>3101.4458885479767</v>
      </c>
      <c r="CW94" s="17">
        <f t="shared" si="99"/>
        <v>32.522074971963356</v>
      </c>
      <c r="CX94" s="17">
        <f t="shared" si="100"/>
        <v>45794.351218636119</v>
      </c>
      <c r="CY94" s="17">
        <f t="shared" si="101"/>
        <v>30129.874435937534</v>
      </c>
      <c r="CZ94" s="110">
        <f t="shared" si="141"/>
        <v>100111.12650470565</v>
      </c>
      <c r="DA94" s="17">
        <f t="shared" si="142"/>
        <v>3781.636624646902</v>
      </c>
      <c r="DB94" s="17">
        <f t="shared" si="102"/>
        <v>3588.6344364671559</v>
      </c>
      <c r="DC94" s="17">
        <f t="shared" si="103"/>
        <v>193.00218817974618</v>
      </c>
      <c r="DD94" s="17">
        <f t="shared" si="104"/>
        <v>6663.6775184487042</v>
      </c>
      <c r="DE94" s="17">
        <f t="shared" si="105"/>
        <v>2299.144329951012</v>
      </c>
      <c r="DF94" s="17">
        <f t="shared" si="106"/>
        <v>2790.3319502239247</v>
      </c>
      <c r="DG94" s="17">
        <f t="shared" si="143"/>
        <v>84576.336081435104</v>
      </c>
      <c r="DH94" s="110">
        <f t="shared" si="144"/>
        <v>62477.163342567517</v>
      </c>
      <c r="DI94" s="17">
        <f t="shared" si="107"/>
        <v>56044.562854044962</v>
      </c>
      <c r="DJ94" s="17">
        <f t="shared" si="108"/>
        <v>6198.1993309782547</v>
      </c>
      <c r="DK94" s="17">
        <f t="shared" si="109"/>
        <v>234.40115754430173</v>
      </c>
      <c r="DL94" s="110">
        <f t="shared" si="145"/>
        <v>371429.01781133306</v>
      </c>
      <c r="DM94" s="17">
        <f t="shared" si="110"/>
        <v>196857.37944000654</v>
      </c>
      <c r="DN94" s="17">
        <f t="shared" si="111"/>
        <v>174571.63837132655</v>
      </c>
      <c r="DO94" s="17">
        <f t="shared" si="112"/>
        <v>0</v>
      </c>
      <c r="DP94" s="110">
        <f t="shared" si="146"/>
        <v>0</v>
      </c>
      <c r="DQ94" s="17">
        <f>SUMIF('20.01'!$BB:$BB,$B:$B,'20.01'!$D:$D)*1.2</f>
        <v>0</v>
      </c>
      <c r="DR94" s="17">
        <f t="shared" si="113"/>
        <v>0</v>
      </c>
      <c r="DS94" s="17">
        <f t="shared" si="114"/>
        <v>0</v>
      </c>
      <c r="DT94" s="110">
        <f t="shared" si="147"/>
        <v>6448.116</v>
      </c>
      <c r="DU94" s="17">
        <f>SUMIF('20.01'!$BD:$BD,$B:$B,'20.01'!$D:$D)*1.2</f>
        <v>6448.116</v>
      </c>
      <c r="DV94" s="17">
        <f t="shared" si="115"/>
        <v>0</v>
      </c>
      <c r="DW94" s="17">
        <f t="shared" si="116"/>
        <v>0</v>
      </c>
      <c r="DX94" s="110">
        <f t="shared" si="117"/>
        <v>1623344.8098324866</v>
      </c>
      <c r="DY94" s="110"/>
      <c r="DZ94" s="110">
        <f t="shared" si="148"/>
        <v>1623344.8098324866</v>
      </c>
      <c r="EA94" s="257"/>
      <c r="EB94" s="110">
        <f t="shared" si="118"/>
        <v>3546.2168674698792</v>
      </c>
      <c r="EC94" s="110">
        <f>SUMIF(еирц!$B:$B,$B:$B,еирц!$K:$K)</f>
        <v>1172116.56</v>
      </c>
      <c r="ED94" s="110">
        <f>SUMIF(еирц!$B:$B,$B:$B,еирц!$P:$P)</f>
        <v>1164412.6499999999</v>
      </c>
      <c r="EE94" s="110">
        <f>SUMIF(еирц!$B:$B,$B:$B,еирц!$S:$S)</f>
        <v>103903.75</v>
      </c>
      <c r="EF94" s="177">
        <f t="shared" si="149"/>
        <v>-447682.03296501655</v>
      </c>
      <c r="EG94" s="181">
        <f t="shared" si="152"/>
        <v>0</v>
      </c>
      <c r="EH94" s="177">
        <f t="shared" si="150"/>
        <v>-447682.03296501655</v>
      </c>
    </row>
    <row r="95" spans="1:138" ht="12" customHeight="1" x14ac:dyDescent="0.25">
      <c r="A95" s="5">
        <f t="shared" si="151"/>
        <v>91</v>
      </c>
      <c r="B95" s="6" t="s">
        <v>175</v>
      </c>
      <c r="C95" s="7">
        <f t="shared" si="84"/>
        <v>3661.5</v>
      </c>
      <c r="D95" s="8">
        <v>3513.8</v>
      </c>
      <c r="E95" s="8">
        <v>147.69999999999999</v>
      </c>
      <c r="F95" s="8">
        <v>431</v>
      </c>
      <c r="G95" s="87">
        <f t="shared" si="85"/>
        <v>3661.5</v>
      </c>
      <c r="H95" s="87">
        <f t="shared" si="86"/>
        <v>3661.5</v>
      </c>
      <c r="I95" s="91">
        <v>2</v>
      </c>
      <c r="J95" s="112">
        <v>5.680287891952158E-3</v>
      </c>
      <c r="K95" s="17">
        <v>1</v>
      </c>
      <c r="L95" s="112">
        <f t="shared" si="119"/>
        <v>2.4096385542168672E-3</v>
      </c>
      <c r="M95" s="116">
        <v>3.4064186694685619</v>
      </c>
      <c r="N95" s="120">
        <f t="shared" si="120"/>
        <v>3661.5</v>
      </c>
      <c r="O95" s="116">
        <v>3.0862312669357963</v>
      </c>
      <c r="P95" s="120">
        <f t="shared" si="121"/>
        <v>3661.5</v>
      </c>
      <c r="Q95" s="116">
        <v>1.6009279212520051</v>
      </c>
      <c r="R95" s="120">
        <f t="shared" si="122"/>
        <v>3661.5</v>
      </c>
      <c r="S95" s="5" t="s">
        <v>143</v>
      </c>
      <c r="T95" s="87">
        <v>41.34</v>
      </c>
      <c r="U95" s="88">
        <v>4.68</v>
      </c>
      <c r="V95" s="88">
        <v>7.92</v>
      </c>
      <c r="W95" s="88">
        <v>12.32</v>
      </c>
      <c r="X95" s="88">
        <v>6.34</v>
      </c>
      <c r="Y95" s="88">
        <v>2.89</v>
      </c>
      <c r="Z95" s="88">
        <v>1.66</v>
      </c>
      <c r="AA95" s="88">
        <v>5.29</v>
      </c>
      <c r="AB95" s="88">
        <v>0.24</v>
      </c>
      <c r="AC95" s="257"/>
      <c r="AD95" s="110">
        <f t="shared" si="123"/>
        <v>136218.38069125527</v>
      </c>
      <c r="AE95" s="110">
        <f t="shared" si="124"/>
        <v>83882.297186078518</v>
      </c>
      <c r="AF95" s="131">
        <f>35988.06/(G95+G96)*G95</f>
        <v>18036.146359791401</v>
      </c>
      <c r="AG95" s="17">
        <f t="shared" si="83"/>
        <v>9767.5213375734656</v>
      </c>
      <c r="AH95" s="17">
        <f t="shared" si="125"/>
        <v>2795.9177267444315</v>
      </c>
      <c r="AI95" s="16">
        <f>SUMIF('20.01'!$J:$J,$B:$B,'20.01'!$D:$D)*1.2</f>
        <v>2853.9959999999996</v>
      </c>
      <c r="AJ95" s="17">
        <f t="shared" si="126"/>
        <v>1136.1981059884513</v>
      </c>
      <c r="AK95" s="17">
        <f t="shared" si="127"/>
        <v>2764.1175801111772</v>
      </c>
      <c r="AL95" s="17">
        <f t="shared" si="128"/>
        <v>46528.400075869598</v>
      </c>
      <c r="AM95" s="110">
        <f t="shared" si="129"/>
        <v>32167.619999999995</v>
      </c>
      <c r="AN95" s="17">
        <f>SUMIF('20.01'!$K:$K,$B:$B,'20.01'!$D:$D)*1.2</f>
        <v>32167.619999999995</v>
      </c>
      <c r="AO95" s="17">
        <f>SUMIF('20.01'!$L:$L,$B:$B,'20.01'!$D:$D)*1.2</f>
        <v>0</v>
      </c>
      <c r="AP95" s="17">
        <f>SUMIF('20.01'!$M:$M,$B:$B,'20.01'!$D:$D)*1.2</f>
        <v>0</v>
      </c>
      <c r="AQ95" s="110">
        <f t="shared" si="130"/>
        <v>1028.5595051767484</v>
      </c>
      <c r="AR95" s="17">
        <f t="shared" si="131"/>
        <v>1028.5595051767484</v>
      </c>
      <c r="AS95" s="17">
        <f>(SUMIF('20.01'!$N:$N,$B:$B,'20.01'!$D:$D)+SUMIF('20.01'!$O:$O,$B:$B,'20.01'!$D:$D))*1.2</f>
        <v>0</v>
      </c>
      <c r="AT95" s="110">
        <f>SUMIF('20.01'!$P:$P,$B:$B,'20.01'!$D:$D)*1.2</f>
        <v>0</v>
      </c>
      <c r="AU95" s="110">
        <f t="shared" si="132"/>
        <v>0</v>
      </c>
      <c r="AV95" s="17">
        <f>SUMIF('20.01'!$Q:$Q,$B:$B,'20.01'!$D:$D)*1.2</f>
        <v>0</v>
      </c>
      <c r="AW95" s="17">
        <f>SUMIF('20.01'!$R:$R,$B:$B,'20.01'!$D:$D)*1.2</f>
        <v>0</v>
      </c>
      <c r="AX95" s="110">
        <f t="shared" si="133"/>
        <v>0</v>
      </c>
      <c r="AY95" s="17">
        <f>SUMIF('20.01'!$S:$S,$B:$B,'20.01'!$D:$D)*1.2</f>
        <v>0</v>
      </c>
      <c r="AZ95" s="17">
        <f>SUMIF('20.01'!$T:$T,$B:$B,'20.01'!$D:$D)*1.2</f>
        <v>0</v>
      </c>
      <c r="BA95" s="110">
        <f t="shared" si="134"/>
        <v>0</v>
      </c>
      <c r="BB95" s="17">
        <f>SUMIF('20.01'!$U:$U,$B:$B,'20.01'!$D:$D)*1.2</f>
        <v>0</v>
      </c>
      <c r="BC95" s="17">
        <f>SUMIF('20.01'!$V:$V,$B:$B,'20.01'!$D:$D)*1.2</f>
        <v>0</v>
      </c>
      <c r="BD95" s="17">
        <f>SUMIF('20.01'!$W:$W,$B:$B,'20.01'!$D:$D)*1.2</f>
        <v>0</v>
      </c>
      <c r="BE95" s="110">
        <f>SUMIF('20.01'!$X:$X,$B:$B,'20.01'!$D:$D)*1.2</f>
        <v>0</v>
      </c>
      <c r="BF95" s="110">
        <f t="shared" si="135"/>
        <v>0</v>
      </c>
      <c r="BG95" s="17">
        <f>SUMIF('20.01'!$Y:$Y,$B:$B,'20.01'!$D:$D)*1.2</f>
        <v>0</v>
      </c>
      <c r="BH95" s="17">
        <f>SUMIF('20.01'!$Z:$Z,$B:$B,'20.01'!$D:$D)*1.2</f>
        <v>0</v>
      </c>
      <c r="BI95" s="17">
        <f>SUMIF('20.01'!$AA:$AA,$B:$B,'20.01'!$D:$D)*1.2</f>
        <v>0</v>
      </c>
      <c r="BJ95" s="17">
        <f>SUMIF('20.01'!$AB:$AB,$B:$B,'20.01'!$D:$D)*1.2</f>
        <v>0</v>
      </c>
      <c r="BK95" s="17">
        <f>SUMIF('20.01'!$AC:$AC,$B:$B,'20.01'!$D:$D)*1.2</f>
        <v>0</v>
      </c>
      <c r="BL95" s="17">
        <f>SUMIF('20.01'!$AD:$AD,$B:$B,'20.01'!$D:$D)*1.2</f>
        <v>0</v>
      </c>
      <c r="BM95" s="110">
        <f t="shared" si="136"/>
        <v>0</v>
      </c>
      <c r="BN95" s="17">
        <f>SUMIF('20.01'!$AE:$AE,$B:$B,'20.01'!$D:$D)*1.2</f>
        <v>0</v>
      </c>
      <c r="BO95" s="17">
        <f>SUMIF('20.01'!$AF:$AF,$B:$B,'20.01'!$D:$D)*1.2</f>
        <v>0</v>
      </c>
      <c r="BP95" s="110">
        <f>SUMIF('20.01'!$AG:$AG,$B:$B,'20.01'!$D:$D)*1.2</f>
        <v>19139.903999999999</v>
      </c>
      <c r="BQ95" s="110">
        <f>SUMIF('20.01'!$AH:$AH,$B:$B,'20.01'!$D:$D)*1.2</f>
        <v>0</v>
      </c>
      <c r="BR95" s="110">
        <f>SUMIF('20.01'!$AI:$AI,$B:$B,'20.01'!$D:$D)*1.2</f>
        <v>0</v>
      </c>
      <c r="BS95" s="110">
        <f t="shared" si="137"/>
        <v>0</v>
      </c>
      <c r="BT95" s="17">
        <f>SUMIF('20.01'!$AJ:$AJ,$B:$B,'20.01'!$D:$D)*1.2</f>
        <v>0</v>
      </c>
      <c r="BU95" s="17">
        <f>SUMIF('20.01'!$AK:$AK,$B:$B,'20.01'!$D:$D)*1.2</f>
        <v>0</v>
      </c>
      <c r="BV95" s="110">
        <f>SUMIF('20.01'!$AL:$AL,$B:$B,'20.01'!$D:$D)*1.2</f>
        <v>0</v>
      </c>
      <c r="BW95" s="110">
        <f>SUMIF('20.01'!$AM:$AM,$B:$B,'20.01'!$D:$D)*1.2</f>
        <v>0</v>
      </c>
      <c r="BX95" s="110">
        <f>SUMIF('20.01'!$AN:$AN,$B:$B,'20.01'!$D:$D)*1.2</f>
        <v>0</v>
      </c>
      <c r="BY95" s="110">
        <f t="shared" si="87"/>
        <v>276994.27951617027</v>
      </c>
      <c r="BZ95" s="17">
        <f t="shared" si="82"/>
        <v>224392.15671472345</v>
      </c>
      <c r="CA95" s="17">
        <f t="shared" si="88"/>
        <v>22709.651210776246</v>
      </c>
      <c r="CB95" s="17">
        <f t="shared" si="89"/>
        <v>1509.6213023356927</v>
      </c>
      <c r="CC95" s="17">
        <f>SUMIF('20.01'!$AO:$AO,$B:$B,'20.01'!$D:$D)*1.2</f>
        <v>0</v>
      </c>
      <c r="CD95" s="17">
        <f t="shared" si="90"/>
        <v>23699.521198360817</v>
      </c>
      <c r="CE95" s="17">
        <f>SUMIF('20.01'!$AQ:$AQ,$B:$B,'20.01'!$D:$D)*1.2</f>
        <v>0</v>
      </c>
      <c r="CF95" s="17">
        <f t="shared" si="91"/>
        <v>2156.2817878028031</v>
      </c>
      <c r="CG95" s="17">
        <f>SUMIF('20.01'!$AR:$AR,$B:$B,'20.01'!$D:$D)*1.2</f>
        <v>0</v>
      </c>
      <c r="CH95" s="17">
        <f t="shared" si="92"/>
        <v>1269.8935105981213</v>
      </c>
      <c r="CI95" s="17">
        <f>SUMIF('20.01'!$AT:$AT,$B:$B,'20.01'!$D:$D)*1.2</f>
        <v>0</v>
      </c>
      <c r="CJ95" s="17">
        <f>SUMIF('20.01'!$AU:$AU,$B:$B,'20.01'!$D:$D)*1.2</f>
        <v>0</v>
      </c>
      <c r="CK95" s="17">
        <f>SUMIF('20.01'!$AV:$AV,$B:$B,'20.01'!$D:$D)*1.2</f>
        <v>0</v>
      </c>
      <c r="CL95" s="17">
        <f t="shared" si="93"/>
        <v>1257.1537915731494</v>
      </c>
      <c r="CM95" s="17">
        <f>SUMIF('20.01'!$AW:$AW,$B:$B,'20.01'!$D:$D)*1.2</f>
        <v>0</v>
      </c>
      <c r="CN95" s="17">
        <f>SUMIF('20.01'!$AX:$AX,$B:$B,'20.01'!$D:$D)*1.2</f>
        <v>0</v>
      </c>
      <c r="CO95" s="110">
        <f t="shared" si="138"/>
        <v>421726.59710261447</v>
      </c>
      <c r="CP95" s="17">
        <f t="shared" si="139"/>
        <v>332675.38987690723</v>
      </c>
      <c r="CQ95" s="17">
        <f t="shared" si="94"/>
        <v>102634.93527092108</v>
      </c>
      <c r="CR95" s="17">
        <f t="shared" si="95"/>
        <v>230040.45460598613</v>
      </c>
      <c r="CS95" s="17">
        <f t="shared" si="140"/>
        <v>89051.207225707243</v>
      </c>
      <c r="CT95" s="17">
        <f t="shared" si="96"/>
        <v>3244.2135972503079</v>
      </c>
      <c r="CU95" s="17">
        <f t="shared" si="97"/>
        <v>3137.9120642872517</v>
      </c>
      <c r="CV95" s="17">
        <f t="shared" si="98"/>
        <v>3243.1007008051861</v>
      </c>
      <c r="CW95" s="17">
        <f t="shared" si="99"/>
        <v>34.007481646759544</v>
      </c>
      <c r="CX95" s="17">
        <f t="shared" si="100"/>
        <v>47885.953154452465</v>
      </c>
      <c r="CY95" s="17">
        <f t="shared" si="101"/>
        <v>31506.020227265275</v>
      </c>
      <c r="CZ95" s="110">
        <f t="shared" si="141"/>
        <v>104683.58184956455</v>
      </c>
      <c r="DA95" s="17">
        <f t="shared" si="142"/>
        <v>3954.3583310185518</v>
      </c>
      <c r="DB95" s="17">
        <f t="shared" si="102"/>
        <v>3752.5409999298859</v>
      </c>
      <c r="DC95" s="17">
        <f t="shared" si="103"/>
        <v>201.81733108866612</v>
      </c>
      <c r="DD95" s="17">
        <f t="shared" si="104"/>
        <v>6968.0329777214019</v>
      </c>
      <c r="DE95" s="17">
        <f t="shared" si="105"/>
        <v>2404.1549830834829</v>
      </c>
      <c r="DF95" s="17">
        <f t="shared" si="106"/>
        <v>2917.7770073838019</v>
      </c>
      <c r="DG95" s="17">
        <f t="shared" si="143"/>
        <v>88439.258550357306</v>
      </c>
      <c r="DH95" s="110">
        <f t="shared" si="144"/>
        <v>65330.732665293268</v>
      </c>
      <c r="DI95" s="17">
        <f t="shared" si="107"/>
        <v>58604.330883028364</v>
      </c>
      <c r="DJ95" s="17">
        <f t="shared" si="108"/>
        <v>6481.2946336577243</v>
      </c>
      <c r="DK95" s="17">
        <f t="shared" si="109"/>
        <v>245.107148607185</v>
      </c>
      <c r="DL95" s="110">
        <f t="shared" si="145"/>
        <v>494366.80651365308</v>
      </c>
      <c r="DM95" s="17">
        <f t="shared" si="110"/>
        <v>205848.60357484897</v>
      </c>
      <c r="DN95" s="17">
        <f t="shared" si="111"/>
        <v>182544.98807580947</v>
      </c>
      <c r="DO95" s="17">
        <f t="shared" si="112"/>
        <v>105973.21486299469</v>
      </c>
      <c r="DP95" s="110">
        <f t="shared" si="146"/>
        <v>162890.89999329878</v>
      </c>
      <c r="DQ95" s="17">
        <f>SUMIF('20.01'!$BB:$BB,$B:$B,'20.01'!$D:$D)*1.2</f>
        <v>6012.5999999999995</v>
      </c>
      <c r="DR95" s="17">
        <f t="shared" si="113"/>
        <v>155723.90628654507</v>
      </c>
      <c r="DS95" s="17">
        <f t="shared" si="114"/>
        <v>1154.393706753714</v>
      </c>
      <c r="DT95" s="110">
        <f t="shared" si="147"/>
        <v>7965.3240000000005</v>
      </c>
      <c r="DU95" s="17">
        <f>SUMIF('20.01'!$BD:$BD,$B:$B,'20.01'!$D:$D)*1.2</f>
        <v>7965.3240000000005</v>
      </c>
      <c r="DV95" s="17">
        <f t="shared" si="115"/>
        <v>0</v>
      </c>
      <c r="DW95" s="17">
        <f t="shared" si="116"/>
        <v>0</v>
      </c>
      <c r="DX95" s="110">
        <f t="shared" si="117"/>
        <v>1670176.6023318497</v>
      </c>
      <c r="DY95" s="110">
        <f>EC95*EG95</f>
        <v>138288.87839999999</v>
      </c>
      <c r="DZ95" s="110">
        <f t="shared" si="148"/>
        <v>1808465.4807318498</v>
      </c>
      <c r="EA95" s="257"/>
      <c r="EB95" s="110">
        <f t="shared" si="118"/>
        <v>886.55421686746979</v>
      </c>
      <c r="EC95" s="110">
        <f>SUMIF(еирц!$B:$B,$B:$B,еирц!$K:$K)</f>
        <v>1728610.98</v>
      </c>
      <c r="ED95" s="110">
        <f>SUMIF(еирц!$B:$B,$B:$B,еирц!$P:$P)</f>
        <v>1790820.15</v>
      </c>
      <c r="EE95" s="110">
        <f>SUMIF(еирц!$B:$B,$B:$B,еирц!$S:$S)</f>
        <v>278879.78000000003</v>
      </c>
      <c r="EF95" s="177">
        <f t="shared" si="149"/>
        <v>59320.931885017781</v>
      </c>
      <c r="EG95" s="182">
        <v>0.08</v>
      </c>
      <c r="EH95" s="177">
        <f t="shared" si="150"/>
        <v>-78967.946514982264</v>
      </c>
    </row>
    <row r="96" spans="1:138" ht="12" customHeight="1" x14ac:dyDescent="0.25">
      <c r="A96" s="5">
        <f t="shared" si="151"/>
        <v>92</v>
      </c>
      <c r="B96" s="6" t="s">
        <v>176</v>
      </c>
      <c r="C96" s="7">
        <f t="shared" si="84"/>
        <v>3644.4</v>
      </c>
      <c r="D96" s="8">
        <v>3644.4</v>
      </c>
      <c r="E96" s="8">
        <v>0</v>
      </c>
      <c r="F96" s="8">
        <v>441.1</v>
      </c>
      <c r="G96" s="87">
        <f t="shared" si="85"/>
        <v>3644.4</v>
      </c>
      <c r="H96" s="87">
        <f t="shared" si="86"/>
        <v>3644.4</v>
      </c>
      <c r="I96" s="91">
        <v>2</v>
      </c>
      <c r="J96" s="112">
        <v>5.7246188572647062E-3</v>
      </c>
      <c r="K96" s="17">
        <v>1</v>
      </c>
      <c r="L96" s="112">
        <f t="shared" si="119"/>
        <v>2.4096385542168672E-3</v>
      </c>
      <c r="M96" s="116">
        <v>3.4064171814142301</v>
      </c>
      <c r="N96" s="120">
        <f t="shared" si="120"/>
        <v>3644.4</v>
      </c>
      <c r="O96" s="116">
        <v>3.0862299413023209</v>
      </c>
      <c r="P96" s="120">
        <f t="shared" si="121"/>
        <v>3644.4</v>
      </c>
      <c r="Q96" s="116">
        <v>1.6009271819628066</v>
      </c>
      <c r="R96" s="120">
        <f t="shared" si="122"/>
        <v>3644.4</v>
      </c>
      <c r="S96" s="5" t="s">
        <v>143</v>
      </c>
      <c r="T96" s="87">
        <v>41.34</v>
      </c>
      <c r="U96" s="88">
        <v>4.68</v>
      </c>
      <c r="V96" s="88">
        <v>7.92</v>
      </c>
      <c r="W96" s="88">
        <v>12.32</v>
      </c>
      <c r="X96" s="88">
        <v>6.34</v>
      </c>
      <c r="Y96" s="88">
        <v>2.89</v>
      </c>
      <c r="Z96" s="88">
        <v>1.66</v>
      </c>
      <c r="AA96" s="88">
        <v>5.29</v>
      </c>
      <c r="AB96" s="88">
        <v>0.24</v>
      </c>
      <c r="AC96" s="257"/>
      <c r="AD96" s="110">
        <f t="shared" si="123"/>
        <v>231932.45333530268</v>
      </c>
      <c r="AE96" s="110">
        <f t="shared" si="124"/>
        <v>83739.881426340187</v>
      </c>
      <c r="AF96" s="131">
        <f>35988.06/(G95+G96)*G96</f>
        <v>17951.913640208597</v>
      </c>
      <c r="AG96" s="17">
        <f t="shared" si="83"/>
        <v>9721.9048921624308</v>
      </c>
      <c r="AH96" s="17">
        <f t="shared" si="125"/>
        <v>2782.8601838993327</v>
      </c>
      <c r="AI96" s="16">
        <f>SUMIF('20.01'!$J:$J,$B:$B,'20.01'!$D:$D)*1.2</f>
        <v>3090</v>
      </c>
      <c r="AJ96" s="17">
        <f t="shared" si="126"/>
        <v>1130.8918141374606</v>
      </c>
      <c r="AK96" s="17">
        <f t="shared" si="127"/>
        <v>2751.2085508554351</v>
      </c>
      <c r="AL96" s="17">
        <f t="shared" si="128"/>
        <v>46311.102345076928</v>
      </c>
      <c r="AM96" s="110">
        <f t="shared" si="129"/>
        <v>33415.68</v>
      </c>
      <c r="AN96" s="17">
        <f>SUMIF('20.01'!$K:$K,$B:$B,'20.01'!$D:$D)*1.2</f>
        <v>33415.68</v>
      </c>
      <c r="AO96" s="17">
        <f>SUMIF('20.01'!$L:$L,$B:$B,'20.01'!$D:$D)*1.2</f>
        <v>0</v>
      </c>
      <c r="AP96" s="17">
        <f>SUMIF('20.01'!$M:$M,$B:$B,'20.01'!$D:$D)*1.2</f>
        <v>0</v>
      </c>
      <c r="AQ96" s="110">
        <f t="shared" si="130"/>
        <v>1023.7559089624858</v>
      </c>
      <c r="AR96" s="17">
        <f t="shared" si="131"/>
        <v>1023.7559089624858</v>
      </c>
      <c r="AS96" s="17">
        <f>(SUMIF('20.01'!$N:$N,$B:$B,'20.01'!$D:$D)+SUMIF('20.01'!$O:$O,$B:$B,'20.01'!$D:$D))*1.2</f>
        <v>0</v>
      </c>
      <c r="AT96" s="110">
        <f>SUMIF('20.01'!$P:$P,$B:$B,'20.01'!$D:$D)*1.2</f>
        <v>0</v>
      </c>
      <c r="AU96" s="110">
        <f t="shared" si="132"/>
        <v>0</v>
      </c>
      <c r="AV96" s="17">
        <f>SUMIF('20.01'!$Q:$Q,$B:$B,'20.01'!$D:$D)*1.2</f>
        <v>0</v>
      </c>
      <c r="AW96" s="17">
        <f>SUMIF('20.01'!$R:$R,$B:$B,'20.01'!$D:$D)*1.2</f>
        <v>0</v>
      </c>
      <c r="AX96" s="110">
        <f t="shared" si="133"/>
        <v>0</v>
      </c>
      <c r="AY96" s="17">
        <f>SUMIF('20.01'!$S:$S,$B:$B,'20.01'!$D:$D)*1.2</f>
        <v>0</v>
      </c>
      <c r="AZ96" s="17">
        <f>SUMIF('20.01'!$T:$T,$B:$B,'20.01'!$D:$D)*1.2</f>
        <v>0</v>
      </c>
      <c r="BA96" s="110">
        <f t="shared" si="134"/>
        <v>94613.232000000004</v>
      </c>
      <c r="BB96" s="17">
        <f>SUMIF('20.01'!$U:$U,$B:$B,'20.01'!$D:$D)*1.2</f>
        <v>94613.232000000004</v>
      </c>
      <c r="BC96" s="17">
        <f>SUMIF('20.01'!$V:$V,$B:$B,'20.01'!$D:$D)*1.2</f>
        <v>0</v>
      </c>
      <c r="BD96" s="17">
        <f>SUMIF('20.01'!$W:$W,$B:$B,'20.01'!$D:$D)*1.2</f>
        <v>0</v>
      </c>
      <c r="BE96" s="110">
        <f>SUMIF('20.01'!$X:$X,$B:$B,'20.01'!$D:$D)*1.2</f>
        <v>0</v>
      </c>
      <c r="BF96" s="110">
        <f t="shared" si="135"/>
        <v>0</v>
      </c>
      <c r="BG96" s="17">
        <f>SUMIF('20.01'!$Y:$Y,$B:$B,'20.01'!$D:$D)*1.2</f>
        <v>0</v>
      </c>
      <c r="BH96" s="17">
        <f>SUMIF('20.01'!$Z:$Z,$B:$B,'20.01'!$D:$D)*1.2</f>
        <v>0</v>
      </c>
      <c r="BI96" s="17">
        <f>SUMIF('20.01'!$AA:$AA,$B:$B,'20.01'!$D:$D)*1.2</f>
        <v>0</v>
      </c>
      <c r="BJ96" s="17">
        <f>SUMIF('20.01'!$AB:$AB,$B:$B,'20.01'!$D:$D)*1.2</f>
        <v>0</v>
      </c>
      <c r="BK96" s="17">
        <f>SUMIF('20.01'!$AC:$AC,$B:$B,'20.01'!$D:$D)*1.2</f>
        <v>0</v>
      </c>
      <c r="BL96" s="17">
        <f>SUMIF('20.01'!$AD:$AD,$B:$B,'20.01'!$D:$D)*1.2</f>
        <v>0</v>
      </c>
      <c r="BM96" s="110">
        <f t="shared" si="136"/>
        <v>0</v>
      </c>
      <c r="BN96" s="17">
        <f>SUMIF('20.01'!$AE:$AE,$B:$B,'20.01'!$D:$D)*1.2</f>
        <v>0</v>
      </c>
      <c r="BO96" s="17">
        <f>SUMIF('20.01'!$AF:$AF,$B:$B,'20.01'!$D:$D)*1.2</f>
        <v>0</v>
      </c>
      <c r="BP96" s="110">
        <f>SUMIF('20.01'!$AG:$AG,$B:$B,'20.01'!$D:$D)*1.2</f>
        <v>19139.903999999999</v>
      </c>
      <c r="BQ96" s="110">
        <f>SUMIF('20.01'!$AH:$AH,$B:$B,'20.01'!$D:$D)*1.2</f>
        <v>0</v>
      </c>
      <c r="BR96" s="110">
        <f>SUMIF('20.01'!$AI:$AI,$B:$B,'20.01'!$D:$D)*1.2</f>
        <v>0</v>
      </c>
      <c r="BS96" s="110">
        <f t="shared" si="137"/>
        <v>0</v>
      </c>
      <c r="BT96" s="17">
        <f>SUMIF('20.01'!$AJ:$AJ,$B:$B,'20.01'!$D:$D)*1.2</f>
        <v>0</v>
      </c>
      <c r="BU96" s="17">
        <f>SUMIF('20.01'!$AK:$AK,$B:$B,'20.01'!$D:$D)*1.2</f>
        <v>0</v>
      </c>
      <c r="BV96" s="110">
        <f>SUMIF('20.01'!$AL:$AL,$B:$B,'20.01'!$D:$D)*1.2</f>
        <v>0</v>
      </c>
      <c r="BW96" s="110">
        <f>SUMIF('20.01'!$AM:$AM,$B:$B,'20.01'!$D:$D)*1.2</f>
        <v>0</v>
      </c>
      <c r="BX96" s="110">
        <f>SUMIF('20.01'!$AN:$AN,$B:$B,'20.01'!$D:$D)*1.2</f>
        <v>0</v>
      </c>
      <c r="BY96" s="110">
        <f t="shared" si="87"/>
        <v>275700.65608868795</v>
      </c>
      <c r="BZ96" s="17">
        <f t="shared" si="82"/>
        <v>223344.19662191402</v>
      </c>
      <c r="CA96" s="17">
        <f t="shared" si="88"/>
        <v>22603.592208808674</v>
      </c>
      <c r="CB96" s="17">
        <f t="shared" si="89"/>
        <v>1502.5710430785739</v>
      </c>
      <c r="CC96" s="17">
        <f>SUMIF('20.01'!$AO:$AO,$B:$B,'20.01'!$D:$D)*1.2</f>
        <v>0</v>
      </c>
      <c r="CD96" s="17">
        <f t="shared" si="90"/>
        <v>23588.839288626561</v>
      </c>
      <c r="CE96" s="17">
        <f>SUMIF('20.01'!$AQ:$AQ,$B:$B,'20.01'!$D:$D)*1.2</f>
        <v>0</v>
      </c>
      <c r="CF96" s="17">
        <f t="shared" si="91"/>
        <v>2146.2114836729584</v>
      </c>
      <c r="CG96" s="17">
        <f>SUMIF('20.01'!$AR:$AR,$B:$B,'20.01'!$D:$D)*1.2</f>
        <v>0</v>
      </c>
      <c r="CH96" s="17">
        <f t="shared" si="92"/>
        <v>1263.9628321791051</v>
      </c>
      <c r="CI96" s="17">
        <f>SUMIF('20.01'!$AT:$AT,$B:$B,'20.01'!$D:$D)*1.2</f>
        <v>0</v>
      </c>
      <c r="CJ96" s="17">
        <f>SUMIF('20.01'!$AU:$AU,$B:$B,'20.01'!$D:$D)*1.2</f>
        <v>0</v>
      </c>
      <c r="CK96" s="17">
        <f>SUMIF('20.01'!$AV:$AV,$B:$B,'20.01'!$D:$D)*1.2</f>
        <v>0</v>
      </c>
      <c r="CL96" s="17">
        <f t="shared" si="93"/>
        <v>1251.2826104080802</v>
      </c>
      <c r="CM96" s="17">
        <f>SUMIF('20.01'!$AW:$AW,$B:$B,'20.01'!$D:$D)*1.2</f>
        <v>0</v>
      </c>
      <c r="CN96" s="17">
        <f>SUMIF('20.01'!$AX:$AX,$B:$B,'20.01'!$D:$D)*1.2</f>
        <v>0</v>
      </c>
      <c r="CO96" s="110">
        <f t="shared" si="138"/>
        <v>419757.04232712497</v>
      </c>
      <c r="CP96" s="17">
        <f t="shared" si="139"/>
        <v>331121.72357432765</v>
      </c>
      <c r="CQ96" s="17">
        <f t="shared" si="94"/>
        <v>102155.60783868491</v>
      </c>
      <c r="CR96" s="17">
        <f t="shared" si="95"/>
        <v>228966.11573564273</v>
      </c>
      <c r="CS96" s="17">
        <f t="shared" si="140"/>
        <v>88635.31875279735</v>
      </c>
      <c r="CT96" s="17">
        <f t="shared" si="96"/>
        <v>3229.0624153540957</v>
      </c>
      <c r="CU96" s="17">
        <f t="shared" si="97"/>
        <v>3123.2573336306054</v>
      </c>
      <c r="CV96" s="17">
        <f t="shared" si="98"/>
        <v>3227.9547163770098</v>
      </c>
      <c r="CW96" s="17">
        <f t="shared" si="99"/>
        <v>33.848659323624332</v>
      </c>
      <c r="CX96" s="17">
        <f t="shared" si="100"/>
        <v>47662.315356025283</v>
      </c>
      <c r="CY96" s="17">
        <f t="shared" si="101"/>
        <v>31358.880272086735</v>
      </c>
      <c r="CZ96" s="110">
        <f t="shared" si="141"/>
        <v>104194.6867929955</v>
      </c>
      <c r="DA96" s="17">
        <f t="shared" si="142"/>
        <v>3935.8906190260855</v>
      </c>
      <c r="DB96" s="17">
        <f t="shared" si="102"/>
        <v>3735.0158186930157</v>
      </c>
      <c r="DC96" s="17">
        <f t="shared" si="103"/>
        <v>200.87480033306974</v>
      </c>
      <c r="DD96" s="17">
        <f t="shared" si="104"/>
        <v>6935.4907507873486</v>
      </c>
      <c r="DE96" s="17">
        <f t="shared" si="105"/>
        <v>2392.9270573124249</v>
      </c>
      <c r="DF96" s="17">
        <f t="shared" si="106"/>
        <v>2904.150355239527</v>
      </c>
      <c r="DG96" s="17">
        <f t="shared" si="143"/>
        <v>88026.228010630119</v>
      </c>
      <c r="DH96" s="110">
        <f t="shared" si="144"/>
        <v>65025.623958867895</v>
      </c>
      <c r="DI96" s="17">
        <f t="shared" si="107"/>
        <v>58330.635933390295</v>
      </c>
      <c r="DJ96" s="17">
        <f t="shared" si="108"/>
        <v>6451.0255804730878</v>
      </c>
      <c r="DK96" s="17">
        <f t="shared" si="109"/>
        <v>243.96244500451317</v>
      </c>
      <c r="DL96" s="110">
        <f t="shared" si="145"/>
        <v>492058.00618827186</v>
      </c>
      <c r="DM96" s="17">
        <f t="shared" si="110"/>
        <v>204887.24590145558</v>
      </c>
      <c r="DN96" s="17">
        <f t="shared" si="111"/>
        <v>181692.46334657382</v>
      </c>
      <c r="DO96" s="17">
        <f t="shared" si="112"/>
        <v>105478.29694024248</v>
      </c>
      <c r="DP96" s="110">
        <f t="shared" si="146"/>
        <v>164115.23344392329</v>
      </c>
      <c r="DQ96" s="17">
        <f>SUMIF('20.01'!$BB:$BB,$B:$B,'20.01'!$D:$D)*1.2</f>
        <v>6012.5999999999995</v>
      </c>
      <c r="DR96" s="17">
        <f t="shared" si="113"/>
        <v>156939.23044250978</v>
      </c>
      <c r="DS96" s="17">
        <f t="shared" si="114"/>
        <v>1163.4030014135196</v>
      </c>
      <c r="DT96" s="110">
        <f t="shared" si="147"/>
        <v>7965.3240000000005</v>
      </c>
      <c r="DU96" s="17">
        <f>SUMIF('20.01'!$BD:$BD,$B:$B,'20.01'!$D:$D)*1.2</f>
        <v>7965.3240000000005</v>
      </c>
      <c r="DV96" s="17">
        <f t="shared" si="115"/>
        <v>0</v>
      </c>
      <c r="DW96" s="17">
        <f t="shared" si="116"/>
        <v>0</v>
      </c>
      <c r="DX96" s="110">
        <f t="shared" si="117"/>
        <v>1760749.0261351741</v>
      </c>
      <c r="DY96" s="110">
        <f>EC96*EG96</f>
        <v>141851.82639999999</v>
      </c>
      <c r="DZ96" s="110">
        <f t="shared" si="148"/>
        <v>1902600.852535174</v>
      </c>
      <c r="EA96" s="257"/>
      <c r="EB96" s="110">
        <f t="shared" si="118"/>
        <v>886.55421686746979</v>
      </c>
      <c r="EC96" s="110">
        <f>SUMIF(еирц!$B:$B,$B:$B,еирц!$K:$K)</f>
        <v>1773147.8299999998</v>
      </c>
      <c r="ED96" s="110">
        <f>SUMIF(еирц!$B:$B,$B:$B,еирц!$P:$P)</f>
        <v>1739649.62</v>
      </c>
      <c r="EE96" s="110">
        <f>SUMIF(еирц!$B:$B,$B:$B,еирц!$S:$S)</f>
        <v>209974.76</v>
      </c>
      <c r="EF96" s="177">
        <f t="shared" si="149"/>
        <v>13285.358081693295</v>
      </c>
      <c r="EG96" s="182">
        <v>0.08</v>
      </c>
      <c r="EH96" s="177">
        <f t="shared" si="150"/>
        <v>-128566.46831830661</v>
      </c>
    </row>
    <row r="97" spans="1:138" ht="12" customHeight="1" x14ac:dyDescent="0.25">
      <c r="A97" s="5">
        <f t="shared" si="151"/>
        <v>93</v>
      </c>
      <c r="B97" s="6" t="s">
        <v>177</v>
      </c>
      <c r="C97" s="7">
        <f t="shared" si="84"/>
        <v>8981.23</v>
      </c>
      <c r="D97" s="8">
        <v>8981.23</v>
      </c>
      <c r="E97" s="8">
        <v>0</v>
      </c>
      <c r="F97" s="8">
        <v>907.9</v>
      </c>
      <c r="G97" s="87">
        <f t="shared" si="85"/>
        <v>8981.23</v>
      </c>
      <c r="H97" s="87">
        <f t="shared" si="86"/>
        <v>8981.23</v>
      </c>
      <c r="I97" s="91">
        <v>6</v>
      </c>
      <c r="J97" s="112">
        <v>1.4098488837676837E-2</v>
      </c>
      <c r="K97" s="17">
        <v>6</v>
      </c>
      <c r="L97" s="112">
        <f t="shared" si="119"/>
        <v>1.4457831325301205E-2</v>
      </c>
      <c r="M97" s="116">
        <v>3.4064174551535356</v>
      </c>
      <c r="N97" s="120">
        <f t="shared" si="120"/>
        <v>8981.23</v>
      </c>
      <c r="O97" s="116">
        <v>3.0862323810709786</v>
      </c>
      <c r="P97" s="120">
        <f t="shared" si="121"/>
        <v>8981.23</v>
      </c>
      <c r="Q97" s="116">
        <v>1.6009278075877085</v>
      </c>
      <c r="R97" s="120">
        <f t="shared" si="122"/>
        <v>8981.23</v>
      </c>
      <c r="S97" s="5" t="s">
        <v>143</v>
      </c>
      <c r="T97" s="87">
        <v>41.34</v>
      </c>
      <c r="U97" s="88">
        <v>4.68</v>
      </c>
      <c r="V97" s="88">
        <v>7.92</v>
      </c>
      <c r="W97" s="88">
        <v>12.32</v>
      </c>
      <c r="X97" s="88">
        <v>6.34</v>
      </c>
      <c r="Y97" s="88">
        <v>2.89</v>
      </c>
      <c r="Z97" s="88">
        <v>1.66</v>
      </c>
      <c r="AA97" s="88">
        <v>5.29</v>
      </c>
      <c r="AB97" s="88">
        <v>0.24</v>
      </c>
      <c r="AC97" s="257"/>
      <c r="AD97" s="110">
        <f t="shared" si="123"/>
        <v>242228.46251950655</v>
      </c>
      <c r="AE97" s="110">
        <f t="shared" si="124"/>
        <v>239705.52670503745</v>
      </c>
      <c r="AF97" s="16">
        <f>SUMIF('20.01'!$I:$I,$B:$B,'20.01'!$D:$D)*1.2</f>
        <v>85193.16</v>
      </c>
      <c r="AG97" s="17">
        <f t="shared" si="83"/>
        <v>23958.584094675658</v>
      </c>
      <c r="AH97" s="17">
        <f t="shared" si="125"/>
        <v>6858.0582179349694</v>
      </c>
      <c r="AI97" s="16">
        <f>SUMIF('20.01'!$J:$J,$B:$B,'20.01'!$D:$D)*1.2</f>
        <v>0</v>
      </c>
      <c r="AJ97" s="17">
        <f t="shared" si="126"/>
        <v>2786.9606760744664</v>
      </c>
      <c r="AK97" s="17">
        <f t="shared" si="127"/>
        <v>6780.0561884533408</v>
      </c>
      <c r="AL97" s="17">
        <f t="shared" si="128"/>
        <v>114128.70752789902</v>
      </c>
      <c r="AM97" s="110">
        <f t="shared" si="129"/>
        <v>0</v>
      </c>
      <c r="AN97" s="17">
        <f>SUMIF('20.01'!$K:$K,$B:$B,'20.01'!$D:$D)*1.2</f>
        <v>0</v>
      </c>
      <c r="AO97" s="17">
        <f>SUMIF('20.01'!$L:$L,$B:$B,'20.01'!$D:$D)*1.2</f>
        <v>0</v>
      </c>
      <c r="AP97" s="17">
        <f>SUMIF('20.01'!$M:$M,$B:$B,'20.01'!$D:$D)*1.2</f>
        <v>0</v>
      </c>
      <c r="AQ97" s="110">
        <f t="shared" si="130"/>
        <v>2522.9358144690882</v>
      </c>
      <c r="AR97" s="17">
        <f t="shared" si="131"/>
        <v>2522.9358144690882</v>
      </c>
      <c r="AS97" s="17">
        <f>(SUMIF('20.01'!$N:$N,$B:$B,'20.01'!$D:$D)+SUMIF('20.01'!$O:$O,$B:$B,'20.01'!$D:$D))*1.2</f>
        <v>0</v>
      </c>
      <c r="AT97" s="110">
        <f>SUMIF('20.01'!$P:$P,$B:$B,'20.01'!$D:$D)*1.2</f>
        <v>0</v>
      </c>
      <c r="AU97" s="110">
        <f t="shared" si="132"/>
        <v>0</v>
      </c>
      <c r="AV97" s="17">
        <f>SUMIF('20.01'!$Q:$Q,$B:$B,'20.01'!$D:$D)*1.2</f>
        <v>0</v>
      </c>
      <c r="AW97" s="17">
        <f>SUMIF('20.01'!$R:$R,$B:$B,'20.01'!$D:$D)*1.2</f>
        <v>0</v>
      </c>
      <c r="AX97" s="110">
        <f t="shared" si="133"/>
        <v>0</v>
      </c>
      <c r="AY97" s="17">
        <f>SUMIF('20.01'!$S:$S,$B:$B,'20.01'!$D:$D)*1.2</f>
        <v>0</v>
      </c>
      <c r="AZ97" s="17">
        <f>SUMIF('20.01'!$T:$T,$B:$B,'20.01'!$D:$D)*1.2</f>
        <v>0</v>
      </c>
      <c r="BA97" s="110">
        <f t="shared" si="134"/>
        <v>0</v>
      </c>
      <c r="BB97" s="17">
        <f>SUMIF('20.01'!$U:$U,$B:$B,'20.01'!$D:$D)*1.2</f>
        <v>0</v>
      </c>
      <c r="BC97" s="17">
        <f>SUMIF('20.01'!$V:$V,$B:$B,'20.01'!$D:$D)*1.2</f>
        <v>0</v>
      </c>
      <c r="BD97" s="17">
        <f>SUMIF('20.01'!$W:$W,$B:$B,'20.01'!$D:$D)*1.2</f>
        <v>0</v>
      </c>
      <c r="BE97" s="110">
        <f>SUMIF('20.01'!$X:$X,$B:$B,'20.01'!$D:$D)*1.2</f>
        <v>0</v>
      </c>
      <c r="BF97" s="110">
        <f t="shared" si="135"/>
        <v>0</v>
      </c>
      <c r="BG97" s="17">
        <f>SUMIF('20.01'!$Y:$Y,$B:$B,'20.01'!$D:$D)*1.2</f>
        <v>0</v>
      </c>
      <c r="BH97" s="17">
        <f>SUMIF('20.01'!$Z:$Z,$B:$B,'20.01'!$D:$D)*1.2</f>
        <v>0</v>
      </c>
      <c r="BI97" s="17">
        <f>SUMIF('20.01'!$AA:$AA,$B:$B,'20.01'!$D:$D)*1.2</f>
        <v>0</v>
      </c>
      <c r="BJ97" s="17">
        <f>SUMIF('20.01'!$AB:$AB,$B:$B,'20.01'!$D:$D)*1.2</f>
        <v>0</v>
      </c>
      <c r="BK97" s="17">
        <f>SUMIF('20.01'!$AC:$AC,$B:$B,'20.01'!$D:$D)*1.2</f>
        <v>0</v>
      </c>
      <c r="BL97" s="17">
        <f>SUMIF('20.01'!$AD:$AD,$B:$B,'20.01'!$D:$D)*1.2</f>
        <v>0</v>
      </c>
      <c r="BM97" s="110">
        <f t="shared" si="136"/>
        <v>0</v>
      </c>
      <c r="BN97" s="17">
        <f>SUMIF('20.01'!$AE:$AE,$B:$B,'20.01'!$D:$D)*1.2</f>
        <v>0</v>
      </c>
      <c r="BO97" s="17">
        <f>SUMIF('20.01'!$AF:$AF,$B:$B,'20.01'!$D:$D)*1.2</f>
        <v>0</v>
      </c>
      <c r="BP97" s="110">
        <f>SUMIF('20.01'!$AG:$AG,$B:$B,'20.01'!$D:$D)*1.2</f>
        <v>0</v>
      </c>
      <c r="BQ97" s="110">
        <f>SUMIF('20.01'!$AH:$AH,$B:$B,'20.01'!$D:$D)*1.2</f>
        <v>0</v>
      </c>
      <c r="BR97" s="110">
        <f>SUMIF('20.01'!$AI:$AI,$B:$B,'20.01'!$D:$D)*1.2</f>
        <v>0</v>
      </c>
      <c r="BS97" s="110">
        <f t="shared" si="137"/>
        <v>0</v>
      </c>
      <c r="BT97" s="17">
        <f>SUMIF('20.01'!$AJ:$AJ,$B:$B,'20.01'!$D:$D)*1.2</f>
        <v>0</v>
      </c>
      <c r="BU97" s="17">
        <f>SUMIF('20.01'!$AK:$AK,$B:$B,'20.01'!$D:$D)*1.2</f>
        <v>0</v>
      </c>
      <c r="BV97" s="110">
        <f>SUMIF('20.01'!$AL:$AL,$B:$B,'20.01'!$D:$D)*1.2</f>
        <v>0</v>
      </c>
      <c r="BW97" s="110">
        <f>SUMIF('20.01'!$AM:$AM,$B:$B,'20.01'!$D:$D)*1.2</f>
        <v>0</v>
      </c>
      <c r="BX97" s="110">
        <f>SUMIF('20.01'!$AN:$AN,$B:$B,'20.01'!$D:$D)*1.2</f>
        <v>0</v>
      </c>
      <c r="BY97" s="110">
        <f t="shared" si="87"/>
        <v>679434.47576649301</v>
      </c>
      <c r="BZ97" s="17">
        <f t="shared" si="82"/>
        <v>550407.63885046449</v>
      </c>
      <c r="CA97" s="17">
        <f t="shared" si="88"/>
        <v>55704.110540423309</v>
      </c>
      <c r="CB97" s="17">
        <f t="shared" si="89"/>
        <v>3702.9239735563001</v>
      </c>
      <c r="CC97" s="17">
        <f>SUMIF('20.01'!$AO:$AO,$B:$B,'20.01'!$D:$D)*1.2</f>
        <v>0</v>
      </c>
      <c r="CD97" s="17">
        <f t="shared" si="90"/>
        <v>58132.145506583118</v>
      </c>
      <c r="CE97" s="17">
        <f>SUMIF('20.01'!$AQ:$AQ,$B:$B,'20.01'!$D:$D)*1.2</f>
        <v>0</v>
      </c>
      <c r="CF97" s="17">
        <f t="shared" si="91"/>
        <v>5289.1062900636816</v>
      </c>
      <c r="CG97" s="17">
        <f>SUMIF('20.01'!$AR:$AR,$B:$B,'20.01'!$D:$D)*1.2</f>
        <v>0</v>
      </c>
      <c r="CH97" s="17">
        <f t="shared" si="92"/>
        <v>3114.8998208901176</v>
      </c>
      <c r="CI97" s="17">
        <f>SUMIF('20.01'!$AT:$AT,$B:$B,'20.01'!$D:$D)*1.2</f>
        <v>0</v>
      </c>
      <c r="CJ97" s="17">
        <f>SUMIF('20.01'!$AU:$AU,$B:$B,'20.01'!$D:$D)*1.2</f>
        <v>0</v>
      </c>
      <c r="CK97" s="17">
        <f>SUMIF('20.01'!$AV:$AV,$B:$B,'20.01'!$D:$D)*1.2</f>
        <v>0</v>
      </c>
      <c r="CL97" s="17">
        <f t="shared" si="93"/>
        <v>3083.6507845119527</v>
      </c>
      <c r="CM97" s="17">
        <f>SUMIF('20.01'!$AW:$AW,$B:$B,'20.01'!$D:$D)*1.2</f>
        <v>0</v>
      </c>
      <c r="CN97" s="17">
        <f>SUMIF('20.01'!$AX:$AX,$B:$B,'20.01'!$D:$D)*1.2</f>
        <v>0</v>
      </c>
      <c r="CO97" s="110">
        <f t="shared" si="138"/>
        <v>1034445.8734660423</v>
      </c>
      <c r="CP97" s="17">
        <f t="shared" si="139"/>
        <v>816013.70799513184</v>
      </c>
      <c r="CQ97" s="17">
        <f t="shared" si="94"/>
        <v>251751.45697207551</v>
      </c>
      <c r="CR97" s="17">
        <f t="shared" si="95"/>
        <v>564262.25102305633</v>
      </c>
      <c r="CS97" s="17">
        <f t="shared" si="140"/>
        <v>218432.16547091049</v>
      </c>
      <c r="CT97" s="17">
        <f t="shared" si="96"/>
        <v>7957.6754024395414</v>
      </c>
      <c r="CU97" s="17">
        <f t="shared" si="97"/>
        <v>7696.9302114266266</v>
      </c>
      <c r="CV97" s="17">
        <f t="shared" si="98"/>
        <v>7954.9455980042503</v>
      </c>
      <c r="CW97" s="17">
        <f t="shared" si="99"/>
        <v>83.416363345712469</v>
      </c>
      <c r="CX97" s="17">
        <f t="shared" si="100"/>
        <v>117458.62598644357</v>
      </c>
      <c r="CY97" s="17">
        <f t="shared" si="101"/>
        <v>77280.571909250779</v>
      </c>
      <c r="CZ97" s="110">
        <f t="shared" si="141"/>
        <v>256776.54671985924</v>
      </c>
      <c r="DA97" s="17">
        <f t="shared" si="142"/>
        <v>9699.5771332223812</v>
      </c>
      <c r="DB97" s="17">
        <f t="shared" si="102"/>
        <v>9204.5428935682885</v>
      </c>
      <c r="DC97" s="17">
        <f t="shared" si="103"/>
        <v>495.0342396540928</v>
      </c>
      <c r="DD97" s="17">
        <f t="shared" si="104"/>
        <v>17091.767532568832</v>
      </c>
      <c r="DE97" s="17">
        <f t="shared" si="105"/>
        <v>5897.1101621518137</v>
      </c>
      <c r="DF97" s="17">
        <f t="shared" si="106"/>
        <v>7156.9647390483742</v>
      </c>
      <c r="DG97" s="17">
        <f t="shared" si="143"/>
        <v>216931.12715286782</v>
      </c>
      <c r="DH97" s="110">
        <f t="shared" si="144"/>
        <v>160248.62382507496</v>
      </c>
      <c r="DI97" s="17">
        <f t="shared" si="107"/>
        <v>143749.54927122241</v>
      </c>
      <c r="DJ97" s="17">
        <f t="shared" si="108"/>
        <v>15897.855469792643</v>
      </c>
      <c r="DK97" s="17">
        <f t="shared" si="109"/>
        <v>601.21908405989564</v>
      </c>
      <c r="DL97" s="110">
        <f t="shared" si="145"/>
        <v>1212623.7863347307</v>
      </c>
      <c r="DM97" s="17">
        <f t="shared" si="110"/>
        <v>504922.47818777571</v>
      </c>
      <c r="DN97" s="17">
        <f t="shared" si="111"/>
        <v>447761.44292123505</v>
      </c>
      <c r="DO97" s="17">
        <f t="shared" si="112"/>
        <v>259939.86522571999</v>
      </c>
      <c r="DP97" s="110">
        <f t="shared" si="146"/>
        <v>399756.89524076274</v>
      </c>
      <c r="DQ97" s="17">
        <f>SUMIF('20.01'!$BB:$BB,$B:$B,'20.01'!$D:$D)*1.2</f>
        <v>10384.56</v>
      </c>
      <c r="DR97" s="17">
        <f t="shared" si="113"/>
        <v>386507.12715650164</v>
      </c>
      <c r="DS97" s="17">
        <f t="shared" si="114"/>
        <v>2865.2080842610753</v>
      </c>
      <c r="DT97" s="110">
        <f t="shared" si="147"/>
        <v>18775.403999999999</v>
      </c>
      <c r="DU97" s="17">
        <f>SUMIF('20.01'!$BD:$BD,$B:$B,'20.01'!$D:$D)*1.2</f>
        <v>18775.403999999999</v>
      </c>
      <c r="DV97" s="17">
        <f t="shared" si="115"/>
        <v>0</v>
      </c>
      <c r="DW97" s="17">
        <f t="shared" si="116"/>
        <v>0</v>
      </c>
      <c r="DX97" s="110">
        <f t="shared" si="117"/>
        <v>4004290.0678724698</v>
      </c>
      <c r="DY97" s="110">
        <f>EC97*EG97</f>
        <v>568069.08600000001</v>
      </c>
      <c r="DZ97" s="110">
        <f t="shared" si="148"/>
        <v>4572359.1538724694</v>
      </c>
      <c r="EA97" s="257"/>
      <c r="EB97" s="110">
        <f t="shared" si="118"/>
        <v>5319.3253012048199</v>
      </c>
      <c r="EC97" s="110">
        <f>SUMIF(еирц!$B:$B,$B:$B,еирц!$K:$K)</f>
        <v>4369762.2</v>
      </c>
      <c r="ED97" s="110">
        <f>SUMIF(еирц!$B:$B,$B:$B,еирц!$P:$P)</f>
        <v>4233394.41</v>
      </c>
      <c r="EE97" s="110">
        <f>SUMIF(еирц!$B:$B,$B:$B,еирц!$S:$S)</f>
        <v>807764.09000000008</v>
      </c>
      <c r="EF97" s="177">
        <f t="shared" si="149"/>
        <v>370791.45742873522</v>
      </c>
      <c r="EG97" s="183">
        <v>0.13</v>
      </c>
      <c r="EH97" s="177">
        <f t="shared" si="150"/>
        <v>-197277.62857126445</v>
      </c>
    </row>
    <row r="98" spans="1:138" ht="12" customHeight="1" x14ac:dyDescent="0.25">
      <c r="A98" s="5">
        <f t="shared" si="151"/>
        <v>94</v>
      </c>
      <c r="B98" s="6" t="s">
        <v>178</v>
      </c>
      <c r="C98" s="7">
        <f t="shared" si="84"/>
        <v>8840.4</v>
      </c>
      <c r="D98" s="8">
        <v>6805.3</v>
      </c>
      <c r="E98" s="8">
        <v>2035.1</v>
      </c>
      <c r="F98" s="8">
        <v>891.3</v>
      </c>
      <c r="G98" s="87">
        <f t="shared" si="85"/>
        <v>8840.4</v>
      </c>
      <c r="H98" s="87">
        <f t="shared" si="86"/>
        <v>8840.4</v>
      </c>
      <c r="I98" s="91">
        <v>4</v>
      </c>
      <c r="J98" s="112">
        <v>1.3869390516241897E-2</v>
      </c>
      <c r="K98" s="17">
        <v>2</v>
      </c>
      <c r="L98" s="112">
        <f t="shared" si="119"/>
        <v>4.8192771084337345E-3</v>
      </c>
      <c r="M98" s="116">
        <v>3.4064168931159422</v>
      </c>
      <c r="N98" s="120">
        <f t="shared" si="120"/>
        <v>8840.4</v>
      </c>
      <c r="O98" s="116">
        <v>3.0862315126811595</v>
      </c>
      <c r="P98" s="120">
        <f t="shared" si="121"/>
        <v>8840.4</v>
      </c>
      <c r="Q98" s="116">
        <v>1.6009269021739132</v>
      </c>
      <c r="R98" s="120">
        <f t="shared" si="122"/>
        <v>8840.4</v>
      </c>
      <c r="S98" s="5" t="s">
        <v>143</v>
      </c>
      <c r="T98" s="87">
        <v>41.34</v>
      </c>
      <c r="U98" s="88">
        <v>4.68</v>
      </c>
      <c r="V98" s="88">
        <v>7.92</v>
      </c>
      <c r="W98" s="88">
        <v>12.32</v>
      </c>
      <c r="X98" s="88">
        <v>6.34</v>
      </c>
      <c r="Y98" s="88">
        <v>2.89</v>
      </c>
      <c r="Z98" s="88">
        <v>1.66</v>
      </c>
      <c r="AA98" s="88">
        <v>5.29</v>
      </c>
      <c r="AB98" s="88">
        <v>0.24</v>
      </c>
      <c r="AC98" s="257"/>
      <c r="AD98" s="110">
        <f t="shared" si="123"/>
        <v>660963.14555342705</v>
      </c>
      <c r="AE98" s="110">
        <f t="shared" si="124"/>
        <v>201595.02258427109</v>
      </c>
      <c r="AF98" s="16">
        <f>SUMIF('20.01'!$I:$I,$B:$B,'20.01'!$D:$D)*1.2</f>
        <v>43797.479999999989</v>
      </c>
      <c r="AG98" s="17">
        <f t="shared" si="83"/>
        <v>23582.901988989335</v>
      </c>
      <c r="AH98" s="17">
        <f t="shared" si="125"/>
        <v>6750.5205712171164</v>
      </c>
      <c r="AI98" s="16">
        <f>SUMIF('20.01'!$J:$J,$B:$B,'20.01'!$D:$D)*1.2</f>
        <v>5708.0039999999999</v>
      </c>
      <c r="AJ98" s="17">
        <f t="shared" si="126"/>
        <v>2743.2597941227104</v>
      </c>
      <c r="AK98" s="17">
        <f t="shared" si="127"/>
        <v>6673.7416510213989</v>
      </c>
      <c r="AL98" s="17">
        <f t="shared" si="128"/>
        <v>112339.11457892055</v>
      </c>
      <c r="AM98" s="110">
        <f t="shared" si="129"/>
        <v>73639.56</v>
      </c>
      <c r="AN98" s="17">
        <f>SUMIF('20.01'!$K:$K,$B:$B,'20.01'!$D:$D)*1.2</f>
        <v>73639.56</v>
      </c>
      <c r="AO98" s="17">
        <f>SUMIF('20.01'!$L:$L,$B:$B,'20.01'!$D:$D)*1.2</f>
        <v>0</v>
      </c>
      <c r="AP98" s="17">
        <f>SUMIF('20.01'!$M:$M,$B:$B,'20.01'!$D:$D)*1.2</f>
        <v>0</v>
      </c>
      <c r="AQ98" s="110">
        <f t="shared" si="130"/>
        <v>2483.3749691559542</v>
      </c>
      <c r="AR98" s="17">
        <f t="shared" si="131"/>
        <v>2483.3749691559542</v>
      </c>
      <c r="AS98" s="17">
        <f>(SUMIF('20.01'!$N:$N,$B:$B,'20.01'!$D:$D)+SUMIF('20.01'!$O:$O,$B:$B,'20.01'!$D:$D))*1.2</f>
        <v>0</v>
      </c>
      <c r="AT98" s="110">
        <f>SUMIF('20.01'!$P:$P,$B:$B,'20.01'!$D:$D)*1.2</f>
        <v>0</v>
      </c>
      <c r="AU98" s="110">
        <f t="shared" si="132"/>
        <v>0</v>
      </c>
      <c r="AV98" s="17">
        <f>SUMIF('20.01'!$Q:$Q,$B:$B,'20.01'!$D:$D)*1.2</f>
        <v>0</v>
      </c>
      <c r="AW98" s="17">
        <f>SUMIF('20.01'!$R:$R,$B:$B,'20.01'!$D:$D)*1.2</f>
        <v>0</v>
      </c>
      <c r="AX98" s="110">
        <f t="shared" si="133"/>
        <v>109139.25600000001</v>
      </c>
      <c r="AY98" s="17">
        <f>SUMIF('20.01'!$S:$S,$B:$B,'20.01'!$D:$D)*1.2</f>
        <v>109139.25600000001</v>
      </c>
      <c r="AZ98" s="17">
        <f>SUMIF('20.01'!$T:$T,$B:$B,'20.01'!$D:$D)*1.2</f>
        <v>0</v>
      </c>
      <c r="BA98" s="110">
        <f t="shared" si="134"/>
        <v>0</v>
      </c>
      <c r="BB98" s="17">
        <f>SUMIF('20.01'!$U:$U,$B:$B,'20.01'!$D:$D)*1.2</f>
        <v>0</v>
      </c>
      <c r="BC98" s="17">
        <f>SUMIF('20.01'!$V:$V,$B:$B,'20.01'!$D:$D)*1.2</f>
        <v>0</v>
      </c>
      <c r="BD98" s="17">
        <f>SUMIF('20.01'!$W:$W,$B:$B,'20.01'!$D:$D)*1.2</f>
        <v>0</v>
      </c>
      <c r="BE98" s="110">
        <f>SUMIF('20.01'!$X:$X,$B:$B,'20.01'!$D:$D)*1.2</f>
        <v>0</v>
      </c>
      <c r="BF98" s="110">
        <f t="shared" si="135"/>
        <v>0</v>
      </c>
      <c r="BG98" s="17">
        <f>SUMIF('20.01'!$Y:$Y,$B:$B,'20.01'!$D:$D)*1.2</f>
        <v>0</v>
      </c>
      <c r="BH98" s="17">
        <f>SUMIF('20.01'!$Z:$Z,$B:$B,'20.01'!$D:$D)*1.2</f>
        <v>0</v>
      </c>
      <c r="BI98" s="17">
        <f>SUMIF('20.01'!$AA:$AA,$B:$B,'20.01'!$D:$D)*1.2</f>
        <v>0</v>
      </c>
      <c r="BJ98" s="17">
        <f>SUMIF('20.01'!$AB:$AB,$B:$B,'20.01'!$D:$D)*1.2</f>
        <v>0</v>
      </c>
      <c r="BK98" s="17">
        <f>SUMIF('20.01'!$AC:$AC,$B:$B,'20.01'!$D:$D)*1.2</f>
        <v>0</v>
      </c>
      <c r="BL98" s="17">
        <f>SUMIF('20.01'!$AD:$AD,$B:$B,'20.01'!$D:$D)*1.2</f>
        <v>0</v>
      </c>
      <c r="BM98" s="110">
        <f t="shared" si="136"/>
        <v>0</v>
      </c>
      <c r="BN98" s="17">
        <f>SUMIF('20.01'!$AE:$AE,$B:$B,'20.01'!$D:$D)*1.2</f>
        <v>0</v>
      </c>
      <c r="BO98" s="17">
        <f>SUMIF('20.01'!$AF:$AF,$B:$B,'20.01'!$D:$D)*1.2</f>
        <v>0</v>
      </c>
      <c r="BP98" s="110">
        <f>SUMIF('20.01'!$AG:$AG,$B:$B,'20.01'!$D:$D)*1.2</f>
        <v>0</v>
      </c>
      <c r="BQ98" s="110">
        <f>SUMIF('20.01'!$AH:$AH,$B:$B,'20.01'!$D:$D)*1.2</f>
        <v>0</v>
      </c>
      <c r="BR98" s="110">
        <f>SUMIF('20.01'!$AI:$AI,$B:$B,'20.01'!$D:$D)*1.2</f>
        <v>0</v>
      </c>
      <c r="BS98" s="110">
        <f t="shared" si="137"/>
        <v>0</v>
      </c>
      <c r="BT98" s="17">
        <f>SUMIF('20.01'!$AJ:$AJ,$B:$B,'20.01'!$D:$D)*1.2</f>
        <v>0</v>
      </c>
      <c r="BU98" s="17">
        <f>SUMIF('20.01'!$AK:$AK,$B:$B,'20.01'!$D:$D)*1.2</f>
        <v>0</v>
      </c>
      <c r="BV98" s="110">
        <f>SUMIF('20.01'!$AL:$AL,$B:$B,'20.01'!$D:$D)*1.2</f>
        <v>274105.93199999997</v>
      </c>
      <c r="BW98" s="110">
        <f>SUMIF('20.01'!$AM:$AM,$B:$B,'20.01'!$D:$D)*1.2</f>
        <v>0</v>
      </c>
      <c r="BX98" s="110">
        <f>SUMIF('20.01'!$AN:$AN,$B:$B,'20.01'!$D:$D)*1.2</f>
        <v>0</v>
      </c>
      <c r="BY98" s="110">
        <f t="shared" si="87"/>
        <v>668780.61686050834</v>
      </c>
      <c r="BZ98" s="17">
        <f t="shared" si="82"/>
        <v>541776.98271769518</v>
      </c>
      <c r="CA98" s="17">
        <f t="shared" si="88"/>
        <v>54830.643332990941</v>
      </c>
      <c r="CB98" s="17">
        <f t="shared" si="89"/>
        <v>3644.8603471715028</v>
      </c>
      <c r="CC98" s="17">
        <f>SUMIF('20.01'!$AO:$AO,$B:$B,'20.01'!$D:$D)*1.2</f>
        <v>0</v>
      </c>
      <c r="CD98" s="17">
        <f t="shared" si="90"/>
        <v>57220.605544719088</v>
      </c>
      <c r="CE98" s="17">
        <f>SUMIF('20.01'!$AQ:$AQ,$B:$B,'20.01'!$D:$D)*1.2</f>
        <v>0</v>
      </c>
      <c r="CF98" s="17">
        <f t="shared" si="91"/>
        <v>5206.1705631276527</v>
      </c>
      <c r="CG98" s="17">
        <f>SUMIF('20.01'!$AR:$AR,$B:$B,'20.01'!$D:$D)*1.2</f>
        <v>0</v>
      </c>
      <c r="CH98" s="17">
        <f t="shared" si="92"/>
        <v>3066.0566956415764</v>
      </c>
      <c r="CI98" s="17">
        <f>SUMIF('20.01'!$AT:$AT,$B:$B,'20.01'!$D:$D)*1.2</f>
        <v>0</v>
      </c>
      <c r="CJ98" s="17">
        <f>SUMIF('20.01'!$AU:$AU,$B:$B,'20.01'!$D:$D)*1.2</f>
        <v>0</v>
      </c>
      <c r="CK98" s="17">
        <f>SUMIF('20.01'!$AV:$AV,$B:$B,'20.01'!$D:$D)*1.2</f>
        <v>0</v>
      </c>
      <c r="CL98" s="17">
        <f t="shared" si="93"/>
        <v>3035.2976591624388</v>
      </c>
      <c r="CM98" s="17">
        <f>SUMIF('20.01'!$AW:$AW,$B:$B,'20.01'!$D:$D)*1.2</f>
        <v>0</v>
      </c>
      <c r="CN98" s="17">
        <f>SUMIF('20.01'!$AX:$AX,$B:$B,'20.01'!$D:$D)*1.2</f>
        <v>0</v>
      </c>
      <c r="CO98" s="110">
        <f t="shared" si="138"/>
        <v>1018225.2653355054</v>
      </c>
      <c r="CP98" s="17">
        <f t="shared" si="139"/>
        <v>803218.22113008623</v>
      </c>
      <c r="CQ98" s="17">
        <f t="shared" si="94"/>
        <v>247803.87321290476</v>
      </c>
      <c r="CR98" s="17">
        <f t="shared" si="95"/>
        <v>555414.34791718144</v>
      </c>
      <c r="CS98" s="17">
        <f t="shared" si="140"/>
        <v>215007.0442054192</v>
      </c>
      <c r="CT98" s="17">
        <f t="shared" si="96"/>
        <v>7832.8952301329018</v>
      </c>
      <c r="CU98" s="17">
        <f t="shared" si="97"/>
        <v>7576.2386489485243</v>
      </c>
      <c r="CV98" s="17">
        <f t="shared" si="98"/>
        <v>7830.2082303422549</v>
      </c>
      <c r="CW98" s="17">
        <f t="shared" si="99"/>
        <v>82.108354704359712</v>
      </c>
      <c r="CX98" s="17">
        <f t="shared" si="100"/>
        <v>115616.8183167067</v>
      </c>
      <c r="CY98" s="17">
        <f t="shared" si="101"/>
        <v>76068.775424584441</v>
      </c>
      <c r="CZ98" s="110">
        <f t="shared" si="141"/>
        <v>252750.16713994002</v>
      </c>
      <c r="DA98" s="17">
        <f t="shared" si="142"/>
        <v>9547.4831051581059</v>
      </c>
      <c r="DB98" s="17">
        <f t="shared" si="102"/>
        <v>9060.2112401420618</v>
      </c>
      <c r="DC98" s="17">
        <f t="shared" si="103"/>
        <v>487.27186501604371</v>
      </c>
      <c r="DD98" s="17">
        <f t="shared" si="104"/>
        <v>16823.760408643528</v>
      </c>
      <c r="DE98" s="17">
        <f t="shared" si="105"/>
        <v>5804.640642482922</v>
      </c>
      <c r="DF98" s="17">
        <f t="shared" si="106"/>
        <v>7044.7400945174822</v>
      </c>
      <c r="DG98" s="17">
        <f t="shared" si="143"/>
        <v>213529.54288913799</v>
      </c>
      <c r="DH98" s="110">
        <f t="shared" si="144"/>
        <v>157735.84843759623</v>
      </c>
      <c r="DI98" s="17">
        <f t="shared" si="107"/>
        <v>141495.48729709789</v>
      </c>
      <c r="DJ98" s="17">
        <f t="shared" si="108"/>
        <v>15648.569460436363</v>
      </c>
      <c r="DK98" s="17">
        <f t="shared" si="109"/>
        <v>591.79168006198495</v>
      </c>
      <c r="DL98" s="110">
        <f t="shared" si="145"/>
        <v>1193609.262953243</v>
      </c>
      <c r="DM98" s="17">
        <f t="shared" si="110"/>
        <v>497005.05122029077</v>
      </c>
      <c r="DN98" s="17">
        <f t="shared" si="111"/>
        <v>440740.32844063523</v>
      </c>
      <c r="DO98" s="17">
        <f t="shared" si="112"/>
        <v>255863.88329231687</v>
      </c>
      <c r="DP98" s="110">
        <f t="shared" si="146"/>
        <v>395070.29340343393</v>
      </c>
      <c r="DQ98" s="17">
        <f>SUMIF('20.01'!$BB:$BB,$B:$B,'20.01'!$D:$D)*1.2</f>
        <v>12025.199999999999</v>
      </c>
      <c r="DR98" s="17">
        <f t="shared" si="113"/>
        <v>380226.44451925618</v>
      </c>
      <c r="DS98" s="17">
        <f t="shared" si="114"/>
        <v>2818.6488841777427</v>
      </c>
      <c r="DT98" s="110">
        <f t="shared" si="147"/>
        <v>15172.067999999999</v>
      </c>
      <c r="DU98" s="17">
        <f>SUMIF('20.01'!$BD:$BD,$B:$B,'20.01'!$D:$D)*1.2</f>
        <v>15172.067999999999</v>
      </c>
      <c r="DV98" s="17">
        <f t="shared" si="115"/>
        <v>0</v>
      </c>
      <c r="DW98" s="17">
        <f t="shared" si="116"/>
        <v>0</v>
      </c>
      <c r="DX98" s="110">
        <f t="shared" si="117"/>
        <v>4362306.6676836535</v>
      </c>
      <c r="DY98" s="110"/>
      <c r="DZ98" s="110">
        <f t="shared" si="148"/>
        <v>4362306.6676836535</v>
      </c>
      <c r="EA98" s="257"/>
      <c r="EB98" s="110">
        <f t="shared" si="118"/>
        <v>1773.1084337349396</v>
      </c>
      <c r="EC98" s="110">
        <f>SUMIF(еирц!$B:$B,$B:$B,еирц!$K:$K)</f>
        <v>3311225.7199999997</v>
      </c>
      <c r="ED98" s="110">
        <f>SUMIF(еирц!$B:$B,$B:$B,еирц!$P:$P)</f>
        <v>3259962.5799999996</v>
      </c>
      <c r="EE98" s="110">
        <f>SUMIF(еирц!$B:$B,$B:$B,еирц!$S:$S)</f>
        <v>633495.15</v>
      </c>
      <c r="EF98" s="177">
        <f t="shared" si="149"/>
        <v>-1049307.8392499187</v>
      </c>
      <c r="EG98" s="181">
        <f t="shared" si="152"/>
        <v>0</v>
      </c>
      <c r="EH98" s="177">
        <f t="shared" si="150"/>
        <v>-1049307.8392499187</v>
      </c>
    </row>
    <row r="99" spans="1:138" ht="12" customHeight="1" x14ac:dyDescent="0.25">
      <c r="A99" s="5">
        <f t="shared" si="151"/>
        <v>95</v>
      </c>
      <c r="B99" s="6" t="s">
        <v>179</v>
      </c>
      <c r="C99" s="7">
        <f t="shared" si="84"/>
        <v>6129.1</v>
      </c>
      <c r="D99" s="8">
        <v>5037.1000000000004</v>
      </c>
      <c r="E99" s="8">
        <v>1092</v>
      </c>
      <c r="F99" s="8">
        <v>913.65</v>
      </c>
      <c r="G99" s="87">
        <f t="shared" si="85"/>
        <v>6129.1</v>
      </c>
      <c r="H99" s="87">
        <f t="shared" si="86"/>
        <v>6129.1</v>
      </c>
      <c r="I99" s="91">
        <v>2</v>
      </c>
      <c r="J99" s="112">
        <v>9.6201109377962862E-3</v>
      </c>
      <c r="K99" s="17">
        <v>1</v>
      </c>
      <c r="L99" s="112">
        <f t="shared" si="119"/>
        <v>2.4096385542168672E-3</v>
      </c>
      <c r="M99" s="116">
        <v>3.4064158621364933</v>
      </c>
      <c r="N99" s="120">
        <f t="shared" si="120"/>
        <v>6129.1</v>
      </c>
      <c r="O99" s="116">
        <v>3.0862314044192054</v>
      </c>
      <c r="P99" s="120">
        <f t="shared" si="121"/>
        <v>6129.1</v>
      </c>
      <c r="Q99" s="116">
        <v>1.6009276542968112</v>
      </c>
      <c r="R99" s="120">
        <f t="shared" si="122"/>
        <v>6129.1</v>
      </c>
      <c r="S99" s="5" t="s">
        <v>143</v>
      </c>
      <c r="T99" s="87">
        <v>41.34</v>
      </c>
      <c r="U99" s="88">
        <v>4.68</v>
      </c>
      <c r="V99" s="88">
        <v>7.92</v>
      </c>
      <c r="W99" s="88">
        <v>12.32</v>
      </c>
      <c r="X99" s="88">
        <v>6.34</v>
      </c>
      <c r="Y99" s="88">
        <v>2.89</v>
      </c>
      <c r="Z99" s="88">
        <v>1.66</v>
      </c>
      <c r="AA99" s="88">
        <v>5.29</v>
      </c>
      <c r="AB99" s="88">
        <v>0.24</v>
      </c>
      <c r="AC99" s="257"/>
      <c r="AD99" s="110">
        <f t="shared" si="123"/>
        <v>460571.37509790389</v>
      </c>
      <c r="AE99" s="110">
        <f t="shared" si="124"/>
        <v>180441.23699516495</v>
      </c>
      <c r="AF99" s="16">
        <f>SUMIF('20.01'!$I:$I,$B:$B,'20.01'!$D:$D)*1.2</f>
        <v>68186.675999999992</v>
      </c>
      <c r="AG99" s="17">
        <f t="shared" si="83"/>
        <v>16350.161144372942</v>
      </c>
      <c r="AH99" s="17">
        <f t="shared" si="125"/>
        <v>4680.1746112219844</v>
      </c>
      <c r="AI99" s="16">
        <f>SUMIF('20.01'!$J:$J,$B:$B,'20.01'!$D:$D)*1.2</f>
        <v>6810.0119999999997</v>
      </c>
      <c r="AJ99" s="17">
        <f t="shared" si="126"/>
        <v>1901.9177417489602</v>
      </c>
      <c r="AK99" s="17">
        <f t="shared" si="127"/>
        <v>4626.9433456942288</v>
      </c>
      <c r="AL99" s="17">
        <f t="shared" si="128"/>
        <v>77885.352152126827</v>
      </c>
      <c r="AM99" s="110">
        <f t="shared" si="129"/>
        <v>0</v>
      </c>
      <c r="AN99" s="17">
        <f>SUMIF('20.01'!$K:$K,$B:$B,'20.01'!$D:$D)*1.2</f>
        <v>0</v>
      </c>
      <c r="AO99" s="17">
        <f>SUMIF('20.01'!$L:$L,$B:$B,'20.01'!$D:$D)*1.2</f>
        <v>0</v>
      </c>
      <c r="AP99" s="17">
        <f>SUMIF('20.01'!$M:$M,$B:$B,'20.01'!$D:$D)*1.2</f>
        <v>0</v>
      </c>
      <c r="AQ99" s="110">
        <f t="shared" si="130"/>
        <v>1721.738102738989</v>
      </c>
      <c r="AR99" s="17">
        <f t="shared" si="131"/>
        <v>1721.738102738989</v>
      </c>
      <c r="AS99" s="17">
        <f>(SUMIF('20.01'!$N:$N,$B:$B,'20.01'!$D:$D)+SUMIF('20.01'!$O:$O,$B:$B,'20.01'!$D:$D))*1.2</f>
        <v>0</v>
      </c>
      <c r="AT99" s="110">
        <f>SUMIF('20.01'!$P:$P,$B:$B,'20.01'!$D:$D)*1.2</f>
        <v>0</v>
      </c>
      <c r="AU99" s="110">
        <f t="shared" si="132"/>
        <v>0</v>
      </c>
      <c r="AV99" s="17">
        <f>SUMIF('20.01'!$Q:$Q,$B:$B,'20.01'!$D:$D)*1.2</f>
        <v>0</v>
      </c>
      <c r="AW99" s="17">
        <f>SUMIF('20.01'!$R:$R,$B:$B,'20.01'!$D:$D)*1.2</f>
        <v>0</v>
      </c>
      <c r="AX99" s="110">
        <f t="shared" si="133"/>
        <v>0</v>
      </c>
      <c r="AY99" s="17">
        <f>SUMIF('20.01'!$S:$S,$B:$B,'20.01'!$D:$D)*1.2</f>
        <v>0</v>
      </c>
      <c r="AZ99" s="17">
        <f>SUMIF('20.01'!$T:$T,$B:$B,'20.01'!$D:$D)*1.2</f>
        <v>0</v>
      </c>
      <c r="BA99" s="110">
        <f t="shared" si="134"/>
        <v>0</v>
      </c>
      <c r="BB99" s="17">
        <f>SUMIF('20.01'!$U:$U,$B:$B,'20.01'!$D:$D)*1.2</f>
        <v>0</v>
      </c>
      <c r="BC99" s="17">
        <f>SUMIF('20.01'!$V:$V,$B:$B,'20.01'!$D:$D)*1.2</f>
        <v>0</v>
      </c>
      <c r="BD99" s="17">
        <f>SUMIF('20.01'!$W:$W,$B:$B,'20.01'!$D:$D)*1.2</f>
        <v>0</v>
      </c>
      <c r="BE99" s="110">
        <f>SUMIF('20.01'!$X:$X,$B:$B,'20.01'!$D:$D)*1.2</f>
        <v>0</v>
      </c>
      <c r="BF99" s="110">
        <f t="shared" si="135"/>
        <v>278408.39999999997</v>
      </c>
      <c r="BG99" s="17">
        <f>SUMIF('20.01'!$Y:$Y,$B:$B,'20.01'!$D:$D)*1.2</f>
        <v>0</v>
      </c>
      <c r="BH99" s="17">
        <f>SUMIF('20.01'!$Z:$Z,$B:$B,'20.01'!$D:$D)*1.2</f>
        <v>278408.39999999997</v>
      </c>
      <c r="BI99" s="17">
        <f>SUMIF('20.01'!$AA:$AA,$B:$B,'20.01'!$D:$D)*1.2</f>
        <v>0</v>
      </c>
      <c r="BJ99" s="17">
        <f>SUMIF('20.01'!$AB:$AB,$B:$B,'20.01'!$D:$D)*1.2</f>
        <v>0</v>
      </c>
      <c r="BK99" s="17">
        <f>SUMIF('20.01'!$AC:$AC,$B:$B,'20.01'!$D:$D)*1.2</f>
        <v>0</v>
      </c>
      <c r="BL99" s="17">
        <f>SUMIF('20.01'!$AD:$AD,$B:$B,'20.01'!$D:$D)*1.2</f>
        <v>0</v>
      </c>
      <c r="BM99" s="110">
        <f t="shared" si="136"/>
        <v>0</v>
      </c>
      <c r="BN99" s="17">
        <f>SUMIF('20.01'!$AE:$AE,$B:$B,'20.01'!$D:$D)*1.2</f>
        <v>0</v>
      </c>
      <c r="BO99" s="17">
        <f>SUMIF('20.01'!$AF:$AF,$B:$B,'20.01'!$D:$D)*1.2</f>
        <v>0</v>
      </c>
      <c r="BP99" s="110">
        <f>SUMIF('20.01'!$AG:$AG,$B:$B,'20.01'!$D:$D)*1.2</f>
        <v>0</v>
      </c>
      <c r="BQ99" s="110">
        <f>SUMIF('20.01'!$AH:$AH,$B:$B,'20.01'!$D:$D)*1.2</f>
        <v>0</v>
      </c>
      <c r="BR99" s="110">
        <f>SUMIF('20.01'!$AI:$AI,$B:$B,'20.01'!$D:$D)*1.2</f>
        <v>0</v>
      </c>
      <c r="BS99" s="110">
        <f t="shared" si="137"/>
        <v>0</v>
      </c>
      <c r="BT99" s="17">
        <f>SUMIF('20.01'!$AJ:$AJ,$B:$B,'20.01'!$D:$D)*1.2</f>
        <v>0</v>
      </c>
      <c r="BU99" s="17">
        <f>SUMIF('20.01'!$AK:$AK,$B:$B,'20.01'!$D:$D)*1.2</f>
        <v>0</v>
      </c>
      <c r="BV99" s="110">
        <f>SUMIF('20.01'!$AL:$AL,$B:$B,'20.01'!$D:$D)*1.2</f>
        <v>0</v>
      </c>
      <c r="BW99" s="110">
        <f>SUMIF('20.01'!$AM:$AM,$B:$B,'20.01'!$D:$D)*1.2</f>
        <v>0</v>
      </c>
      <c r="BX99" s="110">
        <f>SUMIF('20.01'!$AN:$AN,$B:$B,'20.01'!$D:$D)*1.2</f>
        <v>0</v>
      </c>
      <c r="BY99" s="110">
        <f t="shared" si="87"/>
        <v>463669.43563636747</v>
      </c>
      <c r="BZ99" s="17">
        <f t="shared" si="82"/>
        <v>375617.08800224267</v>
      </c>
      <c r="CA99" s="17">
        <f t="shared" si="88"/>
        <v>38014.39935435442</v>
      </c>
      <c r="CB99" s="17">
        <f t="shared" si="89"/>
        <v>2527.0025738483391</v>
      </c>
      <c r="CC99" s="17">
        <f>SUMIF('20.01'!$AO:$AO,$B:$B,'20.01'!$D:$D)*1.2</f>
        <v>0</v>
      </c>
      <c r="CD99" s="17">
        <f t="shared" si="90"/>
        <v>39671.373856854647</v>
      </c>
      <c r="CE99" s="17">
        <f>SUMIF('20.01'!$AQ:$AQ,$B:$B,'20.01'!$D:$D)*1.2</f>
        <v>0</v>
      </c>
      <c r="CF99" s="17">
        <f t="shared" si="91"/>
        <v>3609.4678972066536</v>
      </c>
      <c r="CG99" s="17">
        <f>SUMIF('20.01'!$AR:$AR,$B:$B,'20.01'!$D:$D)*1.2</f>
        <v>0</v>
      </c>
      <c r="CH99" s="17">
        <f t="shared" si="92"/>
        <v>2125.7146840931168</v>
      </c>
      <c r="CI99" s="17">
        <f>SUMIF('20.01'!$AT:$AT,$B:$B,'20.01'!$D:$D)*1.2</f>
        <v>0</v>
      </c>
      <c r="CJ99" s="17">
        <f>SUMIF('20.01'!$AU:$AU,$B:$B,'20.01'!$D:$D)*1.2</f>
        <v>0</v>
      </c>
      <c r="CK99" s="17">
        <f>SUMIF('20.01'!$AV:$AV,$B:$B,'20.01'!$D:$D)*1.2</f>
        <v>0</v>
      </c>
      <c r="CL99" s="17">
        <f t="shared" si="93"/>
        <v>2104.389267767579</v>
      </c>
      <c r="CM99" s="17">
        <f>SUMIF('20.01'!$AW:$AW,$B:$B,'20.01'!$D:$D)*1.2</f>
        <v>0</v>
      </c>
      <c r="CN99" s="17">
        <f>SUMIF('20.01'!$AX:$AX,$B:$B,'20.01'!$D:$D)*1.2</f>
        <v>0</v>
      </c>
      <c r="CO99" s="110">
        <f t="shared" si="138"/>
        <v>705941.4137106745</v>
      </c>
      <c r="CP99" s="17">
        <f t="shared" si="139"/>
        <v>556875.79737663583</v>
      </c>
      <c r="CQ99" s="17">
        <f t="shared" si="94"/>
        <v>171803.84590168032</v>
      </c>
      <c r="CR99" s="17">
        <f t="shared" si="95"/>
        <v>385071.95147495554</v>
      </c>
      <c r="CS99" s="17">
        <f t="shared" si="140"/>
        <v>149065.61633403861</v>
      </c>
      <c r="CT99" s="17">
        <f t="shared" si="96"/>
        <v>5430.5911672557322</v>
      </c>
      <c r="CU99" s="17">
        <f t="shared" si="97"/>
        <v>5252.6496881668709</v>
      </c>
      <c r="CV99" s="17">
        <f t="shared" si="98"/>
        <v>5428.7282548969188</v>
      </c>
      <c r="CW99" s="17">
        <f t="shared" si="99"/>
        <v>56.9261930250318</v>
      </c>
      <c r="CX99" s="17">
        <f t="shared" si="100"/>
        <v>80157.802943863077</v>
      </c>
      <c r="CY99" s="17">
        <f t="shared" si="101"/>
        <v>52738.918086830978</v>
      </c>
      <c r="CZ99" s="110">
        <f t="shared" si="141"/>
        <v>175233.13983727054</v>
      </c>
      <c r="DA99" s="17">
        <f t="shared" si="142"/>
        <v>6619.3247703525349</v>
      </c>
      <c r="DB99" s="17">
        <f t="shared" si="102"/>
        <v>6281.496392918275</v>
      </c>
      <c r="DC99" s="17">
        <f t="shared" si="103"/>
        <v>337.82837743426018</v>
      </c>
      <c r="DD99" s="17">
        <f t="shared" si="104"/>
        <v>11664.009538099754</v>
      </c>
      <c r="DE99" s="17">
        <f t="shared" si="105"/>
        <v>4024.3906341163388</v>
      </c>
      <c r="DF99" s="17">
        <f t="shared" si="106"/>
        <v>4884.1586934196539</v>
      </c>
      <c r="DG99" s="17">
        <f t="shared" si="143"/>
        <v>148041.25620128226</v>
      </c>
      <c r="DH99" s="110">
        <f t="shared" si="144"/>
        <v>109359.16798548381</v>
      </c>
      <c r="DI99" s="17">
        <f t="shared" si="107"/>
        <v>98099.632504484267</v>
      </c>
      <c r="DJ99" s="17">
        <f t="shared" si="108"/>
        <v>10849.242916605643</v>
      </c>
      <c r="DK99" s="17">
        <f t="shared" si="109"/>
        <v>410.29256439390895</v>
      </c>
      <c r="DL99" s="110">
        <f t="shared" si="145"/>
        <v>827536.14469557058</v>
      </c>
      <c r="DM99" s="17">
        <f t="shared" si="110"/>
        <v>344576.4512278047</v>
      </c>
      <c r="DN99" s="17">
        <f t="shared" si="111"/>
        <v>305567.79637182684</v>
      </c>
      <c r="DO99" s="17">
        <f t="shared" si="112"/>
        <v>177391.89709593903</v>
      </c>
      <c r="DP99" s="110">
        <f t="shared" si="146"/>
        <v>272247.89647074649</v>
      </c>
      <c r="DQ99" s="108">
        <f>SUMIF('20.01'!$BB:$BB,$B:$B,'20.01'!$D:$D)*1.2/2</f>
        <v>6559.4879999999994</v>
      </c>
      <c r="DR99" s="17">
        <f t="shared" si="113"/>
        <v>263733.33229571691</v>
      </c>
      <c r="DS99" s="17">
        <f t="shared" si="114"/>
        <v>1955.0761750295699</v>
      </c>
      <c r="DT99" s="110">
        <f t="shared" si="147"/>
        <v>9482.5319999999992</v>
      </c>
      <c r="DU99" s="17">
        <f>SUMIF('20.01'!$BD:$BD,$B:$B,'20.01'!$D:$D)*1.2</f>
        <v>9482.5319999999992</v>
      </c>
      <c r="DV99" s="17">
        <f t="shared" si="115"/>
        <v>0</v>
      </c>
      <c r="DW99" s="17">
        <f t="shared" si="116"/>
        <v>0</v>
      </c>
      <c r="DX99" s="110">
        <f t="shared" si="117"/>
        <v>3024041.1054340173</v>
      </c>
      <c r="DY99" s="110"/>
      <c r="DZ99" s="110">
        <f t="shared" si="148"/>
        <v>3024041.1054340173</v>
      </c>
      <c r="EA99" s="257"/>
      <c r="EB99" s="110">
        <f t="shared" si="118"/>
        <v>886.55421686746979</v>
      </c>
      <c r="EC99" s="110">
        <f>SUMIF(еирц!$B:$B,$B:$B,еирц!$K:$K)</f>
        <v>2450752.0200000005</v>
      </c>
      <c r="ED99" s="110">
        <f>SUMIF(еирц!$B:$B,$B:$B,еирц!$P:$P)</f>
        <v>2511377.0999999996</v>
      </c>
      <c r="EE99" s="110">
        <f>SUMIF(еирц!$B:$B,$B:$B,еирц!$S:$S)</f>
        <v>308907.14</v>
      </c>
      <c r="EF99" s="177">
        <f t="shared" si="149"/>
        <v>-572402.53121714946</v>
      </c>
      <c r="EG99" s="181">
        <f t="shared" si="152"/>
        <v>0</v>
      </c>
      <c r="EH99" s="177">
        <f t="shared" si="150"/>
        <v>-572402.53121714946</v>
      </c>
    </row>
    <row r="100" spans="1:138" ht="12" customHeight="1" x14ac:dyDescent="0.25">
      <c r="A100" s="5">
        <f t="shared" si="151"/>
        <v>96</v>
      </c>
      <c r="B100" s="6" t="s">
        <v>180</v>
      </c>
      <c r="C100" s="7">
        <f t="shared" si="84"/>
        <v>5021.8999999999996</v>
      </c>
      <c r="D100" s="8">
        <v>5021.8999999999996</v>
      </c>
      <c r="E100" s="8">
        <v>0</v>
      </c>
      <c r="F100" s="8">
        <v>913.65</v>
      </c>
      <c r="G100" s="87">
        <f t="shared" si="85"/>
        <v>5021.8999999999996</v>
      </c>
      <c r="H100" s="87">
        <f t="shared" si="86"/>
        <v>5021.8999999999996</v>
      </c>
      <c r="I100" s="91">
        <v>2</v>
      </c>
      <c r="J100" s="112">
        <v>7.879509803176761E-3</v>
      </c>
      <c r="K100" s="17">
        <v>1</v>
      </c>
      <c r="L100" s="112">
        <f t="shared" si="119"/>
        <v>2.4096385542168672E-3</v>
      </c>
      <c r="M100" s="116">
        <v>3.4064167829936589</v>
      </c>
      <c r="N100" s="120">
        <f t="shared" si="120"/>
        <v>5021.8999999999996</v>
      </c>
      <c r="O100" s="116">
        <v>3.0862303035137399</v>
      </c>
      <c r="P100" s="120">
        <f t="shared" si="121"/>
        <v>5021.8999999999996</v>
      </c>
      <c r="Q100" s="116">
        <v>1.6009280261636023</v>
      </c>
      <c r="R100" s="120">
        <f t="shared" si="122"/>
        <v>5021.8999999999996</v>
      </c>
      <c r="S100" s="5" t="s">
        <v>143</v>
      </c>
      <c r="T100" s="87">
        <v>41.34</v>
      </c>
      <c r="U100" s="88">
        <v>4.68</v>
      </c>
      <c r="V100" s="88">
        <v>7.92</v>
      </c>
      <c r="W100" s="88">
        <v>12.32</v>
      </c>
      <c r="X100" s="88">
        <v>6.34</v>
      </c>
      <c r="Y100" s="88">
        <v>2.89</v>
      </c>
      <c r="Z100" s="88">
        <v>1.66</v>
      </c>
      <c r="AA100" s="88">
        <v>5.29</v>
      </c>
      <c r="AB100" s="88">
        <v>0.24</v>
      </c>
      <c r="AC100" s="257"/>
      <c r="AD100" s="110">
        <f t="shared" si="123"/>
        <v>160886.56451377261</v>
      </c>
      <c r="AE100" s="110">
        <f t="shared" si="124"/>
        <v>156451.85224310565</v>
      </c>
      <c r="AF100" s="16">
        <f>SUMIF('20.01'!$I:$I,$B:$B,'20.01'!$D:$D)*1.2</f>
        <v>64347.491999999998</v>
      </c>
      <c r="AG100" s="17">
        <f t="shared" si="83"/>
        <v>13396.562994718061</v>
      </c>
      <c r="AH100" s="17">
        <f t="shared" si="125"/>
        <v>3834.7178019767475</v>
      </c>
      <c r="AI100" s="16">
        <f>SUMIF('20.01'!$J:$J,$B:$B,'20.01'!$D:$D)*1.2</f>
        <v>5707.9919999999993</v>
      </c>
      <c r="AJ100" s="17">
        <f t="shared" si="126"/>
        <v>1558.3431021339352</v>
      </c>
      <c r="AK100" s="17">
        <f t="shared" si="127"/>
        <v>3791.102574234691</v>
      </c>
      <c r="AL100" s="17">
        <f t="shared" si="128"/>
        <v>63815.641770042203</v>
      </c>
      <c r="AM100" s="110">
        <f t="shared" si="129"/>
        <v>0</v>
      </c>
      <c r="AN100" s="17">
        <f>SUMIF('20.01'!$K:$K,$B:$B,'20.01'!$D:$D)*1.2</f>
        <v>0</v>
      </c>
      <c r="AO100" s="17">
        <f>SUMIF('20.01'!$L:$L,$B:$B,'20.01'!$D:$D)*1.2</f>
        <v>0</v>
      </c>
      <c r="AP100" s="17">
        <f>SUMIF('20.01'!$M:$M,$B:$B,'20.01'!$D:$D)*1.2</f>
        <v>0</v>
      </c>
      <c r="AQ100" s="110">
        <f t="shared" si="130"/>
        <v>1410.7122706669704</v>
      </c>
      <c r="AR100" s="17">
        <f t="shared" si="131"/>
        <v>1410.7122706669704</v>
      </c>
      <c r="AS100" s="17">
        <f>(SUMIF('20.01'!$N:$N,$B:$B,'20.01'!$D:$D)+SUMIF('20.01'!$O:$O,$B:$B,'20.01'!$D:$D))*1.2</f>
        <v>0</v>
      </c>
      <c r="AT100" s="110">
        <f>SUMIF('20.01'!$P:$P,$B:$B,'20.01'!$D:$D)*1.2</f>
        <v>0</v>
      </c>
      <c r="AU100" s="110">
        <f t="shared" si="132"/>
        <v>0</v>
      </c>
      <c r="AV100" s="17">
        <f>SUMIF('20.01'!$Q:$Q,$B:$B,'20.01'!$D:$D)*1.2</f>
        <v>0</v>
      </c>
      <c r="AW100" s="17">
        <f>SUMIF('20.01'!$R:$R,$B:$B,'20.01'!$D:$D)*1.2</f>
        <v>0</v>
      </c>
      <c r="AX100" s="110">
        <f t="shared" si="133"/>
        <v>0</v>
      </c>
      <c r="AY100" s="17">
        <f>SUMIF('20.01'!$S:$S,$B:$B,'20.01'!$D:$D)*1.2</f>
        <v>0</v>
      </c>
      <c r="AZ100" s="17">
        <f>SUMIF('20.01'!$T:$T,$B:$B,'20.01'!$D:$D)*1.2</f>
        <v>0</v>
      </c>
      <c r="BA100" s="110">
        <f t="shared" si="134"/>
        <v>0</v>
      </c>
      <c r="BB100" s="17">
        <f>SUMIF('20.01'!$U:$U,$B:$B,'20.01'!$D:$D)*1.2</f>
        <v>0</v>
      </c>
      <c r="BC100" s="17">
        <f>SUMIF('20.01'!$V:$V,$B:$B,'20.01'!$D:$D)*1.2</f>
        <v>0</v>
      </c>
      <c r="BD100" s="17">
        <f>SUMIF('20.01'!$W:$W,$B:$B,'20.01'!$D:$D)*1.2</f>
        <v>0</v>
      </c>
      <c r="BE100" s="110">
        <f>SUMIF('20.01'!$X:$X,$B:$B,'20.01'!$D:$D)*1.2</f>
        <v>0</v>
      </c>
      <c r="BF100" s="110">
        <f t="shared" si="135"/>
        <v>0</v>
      </c>
      <c r="BG100" s="17">
        <f>SUMIF('20.01'!$Y:$Y,$B:$B,'20.01'!$D:$D)*1.2</f>
        <v>0</v>
      </c>
      <c r="BH100" s="17">
        <f>SUMIF('20.01'!$Z:$Z,$B:$B,'20.01'!$D:$D)*1.2</f>
        <v>0</v>
      </c>
      <c r="BI100" s="17">
        <f>SUMIF('20.01'!$AA:$AA,$B:$B,'20.01'!$D:$D)*1.2</f>
        <v>0</v>
      </c>
      <c r="BJ100" s="17">
        <f>SUMIF('20.01'!$AB:$AB,$B:$B,'20.01'!$D:$D)*1.2</f>
        <v>0</v>
      </c>
      <c r="BK100" s="17">
        <f>SUMIF('20.01'!$AC:$AC,$B:$B,'20.01'!$D:$D)*1.2</f>
        <v>0</v>
      </c>
      <c r="BL100" s="17">
        <f>SUMIF('20.01'!$AD:$AD,$B:$B,'20.01'!$D:$D)*1.2</f>
        <v>0</v>
      </c>
      <c r="BM100" s="110">
        <f t="shared" si="136"/>
        <v>0</v>
      </c>
      <c r="BN100" s="17">
        <f>SUMIF('20.01'!$AE:$AE,$B:$B,'20.01'!$D:$D)*1.2</f>
        <v>0</v>
      </c>
      <c r="BO100" s="17">
        <f>SUMIF('20.01'!$AF:$AF,$B:$B,'20.01'!$D:$D)*1.2</f>
        <v>0</v>
      </c>
      <c r="BP100" s="110">
        <f>SUMIF('20.01'!$AG:$AG,$B:$B,'20.01'!$D:$D)*1.2</f>
        <v>0</v>
      </c>
      <c r="BQ100" s="110">
        <f>SUMIF('20.01'!$AH:$AH,$B:$B,'20.01'!$D:$D)*1.2</f>
        <v>0</v>
      </c>
      <c r="BR100" s="110">
        <f>SUMIF('20.01'!$AI:$AI,$B:$B,'20.01'!$D:$D)*1.2</f>
        <v>0</v>
      </c>
      <c r="BS100" s="110">
        <f t="shared" si="137"/>
        <v>3024</v>
      </c>
      <c r="BT100" s="17">
        <f>SUMIF('20.01'!$AJ:$AJ,$B:$B,'20.01'!$D:$D)*1.2</f>
        <v>3024</v>
      </c>
      <c r="BU100" s="17">
        <f>SUMIF('20.01'!$AK:$AK,$B:$B,'20.01'!$D:$D)*1.2</f>
        <v>0</v>
      </c>
      <c r="BV100" s="110">
        <f>SUMIF('20.01'!$AL:$AL,$B:$B,'20.01'!$D:$D)*1.2</f>
        <v>0</v>
      </c>
      <c r="BW100" s="110">
        <f>SUMIF('20.01'!$AM:$AM,$B:$B,'20.01'!$D:$D)*1.2</f>
        <v>0</v>
      </c>
      <c r="BX100" s="110">
        <f>SUMIF('20.01'!$AN:$AN,$B:$B,'20.01'!$D:$D)*1.2</f>
        <v>0</v>
      </c>
      <c r="BY100" s="110">
        <f t="shared" si="87"/>
        <v>379909.20996920811</v>
      </c>
      <c r="BZ100" s="17">
        <f t="shared" si="82"/>
        <v>307763.20409823011</v>
      </c>
      <c r="CA100" s="17">
        <f t="shared" si="88"/>
        <v>31147.23403397439</v>
      </c>
      <c r="CB100" s="17">
        <f t="shared" si="89"/>
        <v>2070.5085943464737</v>
      </c>
      <c r="CC100" s="17">
        <f>SUMIF('20.01'!$AO:$AO,$B:$B,'20.01'!$D:$D)*1.2</f>
        <v>0</v>
      </c>
      <c r="CD100" s="17">
        <f t="shared" si="90"/>
        <v>32504.882017219221</v>
      </c>
      <c r="CE100" s="17">
        <f>SUMIF('20.01'!$AQ:$AQ,$B:$B,'20.01'!$D:$D)*1.2</f>
        <v>0</v>
      </c>
      <c r="CF100" s="17">
        <f t="shared" si="91"/>
        <v>2957.4304274660376</v>
      </c>
      <c r="CG100" s="17">
        <f>SUMIF('20.01'!$AR:$AR,$B:$B,'20.01'!$D:$D)*1.2</f>
        <v>0</v>
      </c>
      <c r="CH100" s="17">
        <f t="shared" si="92"/>
        <v>1741.7119270443004</v>
      </c>
      <c r="CI100" s="17">
        <f>SUMIF('20.01'!$AT:$AT,$B:$B,'20.01'!$D:$D)*1.2</f>
        <v>0</v>
      </c>
      <c r="CJ100" s="17">
        <f>SUMIF('20.01'!$AU:$AU,$B:$B,'20.01'!$D:$D)*1.2</f>
        <v>0</v>
      </c>
      <c r="CK100" s="17">
        <f>SUMIF('20.01'!$AV:$AV,$B:$B,'20.01'!$D:$D)*1.2</f>
        <v>0</v>
      </c>
      <c r="CL100" s="17">
        <f t="shared" si="93"/>
        <v>1724.2388709275428</v>
      </c>
      <c r="CM100" s="17">
        <f>SUMIF('20.01'!$AW:$AW,$B:$B,'20.01'!$D:$D)*1.2</f>
        <v>0</v>
      </c>
      <c r="CN100" s="17">
        <f>SUMIF('20.01'!$AX:$AX,$B:$B,'20.01'!$D:$D)*1.2</f>
        <v>0</v>
      </c>
      <c r="CO100" s="110">
        <f t="shared" si="138"/>
        <v>578415.62146377692</v>
      </c>
      <c r="CP100" s="17">
        <f t="shared" si="139"/>
        <v>456278.17572657112</v>
      </c>
      <c r="CQ100" s="17">
        <f t="shared" si="94"/>
        <v>140768.0954354878</v>
      </c>
      <c r="CR100" s="17">
        <f t="shared" si="95"/>
        <v>315510.08029108332</v>
      </c>
      <c r="CS100" s="17">
        <f t="shared" si="140"/>
        <v>122137.44573720584</v>
      </c>
      <c r="CT100" s="17">
        <f t="shared" si="96"/>
        <v>4449.5742903267292</v>
      </c>
      <c r="CU100" s="17">
        <f t="shared" si="97"/>
        <v>4303.7773031938141</v>
      </c>
      <c r="CV100" s="17">
        <f t="shared" si="98"/>
        <v>4448.0479064245701</v>
      </c>
      <c r="CW100" s="17">
        <f t="shared" si="99"/>
        <v>46.642679798405503</v>
      </c>
      <c r="CX100" s="17">
        <f t="shared" si="100"/>
        <v>65677.5824515485</v>
      </c>
      <c r="CY100" s="17">
        <f t="shared" si="101"/>
        <v>43211.821105913827</v>
      </c>
      <c r="CZ100" s="110">
        <f t="shared" si="141"/>
        <v>143577.89968327957</v>
      </c>
      <c r="DA100" s="17">
        <f t="shared" si="142"/>
        <v>5423.5674184192449</v>
      </c>
      <c r="DB100" s="17">
        <f t="shared" si="102"/>
        <v>5146.7665294409098</v>
      </c>
      <c r="DC100" s="17">
        <f t="shared" si="103"/>
        <v>276.80088897833468</v>
      </c>
      <c r="DD100" s="17">
        <f t="shared" si="104"/>
        <v>9556.9479204749714</v>
      </c>
      <c r="DE100" s="17">
        <f t="shared" si="105"/>
        <v>3297.3988555365127</v>
      </c>
      <c r="DF100" s="17">
        <f t="shared" si="106"/>
        <v>4001.8528890839038</v>
      </c>
      <c r="DG100" s="17">
        <f t="shared" si="143"/>
        <v>121298.13259976494</v>
      </c>
      <c r="DH100" s="110">
        <f t="shared" si="144"/>
        <v>89603.825309800974</v>
      </c>
      <c r="DI100" s="17">
        <f t="shared" si="107"/>
        <v>80378.284654234638</v>
      </c>
      <c r="DJ100" s="17">
        <f t="shared" si="108"/>
        <v>8889.3659759021502</v>
      </c>
      <c r="DK100" s="17">
        <f t="shared" si="109"/>
        <v>336.17467966418741</v>
      </c>
      <c r="DL100" s="110">
        <f t="shared" si="145"/>
        <v>678044.69906620635</v>
      </c>
      <c r="DM100" s="17">
        <f t="shared" si="110"/>
        <v>282329.94736925687</v>
      </c>
      <c r="DN100" s="17">
        <f t="shared" si="111"/>
        <v>250368.06653500136</v>
      </c>
      <c r="DO100" s="17">
        <f t="shared" si="112"/>
        <v>145346.68516194812</v>
      </c>
      <c r="DP100" s="110">
        <f t="shared" si="146"/>
        <v>224175.94093616991</v>
      </c>
      <c r="DQ100" s="108">
        <f>DQ99</f>
        <v>6559.4879999999994</v>
      </c>
      <c r="DR100" s="17">
        <f t="shared" si="113"/>
        <v>216015.11569726362</v>
      </c>
      <c r="DS100" s="17">
        <f t="shared" si="114"/>
        <v>1601.3372389062813</v>
      </c>
      <c r="DT100" s="110">
        <f t="shared" si="147"/>
        <v>9861.8279999999995</v>
      </c>
      <c r="DU100" s="17">
        <f>SUMIF('20.01'!$BD:$BD,$B:$B,'20.01'!$D:$D)*1.2</f>
        <v>9861.8279999999995</v>
      </c>
      <c r="DV100" s="17">
        <f t="shared" si="115"/>
        <v>0</v>
      </c>
      <c r="DW100" s="17">
        <f t="shared" si="116"/>
        <v>0</v>
      </c>
      <c r="DX100" s="110">
        <f t="shared" si="117"/>
        <v>2264475.5889422148</v>
      </c>
      <c r="DY100" s="110">
        <f>EC100*EG100</f>
        <v>193067.01792396631</v>
      </c>
      <c r="DZ100" s="110">
        <f t="shared" si="148"/>
        <v>2457542.6068661814</v>
      </c>
      <c r="EA100" s="257"/>
      <c r="EB100" s="110">
        <f t="shared" si="118"/>
        <v>886.55421686746979</v>
      </c>
      <c r="EC100" s="110">
        <f>SUMIF(еирц!$B:$B,$B:$B,еирц!$K:$K)</f>
        <v>2443404.44</v>
      </c>
      <c r="ED100" s="110">
        <f>SUMIF(еирц!$B:$B,$B:$B,еирц!$P:$P)</f>
        <v>2322910.88</v>
      </c>
      <c r="EE100" s="110">
        <f>SUMIF(еирц!$B:$B,$B:$B,еирц!$S:$S)</f>
        <v>402339.86</v>
      </c>
      <c r="EF100" s="177">
        <f t="shared" si="149"/>
        <v>179815.40527465241</v>
      </c>
      <c r="EG100" s="181">
        <f t="shared" si="152"/>
        <v>7.9015579559136073E-2</v>
      </c>
      <c r="EH100" s="177">
        <f t="shared" si="150"/>
        <v>-13251.612649314106</v>
      </c>
    </row>
    <row r="101" spans="1:138" ht="12" customHeight="1" x14ac:dyDescent="0.25">
      <c r="A101" s="5">
        <f t="shared" si="151"/>
        <v>97</v>
      </c>
      <c r="B101" s="6" t="s">
        <v>181</v>
      </c>
      <c r="C101" s="7">
        <f t="shared" si="84"/>
        <v>8658.6000000000022</v>
      </c>
      <c r="D101" s="8">
        <v>5980.5000000000018</v>
      </c>
      <c r="E101" s="8">
        <v>2678.1</v>
      </c>
      <c r="F101" s="8">
        <v>2125.5</v>
      </c>
      <c r="G101" s="91">
        <f t="shared" si="85"/>
        <v>8658.6000000000022</v>
      </c>
      <c r="H101" s="87">
        <f t="shared" si="86"/>
        <v>0</v>
      </c>
      <c r="I101" s="91">
        <v>3</v>
      </c>
      <c r="J101" s="112">
        <v>1.405878008706804E-2</v>
      </c>
      <c r="K101" s="17">
        <v>0</v>
      </c>
      <c r="L101" s="112">
        <f t="shared" si="119"/>
        <v>0</v>
      </c>
      <c r="M101" s="116">
        <v>3.406417633363183</v>
      </c>
      <c r="N101" s="120">
        <f t="shared" si="120"/>
        <v>8658.6000000000022</v>
      </c>
      <c r="O101" s="116">
        <v>3.0862319662274533</v>
      </c>
      <c r="P101" s="120">
        <f t="shared" si="121"/>
        <v>8658.6000000000022</v>
      </c>
      <c r="Q101" s="116">
        <v>1.6009269336062431</v>
      </c>
      <c r="R101" s="120">
        <f t="shared" si="122"/>
        <v>8658.6000000000022</v>
      </c>
      <c r="S101" s="5" t="s">
        <v>143</v>
      </c>
      <c r="T101" s="87">
        <v>36.54</v>
      </c>
      <c r="U101" s="88">
        <v>4.03</v>
      </c>
      <c r="V101" s="88">
        <v>7</v>
      </c>
      <c r="W101" s="88">
        <v>11</v>
      </c>
      <c r="X101" s="88">
        <v>5.4</v>
      </c>
      <c r="Y101" s="88">
        <v>2.67</v>
      </c>
      <c r="Z101" s="88">
        <v>1.54</v>
      </c>
      <c r="AA101" s="88">
        <v>4.9000000000000004</v>
      </c>
      <c r="AB101" s="88">
        <v>0</v>
      </c>
      <c r="AC101" s="257"/>
      <c r="AD101" s="110">
        <f t="shared" si="123"/>
        <v>355325.11099833762</v>
      </c>
      <c r="AE101" s="110">
        <f t="shared" si="124"/>
        <v>307773.5018415649</v>
      </c>
      <c r="AF101" s="16">
        <f>SUMIF('20.01'!$I:$I,$B:$B,'20.01'!$D:$D)*1.2</f>
        <v>156543.64799999999</v>
      </c>
      <c r="AG101" s="17">
        <f t="shared" si="83"/>
        <v>23097.927148303599</v>
      </c>
      <c r="AH101" s="17">
        <f t="shared" si="125"/>
        <v>6611.698273600804</v>
      </c>
      <c r="AI101" s="16">
        <f>SUMIF('20.01'!$J:$J,$B:$B,'20.01'!$D:$D)*1.2</f>
        <v>2267.9879999999998</v>
      </c>
      <c r="AJ101" s="17">
        <f t="shared" si="126"/>
        <v>2686.8455333911261</v>
      </c>
      <c r="AK101" s="17">
        <f t="shared" si="127"/>
        <v>6536.4982873550853</v>
      </c>
      <c r="AL101" s="17">
        <f t="shared" si="128"/>
        <v>110028.89659891427</v>
      </c>
      <c r="AM101" s="110">
        <f t="shared" si="129"/>
        <v>0</v>
      </c>
      <c r="AN101" s="17">
        <f>SUMIF('20.01'!$K:$K,$B:$B,'20.01'!$D:$D)*1.2</f>
        <v>0</v>
      </c>
      <c r="AO101" s="17">
        <f>SUMIF('20.01'!$L:$L,$B:$B,'20.01'!$D:$D)*1.2</f>
        <v>0</v>
      </c>
      <c r="AP101" s="17">
        <f>SUMIF('20.01'!$M:$M,$B:$B,'20.01'!$D:$D)*1.2</f>
        <v>0</v>
      </c>
      <c r="AQ101" s="110">
        <f t="shared" si="130"/>
        <v>2432.3051567727421</v>
      </c>
      <c r="AR101" s="17">
        <f t="shared" si="131"/>
        <v>2432.3051567727421</v>
      </c>
      <c r="AS101" s="17">
        <f>(SUMIF('20.01'!$N:$N,$B:$B,'20.01'!$D:$D)+SUMIF('20.01'!$O:$O,$B:$B,'20.01'!$D:$D))*1.2</f>
        <v>0</v>
      </c>
      <c r="AT101" s="110">
        <f>SUMIF('20.01'!$P:$P,$B:$B,'20.01'!$D:$D)*1.2</f>
        <v>0</v>
      </c>
      <c r="AU101" s="110">
        <f t="shared" si="132"/>
        <v>0</v>
      </c>
      <c r="AV101" s="17">
        <f>SUMIF('20.01'!$Q:$Q,$B:$B,'20.01'!$D:$D)*1.2</f>
        <v>0</v>
      </c>
      <c r="AW101" s="17">
        <f>SUMIF('20.01'!$R:$R,$B:$B,'20.01'!$D:$D)*1.2</f>
        <v>0</v>
      </c>
      <c r="AX101" s="110">
        <f t="shared" si="133"/>
        <v>0</v>
      </c>
      <c r="AY101" s="17">
        <f>SUMIF('20.01'!$S:$S,$B:$B,'20.01'!$D:$D)*1.2</f>
        <v>0</v>
      </c>
      <c r="AZ101" s="17">
        <f>SUMIF('20.01'!$T:$T,$B:$B,'20.01'!$D:$D)*1.2</f>
        <v>0</v>
      </c>
      <c r="BA101" s="110">
        <f t="shared" si="134"/>
        <v>0</v>
      </c>
      <c r="BB101" s="17">
        <f>SUMIF('20.01'!$U:$U,$B:$B,'20.01'!$D:$D)*1.2</f>
        <v>0</v>
      </c>
      <c r="BC101" s="17">
        <f>SUMIF('20.01'!$V:$V,$B:$B,'20.01'!$D:$D)*1.2</f>
        <v>0</v>
      </c>
      <c r="BD101" s="17">
        <f>SUMIF('20.01'!$W:$W,$B:$B,'20.01'!$D:$D)*1.2</f>
        <v>0</v>
      </c>
      <c r="BE101" s="110">
        <f>SUMIF('20.01'!$X:$X,$B:$B,'20.01'!$D:$D)*1.2</f>
        <v>0</v>
      </c>
      <c r="BF101" s="110">
        <f t="shared" si="135"/>
        <v>0</v>
      </c>
      <c r="BG101" s="17">
        <f>SUMIF('20.01'!$Y:$Y,$B:$B,'20.01'!$D:$D)*1.2</f>
        <v>0</v>
      </c>
      <c r="BH101" s="17">
        <f>SUMIF('20.01'!$Z:$Z,$B:$B,'20.01'!$D:$D)*1.2</f>
        <v>0</v>
      </c>
      <c r="BI101" s="17">
        <f>SUMIF('20.01'!$AA:$AA,$B:$B,'20.01'!$D:$D)*1.2</f>
        <v>0</v>
      </c>
      <c r="BJ101" s="17">
        <f>SUMIF('20.01'!$AB:$AB,$B:$B,'20.01'!$D:$D)*1.2</f>
        <v>0</v>
      </c>
      <c r="BK101" s="17">
        <f>SUMIF('20.01'!$AC:$AC,$B:$B,'20.01'!$D:$D)*1.2</f>
        <v>0</v>
      </c>
      <c r="BL101" s="17">
        <f>SUMIF('20.01'!$AD:$AD,$B:$B,'20.01'!$D:$D)*1.2</f>
        <v>0</v>
      </c>
      <c r="BM101" s="110">
        <f t="shared" si="136"/>
        <v>0</v>
      </c>
      <c r="BN101" s="17">
        <f>SUMIF('20.01'!$AE:$AE,$B:$B,'20.01'!$D:$D)*1.2</f>
        <v>0</v>
      </c>
      <c r="BO101" s="17">
        <f>SUMIF('20.01'!$AF:$AF,$B:$B,'20.01'!$D:$D)*1.2</f>
        <v>0</v>
      </c>
      <c r="BP101" s="110">
        <f>SUMIF('20.01'!$AG:$AG,$B:$B,'20.01'!$D:$D)*1.2</f>
        <v>0</v>
      </c>
      <c r="BQ101" s="110">
        <f>SUMIF('20.01'!$AH:$AH,$B:$B,'20.01'!$D:$D)*1.2</f>
        <v>0</v>
      </c>
      <c r="BR101" s="110">
        <f>SUMIF('20.01'!$AI:$AI,$B:$B,'20.01'!$D:$D)*1.2</f>
        <v>0</v>
      </c>
      <c r="BS101" s="110">
        <f t="shared" si="137"/>
        <v>0</v>
      </c>
      <c r="BT101" s="17">
        <f>SUMIF('20.01'!$AJ:$AJ,$B:$B,'20.01'!$D:$D)*1.2</f>
        <v>0</v>
      </c>
      <c r="BU101" s="17">
        <f>SUMIF('20.01'!$AK:$AK,$B:$B,'20.01'!$D:$D)*1.2</f>
        <v>0</v>
      </c>
      <c r="BV101" s="110">
        <f>SUMIF('20.01'!$AL:$AL,$B:$B,'20.01'!$D:$D)*1.2</f>
        <v>0</v>
      </c>
      <c r="BW101" s="110">
        <f>SUMIF('20.01'!$AM:$AM,$B:$B,'20.01'!$D:$D)*1.2</f>
        <v>0</v>
      </c>
      <c r="BX101" s="110">
        <f>SUMIF('20.01'!$AN:$AN,$B:$B,'20.01'!$D:$D)*1.2</f>
        <v>45119.303999999996</v>
      </c>
      <c r="BY101" s="110">
        <f t="shared" si="87"/>
        <v>655027.35726306518</v>
      </c>
      <c r="BZ101" s="17">
        <f t="shared" si="82"/>
        <v>530635.51225730032</v>
      </c>
      <c r="CA101" s="17">
        <f t="shared" si="88"/>
        <v>53703.06868049359</v>
      </c>
      <c r="CB101" s="17">
        <f t="shared" si="89"/>
        <v>3569.9049592800307</v>
      </c>
      <c r="CC101" s="17">
        <f>SUMIF('20.01'!$AO:$AO,$B:$B,'20.01'!$D:$D)*1.2</f>
        <v>0</v>
      </c>
      <c r="CD101" s="17">
        <f t="shared" si="90"/>
        <v>56043.882083333883</v>
      </c>
      <c r="CE101" s="17">
        <f>SUMIF('20.01'!$AQ:$AQ,$B:$B,'20.01'!$D:$D)*1.2</f>
        <v>0</v>
      </c>
      <c r="CF101" s="17">
        <f t="shared" si="91"/>
        <v>5099.1073297471958</v>
      </c>
      <c r="CG101" s="17">
        <f>SUMIF('20.01'!$AR:$AR,$B:$B,'20.01'!$D:$D)*1.2</f>
        <v>0</v>
      </c>
      <c r="CH101" s="17">
        <f t="shared" si="92"/>
        <v>3003.0042198183523</v>
      </c>
      <c r="CI101" s="17">
        <f>SUMIF('20.01'!$AT:$AT,$B:$B,'20.01'!$D:$D)*1.2</f>
        <v>0</v>
      </c>
      <c r="CJ101" s="17">
        <f>SUMIF('20.01'!$AU:$AU,$B:$B,'20.01'!$D:$D)*1.2</f>
        <v>0</v>
      </c>
      <c r="CK101" s="17">
        <f>SUMIF('20.01'!$AV:$AV,$B:$B,'20.01'!$D:$D)*1.2</f>
        <v>0</v>
      </c>
      <c r="CL101" s="17">
        <f t="shared" si="93"/>
        <v>2972.8777330917037</v>
      </c>
      <c r="CM101" s="17">
        <f>SUMIF('20.01'!$AW:$AW,$B:$B,'20.01'!$D:$D)*1.2</f>
        <v>0</v>
      </c>
      <c r="CN101" s="17">
        <f>SUMIF('20.01'!$AX:$AX,$B:$B,'20.01'!$D:$D)*1.2</f>
        <v>0</v>
      </c>
      <c r="CO101" s="110">
        <f t="shared" si="138"/>
        <v>997285.78824872279</v>
      </c>
      <c r="CP101" s="17">
        <f t="shared" si="139"/>
        <v>786700.29517634562</v>
      </c>
      <c r="CQ101" s="17">
        <f t="shared" si="94"/>
        <v>242707.86577544655</v>
      </c>
      <c r="CR101" s="17">
        <f t="shared" si="95"/>
        <v>543992.4294008991</v>
      </c>
      <c r="CS101" s="17">
        <f t="shared" si="140"/>
        <v>210585.49307237717</v>
      </c>
      <c r="CT101" s="17">
        <f t="shared" si="96"/>
        <v>7671.8142436573871</v>
      </c>
      <c r="CU101" s="17">
        <f t="shared" si="97"/>
        <v>7420.4357230199666</v>
      </c>
      <c r="CV101" s="17">
        <f t="shared" si="98"/>
        <v>7669.1825011584851</v>
      </c>
      <c r="CW101" s="17">
        <f t="shared" si="99"/>
        <v>80.419822637343231</v>
      </c>
      <c r="CX101" s="17">
        <f t="shared" si="100"/>
        <v>113239.19540711245</v>
      </c>
      <c r="CY101" s="17">
        <f t="shared" si="101"/>
        <v>74504.445374791525</v>
      </c>
      <c r="CZ101" s="110">
        <f t="shared" si="141"/>
        <v>247552.44074904814</v>
      </c>
      <c r="DA101" s="17">
        <f t="shared" si="142"/>
        <v>9351.1421671329354</v>
      </c>
      <c r="DB101" s="17">
        <f t="shared" si="102"/>
        <v>8873.8908922553383</v>
      </c>
      <c r="DC101" s="17">
        <f t="shared" si="103"/>
        <v>477.25127487759795</v>
      </c>
      <c r="DD101" s="17">
        <f t="shared" si="104"/>
        <v>16477.785153870966</v>
      </c>
      <c r="DE101" s="17">
        <f t="shared" si="105"/>
        <v>5685.2700632327324</v>
      </c>
      <c r="DF101" s="17">
        <f t="shared" si="106"/>
        <v>6899.8672664572978</v>
      </c>
      <c r="DG101" s="17">
        <f t="shared" si="143"/>
        <v>209138.3760983542</v>
      </c>
      <c r="DH101" s="110">
        <f t="shared" si="144"/>
        <v>154492.06113770543</v>
      </c>
      <c r="DI101" s="17">
        <f t="shared" si="107"/>
        <v>138585.67783252479</v>
      </c>
      <c r="DJ101" s="17">
        <f t="shared" si="108"/>
        <v>15326.76163184181</v>
      </c>
      <c r="DK101" s="17">
        <f t="shared" si="109"/>
        <v>579.6216733388427</v>
      </c>
      <c r="DL101" s="110">
        <f t="shared" si="145"/>
        <v>1169063.0700202424</v>
      </c>
      <c r="DM101" s="17">
        <f t="shared" si="110"/>
        <v>486784.3012189506</v>
      </c>
      <c r="DN101" s="17">
        <f t="shared" si="111"/>
        <v>431676.64447718265</v>
      </c>
      <c r="DO101" s="17">
        <f t="shared" si="112"/>
        <v>250602.12432410926</v>
      </c>
      <c r="DP101" s="110">
        <f t="shared" si="146"/>
        <v>396064.07820451743</v>
      </c>
      <c r="DQ101" s="17">
        <f>SUMIF('20.01'!$BB:$BB,$B:$B,'20.01'!$D:$D)*1.2</f>
        <v>7788.42</v>
      </c>
      <c r="DR101" s="17">
        <f t="shared" si="113"/>
        <v>385418.52005133696</v>
      </c>
      <c r="DS101" s="17">
        <f t="shared" si="114"/>
        <v>2857.1381531805059</v>
      </c>
      <c r="DT101" s="110">
        <f t="shared" si="147"/>
        <v>0</v>
      </c>
      <c r="DU101" s="17">
        <f>SUMIF('20.01'!$BD:$BD,$B:$B,'20.01'!$D:$D)*1.2</f>
        <v>0</v>
      </c>
      <c r="DV101" s="17">
        <f t="shared" si="115"/>
        <v>0</v>
      </c>
      <c r="DW101" s="17">
        <f t="shared" si="116"/>
        <v>0</v>
      </c>
      <c r="DX101" s="110">
        <f t="shared" si="117"/>
        <v>3974809.9066216387</v>
      </c>
      <c r="DY101" s="110"/>
      <c r="DZ101" s="110">
        <f t="shared" si="148"/>
        <v>3974809.9066216387</v>
      </c>
      <c r="EA101" s="257"/>
      <c r="EB101" s="110">
        <f t="shared" si="118"/>
        <v>0</v>
      </c>
      <c r="EC101" s="110">
        <f>SUMIF(еирц!$B:$B,$B:$B,еирц!$K:$K)</f>
        <v>2105650.0699999998</v>
      </c>
      <c r="ED101" s="110">
        <f>SUMIF(еирц!$B:$B,$B:$B,еирц!$P:$P)</f>
        <v>2620457.6100000003</v>
      </c>
      <c r="EE101" s="110">
        <f>SUMIF(еирц!$B:$B,$B:$B,еирц!$S:$S)</f>
        <v>634489.79</v>
      </c>
      <c r="EF101" s="177">
        <f t="shared" si="149"/>
        <v>-1869159.8366216389</v>
      </c>
      <c r="EG101" s="181">
        <f t="shared" si="152"/>
        <v>0</v>
      </c>
      <c r="EH101" s="177">
        <f t="shared" si="150"/>
        <v>-1869159.8366216389</v>
      </c>
    </row>
    <row r="102" spans="1:138" ht="12" customHeight="1" x14ac:dyDescent="0.25">
      <c r="A102" s="5">
        <f t="shared" si="151"/>
        <v>98</v>
      </c>
      <c r="B102" s="6" t="s">
        <v>182</v>
      </c>
      <c r="C102" s="7">
        <f t="shared" si="84"/>
        <v>3369.8</v>
      </c>
      <c r="D102" s="8">
        <v>3369.8</v>
      </c>
      <c r="E102" s="8">
        <v>0</v>
      </c>
      <c r="F102" s="8">
        <v>333.8</v>
      </c>
      <c r="G102" s="87">
        <f t="shared" si="85"/>
        <v>3369.8</v>
      </c>
      <c r="H102" s="87">
        <f t="shared" si="86"/>
        <v>3369.8</v>
      </c>
      <c r="I102" s="91">
        <v>0</v>
      </c>
      <c r="J102" s="112">
        <v>0</v>
      </c>
      <c r="K102" s="17">
        <v>4</v>
      </c>
      <c r="L102" s="112">
        <f t="shared" si="119"/>
        <v>9.638554216867469E-3</v>
      </c>
      <c r="M102" s="116">
        <v>3.4064171019331217</v>
      </c>
      <c r="N102" s="120">
        <f t="shared" si="120"/>
        <v>3369.8</v>
      </c>
      <c r="O102" s="116">
        <v>3.0862348584112618</v>
      </c>
      <c r="P102" s="120">
        <f t="shared" si="121"/>
        <v>3369.8</v>
      </c>
      <c r="Q102" s="116">
        <v>0</v>
      </c>
      <c r="R102" s="120">
        <f t="shared" si="122"/>
        <v>0</v>
      </c>
      <c r="S102" s="5" t="s">
        <v>143</v>
      </c>
      <c r="T102" s="87">
        <v>28.44</v>
      </c>
      <c r="U102" s="88">
        <v>4.68</v>
      </c>
      <c r="V102" s="88">
        <v>6.05</v>
      </c>
      <c r="W102" s="88">
        <v>8.24</v>
      </c>
      <c r="X102" s="88">
        <v>6.34</v>
      </c>
      <c r="Y102" s="88">
        <v>2.89</v>
      </c>
      <c r="Z102" s="88">
        <v>0</v>
      </c>
      <c r="AA102" s="88">
        <v>0</v>
      </c>
      <c r="AB102" s="88">
        <v>0.24</v>
      </c>
      <c r="AC102" s="257"/>
      <c r="AD102" s="110">
        <f t="shared" si="123"/>
        <v>595144.12068064092</v>
      </c>
      <c r="AE102" s="110">
        <f t="shared" si="124"/>
        <v>138012.991223166</v>
      </c>
      <c r="AF102" s="16">
        <f>SUMIF('20.01'!$I:$I,$B:$B,'20.01'!$D:$D)*1.2</f>
        <v>80039.219999999987</v>
      </c>
      <c r="AG102" s="17">
        <f t="shared" si="83"/>
        <v>8989.3741371992528</v>
      </c>
      <c r="AH102" s="17">
        <f t="shared" si="125"/>
        <v>2573.1758993809603</v>
      </c>
      <c r="AI102" s="16">
        <f>SUMIF('20.01'!$J:$J,$B:$B,'20.01'!$D:$D)*1.2</f>
        <v>0</v>
      </c>
      <c r="AJ102" s="17">
        <f t="shared" si="126"/>
        <v>1045.6808350566389</v>
      </c>
      <c r="AK102" s="17">
        <f t="shared" si="127"/>
        <v>2543.9091687719911</v>
      </c>
      <c r="AL102" s="17">
        <f t="shared" si="128"/>
        <v>42821.63118275717</v>
      </c>
      <c r="AM102" s="110">
        <f t="shared" si="129"/>
        <v>0</v>
      </c>
      <c r="AN102" s="17">
        <f>SUMIF('20.01'!$K:$K,$B:$B,'20.01'!$D:$D)*1.2</f>
        <v>0</v>
      </c>
      <c r="AO102" s="17">
        <f>SUMIF('20.01'!$L:$L,$B:$B,'20.01'!$D:$D)*1.2</f>
        <v>0</v>
      </c>
      <c r="AP102" s="17">
        <f>SUMIF('20.01'!$M:$M,$B:$B,'20.01'!$D:$D)*1.2</f>
        <v>0</v>
      </c>
      <c r="AQ102" s="110">
        <f t="shared" si="130"/>
        <v>946.61745747497116</v>
      </c>
      <c r="AR102" s="17">
        <f t="shared" si="131"/>
        <v>946.61745747497116</v>
      </c>
      <c r="AS102" s="17">
        <f>(SUMIF('20.01'!$N:$N,$B:$B,'20.01'!$D:$D)+SUMIF('20.01'!$O:$O,$B:$B,'20.01'!$D:$D))*1.2</f>
        <v>0</v>
      </c>
      <c r="AT102" s="110">
        <f>SUMIF('20.01'!$P:$P,$B:$B,'20.01'!$D:$D)*1.2</f>
        <v>0</v>
      </c>
      <c r="AU102" s="110">
        <f t="shared" si="132"/>
        <v>0</v>
      </c>
      <c r="AV102" s="17">
        <f>SUMIF('20.01'!$Q:$Q,$B:$B,'20.01'!$D:$D)*1.2</f>
        <v>0</v>
      </c>
      <c r="AW102" s="17">
        <f>SUMIF('20.01'!$R:$R,$B:$B,'20.01'!$D:$D)*1.2</f>
        <v>0</v>
      </c>
      <c r="AX102" s="110">
        <f t="shared" si="133"/>
        <v>0</v>
      </c>
      <c r="AY102" s="17">
        <f>SUMIF('20.01'!$S:$S,$B:$B,'20.01'!$D:$D)*1.2</f>
        <v>0</v>
      </c>
      <c r="AZ102" s="17">
        <f>SUMIF('20.01'!$T:$T,$B:$B,'20.01'!$D:$D)*1.2</f>
        <v>0</v>
      </c>
      <c r="BA102" s="110">
        <f t="shared" si="134"/>
        <v>0</v>
      </c>
      <c r="BB102" s="17">
        <f>SUMIF('20.01'!$U:$U,$B:$B,'20.01'!$D:$D)*1.2</f>
        <v>0</v>
      </c>
      <c r="BC102" s="17">
        <f>SUMIF('20.01'!$V:$V,$B:$B,'20.01'!$D:$D)*1.2</f>
        <v>0</v>
      </c>
      <c r="BD102" s="17">
        <f>SUMIF('20.01'!$W:$W,$B:$B,'20.01'!$D:$D)*1.2</f>
        <v>0</v>
      </c>
      <c r="BE102" s="110">
        <f>SUMIF('20.01'!$X:$X,$B:$B,'20.01'!$D:$D)*1.2</f>
        <v>0</v>
      </c>
      <c r="BF102" s="110">
        <f t="shared" si="135"/>
        <v>411434.772</v>
      </c>
      <c r="BG102" s="17">
        <f>SUMIF('20.01'!$Y:$Y,$B:$B,'20.01'!$D:$D)*1.2</f>
        <v>0</v>
      </c>
      <c r="BH102" s="17">
        <f>SUMIF('20.01'!$Z:$Z,$B:$B,'20.01'!$D:$D)*1.2</f>
        <v>411434.772</v>
      </c>
      <c r="BI102" s="17">
        <f>SUMIF('20.01'!$AA:$AA,$B:$B,'20.01'!$D:$D)*1.2</f>
        <v>0</v>
      </c>
      <c r="BJ102" s="17">
        <f>SUMIF('20.01'!$AB:$AB,$B:$B,'20.01'!$D:$D)*1.2</f>
        <v>0</v>
      </c>
      <c r="BK102" s="17">
        <f>SUMIF('20.01'!$AC:$AC,$B:$B,'20.01'!$D:$D)*1.2</f>
        <v>0</v>
      </c>
      <c r="BL102" s="17">
        <f>SUMIF('20.01'!$AD:$AD,$B:$B,'20.01'!$D:$D)*1.2</f>
        <v>0</v>
      </c>
      <c r="BM102" s="110">
        <f t="shared" si="136"/>
        <v>0</v>
      </c>
      <c r="BN102" s="17">
        <f>SUMIF('20.01'!$AE:$AE,$B:$B,'20.01'!$D:$D)*1.2</f>
        <v>0</v>
      </c>
      <c r="BO102" s="17">
        <f>SUMIF('20.01'!$AF:$AF,$B:$B,'20.01'!$D:$D)*1.2</f>
        <v>0</v>
      </c>
      <c r="BP102" s="110">
        <f>SUMIF('20.01'!$AG:$AG,$B:$B,'20.01'!$D:$D)*1.2</f>
        <v>44749.74</v>
      </c>
      <c r="BQ102" s="110">
        <f>SUMIF('20.01'!$AH:$AH,$B:$B,'20.01'!$D:$D)*1.2</f>
        <v>0</v>
      </c>
      <c r="BR102" s="110">
        <f>SUMIF('20.01'!$AI:$AI,$B:$B,'20.01'!$D:$D)*1.2</f>
        <v>0</v>
      </c>
      <c r="BS102" s="110">
        <f t="shared" si="137"/>
        <v>0</v>
      </c>
      <c r="BT102" s="17">
        <f>SUMIF('20.01'!$AJ:$AJ,$B:$B,'20.01'!$D:$D)*1.2</f>
        <v>0</v>
      </c>
      <c r="BU102" s="17">
        <f>SUMIF('20.01'!$AK:$AK,$B:$B,'20.01'!$D:$D)*1.2</f>
        <v>0</v>
      </c>
      <c r="BV102" s="110">
        <f>SUMIF('20.01'!$AL:$AL,$B:$B,'20.01'!$D:$D)*1.2</f>
        <v>0</v>
      </c>
      <c r="BW102" s="110">
        <f>SUMIF('20.01'!$AM:$AM,$B:$B,'20.01'!$D:$D)*1.2</f>
        <v>0</v>
      </c>
      <c r="BX102" s="110">
        <f>SUMIF('20.01'!$AN:$AN,$B:$B,'20.01'!$D:$D)*1.2</f>
        <v>0</v>
      </c>
      <c r="BY102" s="110">
        <f t="shared" si="87"/>
        <v>351312.72275613563</v>
      </c>
      <c r="BZ102" s="17">
        <f t="shared" si="82"/>
        <v>206515.55092100918</v>
      </c>
      <c r="CA102" s="17">
        <f t="shared" si="88"/>
        <v>20900.445896510668</v>
      </c>
      <c r="CB102" s="17">
        <f t="shared" si="89"/>
        <v>1389.3545991016845</v>
      </c>
      <c r="CC102" s="17">
        <f>SUMIF('20.01'!$AO:$AO,$B:$B,'20.01'!$D:$D)*1.2</f>
        <v>0</v>
      </c>
      <c r="CD102" s="17">
        <f t="shared" si="90"/>
        <v>21811.456106578255</v>
      </c>
      <c r="CE102" s="17">
        <f>SUMIF('20.01'!$AQ:$AQ,$B:$B,'20.01'!$D:$D)*1.2</f>
        <v>0</v>
      </c>
      <c r="CF102" s="17">
        <f t="shared" si="91"/>
        <v>1984.4977109211763</v>
      </c>
      <c r="CG102" s="17">
        <f>SUMIF('20.01'!$AR:$AR,$B:$B,'20.01'!$D:$D)*1.2</f>
        <v>96385.691999999995</v>
      </c>
      <c r="CH102" s="17">
        <f t="shared" si="92"/>
        <v>1168.7251541754881</v>
      </c>
      <c r="CI102" s="17">
        <f>SUMIF('20.01'!$AT:$AT,$B:$B,'20.01'!$D:$D)*1.2</f>
        <v>0</v>
      </c>
      <c r="CJ102" s="17">
        <f>SUMIF('20.01'!$AU:$AU,$B:$B,'20.01'!$D:$D)*1.2</f>
        <v>0</v>
      </c>
      <c r="CK102" s="17">
        <f>SUMIF('20.01'!$AV:$AV,$B:$B,'20.01'!$D:$D)*1.2</f>
        <v>0</v>
      </c>
      <c r="CL102" s="17">
        <f t="shared" si="93"/>
        <v>1157.0003678391913</v>
      </c>
      <c r="CM102" s="17">
        <f>SUMIF('20.01'!$AW:$AW,$B:$B,'20.01'!$D:$D)*1.2</f>
        <v>0</v>
      </c>
      <c r="CN102" s="17">
        <f>SUMIF('20.01'!$AX:$AX,$B:$B,'20.01'!$D:$D)*1.2</f>
        <v>0</v>
      </c>
      <c r="CO102" s="110">
        <f t="shared" si="138"/>
        <v>388128.9872774519</v>
      </c>
      <c r="CP102" s="17">
        <f t="shared" si="139"/>
        <v>306172.205054541</v>
      </c>
      <c r="CQ102" s="17">
        <f t="shared" si="94"/>
        <v>94458.338078915709</v>
      </c>
      <c r="CR102" s="17">
        <f t="shared" si="95"/>
        <v>211713.86697562531</v>
      </c>
      <c r="CS102" s="17">
        <f t="shared" si="140"/>
        <v>81956.782222910915</v>
      </c>
      <c r="CT102" s="17">
        <f t="shared" si="96"/>
        <v>2985.7574709856858</v>
      </c>
      <c r="CU102" s="17">
        <f t="shared" si="97"/>
        <v>2887.9246413314713</v>
      </c>
      <c r="CV102" s="17">
        <f t="shared" si="98"/>
        <v>2984.7332354426649</v>
      </c>
      <c r="CW102" s="17">
        <f t="shared" si="99"/>
        <v>31.298214298306792</v>
      </c>
      <c r="CX102" s="17">
        <f t="shared" si="100"/>
        <v>44071.032347364177</v>
      </c>
      <c r="CY102" s="17">
        <f t="shared" si="101"/>
        <v>28996.036313488607</v>
      </c>
      <c r="CZ102" s="110">
        <f t="shared" si="141"/>
        <v>96343.775533705484</v>
      </c>
      <c r="DA102" s="17">
        <f t="shared" si="142"/>
        <v>3639.3272439891621</v>
      </c>
      <c r="DB102" s="17">
        <f t="shared" si="102"/>
        <v>3453.5880545032719</v>
      </c>
      <c r="DC102" s="17">
        <f t="shared" si="103"/>
        <v>185.73918948589025</v>
      </c>
      <c r="DD102" s="17">
        <f t="shared" si="104"/>
        <v>6412.9120656358273</v>
      </c>
      <c r="DE102" s="17">
        <f t="shared" si="105"/>
        <v>2212.6236411292421</v>
      </c>
      <c r="DF102" s="17">
        <f t="shared" si="106"/>
        <v>2685.3270406887714</v>
      </c>
      <c r="DG102" s="17">
        <f t="shared" si="143"/>
        <v>81393.585542262474</v>
      </c>
      <c r="DH102" s="110">
        <f t="shared" si="144"/>
        <v>60126.042041651039</v>
      </c>
      <c r="DI102" s="17">
        <f t="shared" si="107"/>
        <v>53935.511186570802</v>
      </c>
      <c r="DJ102" s="17">
        <f t="shared" si="108"/>
        <v>5964.9506094496246</v>
      </c>
      <c r="DK102" s="17">
        <f t="shared" si="109"/>
        <v>225.58024563061369</v>
      </c>
      <c r="DL102" s="110">
        <f t="shared" si="145"/>
        <v>357451.51581165881</v>
      </c>
      <c r="DM102" s="17">
        <f t="shared" si="110"/>
        <v>189449.30338017919</v>
      </c>
      <c r="DN102" s="17">
        <f t="shared" si="111"/>
        <v>168002.21243147965</v>
      </c>
      <c r="DO102" s="17">
        <f t="shared" si="112"/>
        <v>0</v>
      </c>
      <c r="DP102" s="110">
        <f t="shared" si="146"/>
        <v>0</v>
      </c>
      <c r="DQ102" s="17">
        <f>SUMIF('20.01'!$BB:$BB,$B:$B,'20.01'!$D:$D)*1.2</f>
        <v>0</v>
      </c>
      <c r="DR102" s="17">
        <f t="shared" si="113"/>
        <v>0</v>
      </c>
      <c r="DS102" s="17">
        <f t="shared" si="114"/>
        <v>0</v>
      </c>
      <c r="DT102" s="110">
        <f t="shared" si="147"/>
        <v>6637.7640000000001</v>
      </c>
      <c r="DU102" s="17">
        <f>SUMIF('20.01'!$BD:$BD,$B:$B,'20.01'!$D:$D)*1.2</f>
        <v>6637.7640000000001</v>
      </c>
      <c r="DV102" s="17">
        <f t="shared" si="115"/>
        <v>0</v>
      </c>
      <c r="DW102" s="17">
        <f t="shared" si="116"/>
        <v>0</v>
      </c>
      <c r="DX102" s="110">
        <f t="shared" si="117"/>
        <v>1855144.9281012439</v>
      </c>
      <c r="DY102" s="110"/>
      <c r="DZ102" s="110">
        <f t="shared" si="148"/>
        <v>1855144.9281012439</v>
      </c>
      <c r="EA102" s="257"/>
      <c r="EB102" s="110">
        <f t="shared" si="118"/>
        <v>3546.2168674698792</v>
      </c>
      <c r="EC102" s="110">
        <f>SUMIF(еирц!$B:$B,$B:$B,еирц!$K:$K)</f>
        <v>1128007.98</v>
      </c>
      <c r="ED102" s="110">
        <f>SUMIF(еирц!$B:$B,$B:$B,еирц!$P:$P)</f>
        <v>1051024.3199999998</v>
      </c>
      <c r="EE102" s="110">
        <f>SUMIF(еирц!$B:$B,$B:$B,еирц!$S:$S)</f>
        <v>555718.88</v>
      </c>
      <c r="EF102" s="177">
        <f t="shared" si="149"/>
        <v>-723590.73123377399</v>
      </c>
      <c r="EG102" s="181">
        <f t="shared" si="152"/>
        <v>0</v>
      </c>
      <c r="EH102" s="177">
        <f t="shared" si="150"/>
        <v>-723590.73123377399</v>
      </c>
    </row>
    <row r="103" spans="1:138" ht="12" customHeight="1" x14ac:dyDescent="0.25">
      <c r="A103" s="5">
        <f t="shared" si="151"/>
        <v>99</v>
      </c>
      <c r="B103" s="6" t="s">
        <v>183</v>
      </c>
      <c r="C103" s="7">
        <f t="shared" si="84"/>
        <v>3053.6</v>
      </c>
      <c r="D103" s="8">
        <v>3053.6</v>
      </c>
      <c r="E103" s="8">
        <v>0</v>
      </c>
      <c r="F103" s="8">
        <v>550.02</v>
      </c>
      <c r="G103" s="87">
        <f t="shared" si="85"/>
        <v>3053.6</v>
      </c>
      <c r="H103" s="87">
        <f t="shared" si="86"/>
        <v>3053.6</v>
      </c>
      <c r="I103" s="91">
        <v>1</v>
      </c>
      <c r="J103" s="112">
        <v>4.7761741126091592E-3</v>
      </c>
      <c r="K103" s="17">
        <v>1</v>
      </c>
      <c r="L103" s="112">
        <f t="shared" si="119"/>
        <v>2.4096385542168672E-3</v>
      </c>
      <c r="M103" s="117">
        <f>3.40641700535111/2</f>
        <v>1.703208502675555</v>
      </c>
      <c r="N103" s="120">
        <f t="shared" si="120"/>
        <v>3053.6</v>
      </c>
      <c r="O103" s="117">
        <f>3.08623205487059/2</f>
        <v>1.5431160274352951</v>
      </c>
      <c r="P103" s="120">
        <f t="shared" si="121"/>
        <v>3053.6</v>
      </c>
      <c r="Q103" s="117">
        <f>1.60092735807001/2</f>
        <v>0.80046367903500504</v>
      </c>
      <c r="R103" s="120">
        <f t="shared" si="122"/>
        <v>3053.6</v>
      </c>
      <c r="S103" s="5" t="s">
        <v>143</v>
      </c>
      <c r="T103" s="87">
        <v>41.34</v>
      </c>
      <c r="U103" s="88">
        <v>4.68</v>
      </c>
      <c r="V103" s="88">
        <v>7.92</v>
      </c>
      <c r="W103" s="88">
        <v>12.32</v>
      </c>
      <c r="X103" s="88">
        <v>6.34</v>
      </c>
      <c r="Y103" s="88">
        <v>2.89</v>
      </c>
      <c r="Z103" s="88">
        <v>1.66</v>
      </c>
      <c r="AA103" s="88">
        <v>5.29</v>
      </c>
      <c r="AB103" s="88">
        <v>0.24</v>
      </c>
      <c r="AC103" s="257"/>
      <c r="AD103" s="110">
        <f t="shared" si="123"/>
        <v>272014.51239978964</v>
      </c>
      <c r="AE103" s="110">
        <f t="shared" si="124"/>
        <v>123276.86198240577</v>
      </c>
      <c r="AF103" s="131">
        <f>141057.35/(G103+G104)*G103</f>
        <v>70742.970414045689</v>
      </c>
      <c r="AG103" s="17">
        <f t="shared" si="83"/>
        <v>8145.8700413530878</v>
      </c>
      <c r="AH103" s="17">
        <f t="shared" si="125"/>
        <v>2331.7258965961482</v>
      </c>
      <c r="AI103" s="16">
        <f>SUMIF('20.01'!$J:$J,$B:$B,'20.01'!$D:$D)*1.2</f>
        <v>0</v>
      </c>
      <c r="AJ103" s="17">
        <f t="shared" si="126"/>
        <v>947.56098223305617</v>
      </c>
      <c r="AK103" s="17">
        <f t="shared" si="127"/>
        <v>2305.2053646394893</v>
      </c>
      <c r="AL103" s="17">
        <f t="shared" si="128"/>
        <v>38803.529283538279</v>
      </c>
      <c r="AM103" s="110">
        <f t="shared" si="129"/>
        <v>0</v>
      </c>
      <c r="AN103" s="17">
        <f>SUMIF('20.01'!$K:$K,$B:$B,'20.01'!$D:$D)*1.2</f>
        <v>0</v>
      </c>
      <c r="AO103" s="17">
        <f>SUMIF('20.01'!$L:$L,$B:$B,'20.01'!$D:$D)*1.2</f>
        <v>0</v>
      </c>
      <c r="AP103" s="17">
        <f>SUMIF('20.01'!$M:$M,$B:$B,'20.01'!$D:$D)*1.2</f>
        <v>0</v>
      </c>
      <c r="AQ103" s="110">
        <f t="shared" si="130"/>
        <v>857.79306432001056</v>
      </c>
      <c r="AR103" s="17">
        <f t="shared" si="131"/>
        <v>857.79306432001056</v>
      </c>
      <c r="AS103" s="17">
        <f>(SUMIF('20.01'!$N:$N,$B:$B,'20.01'!$D:$D)+SUMIF('20.01'!$O:$O,$B:$B,'20.01'!$D:$D))*1.2</f>
        <v>0</v>
      </c>
      <c r="AT103" s="110">
        <f>SUMIF('20.01'!$P:$P,$B:$B,'20.01'!$D:$D)*1.2</f>
        <v>0</v>
      </c>
      <c r="AU103" s="110">
        <f t="shared" si="132"/>
        <v>0</v>
      </c>
      <c r="AV103" s="17">
        <f>SUMIF('20.01'!$Q:$Q,$B:$B,'20.01'!$D:$D)*1.2</f>
        <v>0</v>
      </c>
      <c r="AW103" s="17">
        <f>SUMIF('20.01'!$R:$R,$B:$B,'20.01'!$D:$D)*1.2</f>
        <v>0</v>
      </c>
      <c r="AX103" s="110">
        <f t="shared" si="133"/>
        <v>0</v>
      </c>
      <c r="AY103" s="17">
        <f>SUMIF('20.01'!$S:$S,$B:$B,'20.01'!$D:$D)*1.2</f>
        <v>0</v>
      </c>
      <c r="AZ103" s="17">
        <f>SUMIF('20.01'!$T:$T,$B:$B,'20.01'!$D:$D)*1.2</f>
        <v>0</v>
      </c>
      <c r="BA103" s="110">
        <f t="shared" si="134"/>
        <v>0</v>
      </c>
      <c r="BB103" s="17">
        <f>SUMIF('20.01'!$U:$U,$B:$B,'20.01'!$D:$D)*1.2</f>
        <v>0</v>
      </c>
      <c r="BC103" s="17">
        <f>SUMIF('20.01'!$V:$V,$B:$B,'20.01'!$D:$D)*1.2</f>
        <v>0</v>
      </c>
      <c r="BD103" s="17">
        <f>SUMIF('20.01'!$W:$W,$B:$B,'20.01'!$D:$D)*1.2</f>
        <v>0</v>
      </c>
      <c r="BE103" s="110">
        <f>SUMIF('20.01'!$X:$X,$B:$B,'20.01'!$D:$D)*1.2</f>
        <v>0</v>
      </c>
      <c r="BF103" s="110">
        <f t="shared" si="135"/>
        <v>0</v>
      </c>
      <c r="BG103" s="17">
        <f>SUMIF('20.01'!$Y:$Y,$B:$B,'20.01'!$D:$D)*1.2</f>
        <v>0</v>
      </c>
      <c r="BH103" s="17">
        <f>SUMIF('20.01'!$Z:$Z,$B:$B,'20.01'!$D:$D)*1.2</f>
        <v>0</v>
      </c>
      <c r="BI103" s="17">
        <f>SUMIF('20.01'!$AA:$AA,$B:$B,'20.01'!$D:$D)*1.2</f>
        <v>0</v>
      </c>
      <c r="BJ103" s="17">
        <f>SUMIF('20.01'!$AB:$AB,$B:$B,'20.01'!$D:$D)*1.2</f>
        <v>0</v>
      </c>
      <c r="BK103" s="17">
        <f>SUMIF('20.01'!$AC:$AC,$B:$B,'20.01'!$D:$D)*1.2</f>
        <v>0</v>
      </c>
      <c r="BL103" s="17">
        <f>SUMIF('20.01'!$AD:$AD,$B:$B,'20.01'!$D:$D)*1.2</f>
        <v>0</v>
      </c>
      <c r="BM103" s="110">
        <f t="shared" si="136"/>
        <v>0</v>
      </c>
      <c r="BN103" s="17">
        <f>SUMIF('20.01'!$AE:$AE,$B:$B,'20.01'!$D:$D)*1.2</f>
        <v>0</v>
      </c>
      <c r="BO103" s="17">
        <f>SUMIF('20.01'!$AF:$AF,$B:$B,'20.01'!$D:$D)*1.2</f>
        <v>0</v>
      </c>
      <c r="BP103" s="110">
        <f>SUMIF('20.01'!$AG:$AG,$B:$B,'20.01'!$D:$D)*1.2</f>
        <v>0</v>
      </c>
      <c r="BQ103" s="110">
        <f>SUMIF('20.01'!$AH:$AH,$B:$B,'20.01'!$D:$D)*1.2</f>
        <v>0</v>
      </c>
      <c r="BR103" s="110">
        <f>SUMIF('20.01'!$AI:$AI,$B:$B,'20.01'!$D:$D)*1.2</f>
        <v>0</v>
      </c>
      <c r="BS103" s="110">
        <f t="shared" si="137"/>
        <v>0</v>
      </c>
      <c r="BT103" s="17">
        <f>SUMIF('20.01'!$AJ:$AJ,$B:$B,'20.01'!$D:$D)*1.2</f>
        <v>0</v>
      </c>
      <c r="BU103" s="17">
        <f>SUMIF('20.01'!$AK:$AK,$B:$B,'20.01'!$D:$D)*1.2</f>
        <v>0</v>
      </c>
      <c r="BV103" s="141">
        <f>SUMIF('20.01'!$AL:$AL,$B:$B,'20.01'!$D:$D)*1.2/(G103+G104)*G103</f>
        <v>147879.85735306385</v>
      </c>
      <c r="BW103" s="110">
        <f>SUMIF('20.01'!$AM:$AM,$B:$B,'20.01'!$D:$D)*1.2</f>
        <v>0</v>
      </c>
      <c r="BX103" s="110">
        <f>SUMIF('20.01'!$AN:$AN,$B:$B,'20.01'!$D:$D)*1.2</f>
        <v>0</v>
      </c>
      <c r="BY103" s="110">
        <f t="shared" si="87"/>
        <v>231006.34492163802</v>
      </c>
      <c r="BZ103" s="17">
        <f t="shared" si="82"/>
        <v>187137.48183642756</v>
      </c>
      <c r="CA103" s="17">
        <f t="shared" si="88"/>
        <v>18939.284702233061</v>
      </c>
      <c r="CB103" s="17">
        <f t="shared" si="89"/>
        <v>1258.9866472244355</v>
      </c>
      <c r="CC103" s="17">
        <f>SUMIF('20.01'!$AO:$AO,$B:$B,'20.01'!$D:$D)*1.2</f>
        <v>0</v>
      </c>
      <c r="CD103" s="17">
        <f t="shared" si="90"/>
        <v>19764.811670439598</v>
      </c>
      <c r="CE103" s="17">
        <f>SUMIF('20.01'!$AQ:$AQ,$B:$B,'20.01'!$D:$D)*1.2</f>
        <v>0</v>
      </c>
      <c r="CF103" s="17">
        <f t="shared" si="91"/>
        <v>1798.2854205201802</v>
      </c>
      <c r="CG103" s="17">
        <f>SUMIF('20.01'!$AR:$AR,$B:$B,'20.01'!$D:$D)*1.2</f>
        <v>0</v>
      </c>
      <c r="CH103" s="17">
        <f t="shared" si="92"/>
        <v>1059.0596269185917</v>
      </c>
      <c r="CI103" s="17">
        <f>SUMIF('20.01'!$AT:$AT,$B:$B,'20.01'!$D:$D)*1.2</f>
        <v>0</v>
      </c>
      <c r="CJ103" s="17">
        <f>SUMIF('20.01'!$AU:$AU,$B:$B,'20.01'!$D:$D)*1.2</f>
        <v>0</v>
      </c>
      <c r="CK103" s="17">
        <f>SUMIF('20.01'!$AV:$AV,$B:$B,'20.01'!$D:$D)*1.2</f>
        <v>0</v>
      </c>
      <c r="CL103" s="17">
        <f t="shared" si="93"/>
        <v>1048.4350178745783</v>
      </c>
      <c r="CM103" s="17">
        <f>SUMIF('20.01'!$AW:$AW,$B:$B,'20.01'!$D:$D)*1.2</f>
        <v>0</v>
      </c>
      <c r="CN103" s="17">
        <f>SUMIF('20.01'!$AX:$AX,$B:$B,'20.01'!$D:$D)*1.2</f>
        <v>0</v>
      </c>
      <c r="CO103" s="110">
        <f t="shared" si="138"/>
        <v>351709.50072717294</v>
      </c>
      <c r="CP103" s="17">
        <f t="shared" si="139"/>
        <v>277443.00710859592</v>
      </c>
      <c r="CQ103" s="17">
        <f t="shared" si="94"/>
        <v>85594.985209145059</v>
      </c>
      <c r="CR103" s="17">
        <f t="shared" si="95"/>
        <v>191848.02189945083</v>
      </c>
      <c r="CS103" s="17">
        <f t="shared" si="140"/>
        <v>74266.493618576991</v>
      </c>
      <c r="CT103" s="17">
        <f t="shared" si="96"/>
        <v>2705.5935110101159</v>
      </c>
      <c r="CU103" s="17">
        <f t="shared" si="97"/>
        <v>2616.9406744524244</v>
      </c>
      <c r="CV103" s="17">
        <f t="shared" si="98"/>
        <v>2704.6653830339251</v>
      </c>
      <c r="CW103" s="17">
        <f t="shared" si="99"/>
        <v>28.361394498578434</v>
      </c>
      <c r="CX103" s="17">
        <f t="shared" si="100"/>
        <v>39935.694811535177</v>
      </c>
      <c r="CY103" s="17">
        <f t="shared" si="101"/>
        <v>26275.237844046769</v>
      </c>
      <c r="CZ103" s="110">
        <f t="shared" si="141"/>
        <v>87303.505540305952</v>
      </c>
      <c r="DA103" s="17">
        <f t="shared" si="142"/>
        <v>3297.8365696021438</v>
      </c>
      <c r="DB103" s="17">
        <f t="shared" si="102"/>
        <v>3129.5259312811413</v>
      </c>
      <c r="DC103" s="17">
        <f t="shared" si="103"/>
        <v>168.31063832100256</v>
      </c>
      <c r="DD103" s="17">
        <f t="shared" si="104"/>
        <v>5811.1663254868417</v>
      </c>
      <c r="DE103" s="17">
        <f t="shared" si="105"/>
        <v>2005.0055049416148</v>
      </c>
      <c r="DF103" s="17">
        <f t="shared" si="106"/>
        <v>2433.3535080560364</v>
      </c>
      <c r="DG103" s="17">
        <f t="shared" si="143"/>
        <v>73756.143632219319</v>
      </c>
      <c r="DH103" s="110">
        <f t="shared" si="144"/>
        <v>54484.207364943206</v>
      </c>
      <c r="DI103" s="17">
        <f t="shared" si="107"/>
        <v>48874.555451158107</v>
      </c>
      <c r="DJ103" s="17">
        <f t="shared" si="108"/>
        <v>5405.2386435442377</v>
      </c>
      <c r="DK103" s="17">
        <f t="shared" si="109"/>
        <v>204.41327024085757</v>
      </c>
      <c r="DL103" s="110">
        <f t="shared" si="145"/>
        <v>412289.63003416383</v>
      </c>
      <c r="DM103" s="17">
        <f t="shared" si="110"/>
        <v>171672.61938444866</v>
      </c>
      <c r="DN103" s="17">
        <f t="shared" si="111"/>
        <v>152237.98322771862</v>
      </c>
      <c r="DO103" s="17">
        <f t="shared" si="112"/>
        <v>88379.027421996609</v>
      </c>
      <c r="DP103" s="110">
        <f t="shared" si="146"/>
        <v>163770.62828726863</v>
      </c>
      <c r="DQ103" s="17">
        <f>SUMIF('20.01'!$BB:$BB,$B:$B,'20.01'!$D:$D)*1.2</f>
        <v>31862.159999999996</v>
      </c>
      <c r="DR103" s="17">
        <f t="shared" si="113"/>
        <v>130937.81584097842</v>
      </c>
      <c r="DS103" s="17">
        <f t="shared" si="114"/>
        <v>970.65244629020935</v>
      </c>
      <c r="DT103" s="110">
        <f t="shared" si="147"/>
        <v>6848.1625321661431</v>
      </c>
      <c r="DU103" s="108">
        <f>(SUMIF('20.01'!$BD:$BD,$B:$B,'20.01'!$D:$D)/(G103+G104)*G103)*1.2</f>
        <v>6848.1625321661431</v>
      </c>
      <c r="DV103" s="17">
        <f t="shared" si="115"/>
        <v>0</v>
      </c>
      <c r="DW103" s="17">
        <f t="shared" si="116"/>
        <v>0</v>
      </c>
      <c r="DX103" s="110">
        <f t="shared" si="117"/>
        <v>1579426.4918074484</v>
      </c>
      <c r="DY103" s="110"/>
      <c r="DZ103" s="110">
        <f t="shared" si="148"/>
        <v>1579426.4918074484</v>
      </c>
      <c r="EA103" s="257"/>
      <c r="EB103" s="110">
        <f t="shared" si="118"/>
        <v>886.55421686746979</v>
      </c>
      <c r="EC103" s="110">
        <f>SUMIF(еирц!$B:$B,$B:$B,еирц!$K:$K)</f>
        <v>1481358.1319743132</v>
      </c>
      <c r="ED103" s="110">
        <f>SUMIF(еирц!$B:$B,$B:$B,еирц!$P:$P)</f>
        <v>1472404.9208047695</v>
      </c>
      <c r="EE103" s="110">
        <f>SUMIF(еирц!$B:$B,$B:$B,еирц!$S:$S)</f>
        <v>324297.39035918994</v>
      </c>
      <c r="EF103" s="177">
        <f t="shared" si="149"/>
        <v>-97181.805616267724</v>
      </c>
      <c r="EG103" s="181">
        <f t="shared" si="152"/>
        <v>0</v>
      </c>
      <c r="EH103" s="177">
        <f t="shared" si="150"/>
        <v>-97181.805616267724</v>
      </c>
    </row>
    <row r="104" spans="1:138" ht="12" customHeight="1" x14ac:dyDescent="0.25">
      <c r="A104" s="5">
        <f t="shared" si="151"/>
        <v>100</v>
      </c>
      <c r="B104" s="6" t="s">
        <v>184</v>
      </c>
      <c r="C104" s="7">
        <f t="shared" si="84"/>
        <v>3035.1</v>
      </c>
      <c r="D104" s="8">
        <v>3035.1</v>
      </c>
      <c r="E104" s="8">
        <v>0</v>
      </c>
      <c r="F104" s="8">
        <v>546.67999999999995</v>
      </c>
      <c r="G104" s="87">
        <f t="shared" si="85"/>
        <v>3035.1</v>
      </c>
      <c r="H104" s="87">
        <f t="shared" si="86"/>
        <v>3035.1</v>
      </c>
      <c r="I104" s="91">
        <v>1</v>
      </c>
      <c r="J104" s="112">
        <v>4.7760033411599779E-3</v>
      </c>
      <c r="K104" s="17">
        <v>1</v>
      </c>
      <c r="L104" s="112">
        <f t="shared" si="119"/>
        <v>2.4096385542168672E-3</v>
      </c>
      <c r="M104" s="117">
        <f>M103</f>
        <v>1.703208502675555</v>
      </c>
      <c r="N104" s="120">
        <f t="shared" si="120"/>
        <v>3035.1</v>
      </c>
      <c r="O104" s="117">
        <f>O103</f>
        <v>1.5431160274352951</v>
      </c>
      <c r="P104" s="120">
        <f t="shared" si="121"/>
        <v>3035.1</v>
      </c>
      <c r="Q104" s="117">
        <f>Q103</f>
        <v>0.80046367903500504</v>
      </c>
      <c r="R104" s="120">
        <f t="shared" si="122"/>
        <v>3035.1</v>
      </c>
      <c r="S104" s="5" t="s">
        <v>143</v>
      </c>
      <c r="T104" s="87">
        <v>41.34</v>
      </c>
      <c r="U104" s="88">
        <v>4.68</v>
      </c>
      <c r="V104" s="88">
        <v>7.92</v>
      </c>
      <c r="W104" s="88">
        <v>12.32</v>
      </c>
      <c r="X104" s="88">
        <v>6.34</v>
      </c>
      <c r="Y104" s="88">
        <v>2.89</v>
      </c>
      <c r="Z104" s="88">
        <v>1.66</v>
      </c>
      <c r="AA104" s="88">
        <v>5.29</v>
      </c>
      <c r="AB104" s="88">
        <v>0.24</v>
      </c>
      <c r="AC104" s="257"/>
      <c r="AD104" s="110">
        <f t="shared" si="123"/>
        <v>270366.53346364998</v>
      </c>
      <c r="AE104" s="110">
        <f t="shared" si="124"/>
        <v>122529.99862549113</v>
      </c>
      <c r="AF104" s="131">
        <f>141057.35/(G103+G104)*G104</f>
        <v>70314.379585954302</v>
      </c>
      <c r="AG104" s="17">
        <f t="shared" si="83"/>
        <v>8096.5189162007982</v>
      </c>
      <c r="AH104" s="17">
        <f t="shared" si="125"/>
        <v>2317.599315155544</v>
      </c>
      <c r="AI104" s="16">
        <f>SUMIF('20.01'!$J:$J,$B:$B,'20.01'!$D:$D)*1.2</f>
        <v>0</v>
      </c>
      <c r="AJ104" s="17">
        <f t="shared" si="126"/>
        <v>941.82025713110704</v>
      </c>
      <c r="AK104" s="17">
        <f t="shared" si="127"/>
        <v>2291.2394557955577</v>
      </c>
      <c r="AL104" s="17">
        <f t="shared" si="128"/>
        <v>38568.441095253809</v>
      </c>
      <c r="AM104" s="110">
        <f t="shared" si="129"/>
        <v>0</v>
      </c>
      <c r="AN104" s="17">
        <f>SUMIF('20.01'!$K:$K,$B:$B,'20.01'!$D:$D)*1.2</f>
        <v>0</v>
      </c>
      <c r="AO104" s="17">
        <f>SUMIF('20.01'!$L:$L,$B:$B,'20.01'!$D:$D)*1.2</f>
        <v>0</v>
      </c>
      <c r="AP104" s="17">
        <f>SUMIF('20.01'!$M:$M,$B:$B,'20.01'!$D:$D)*1.2</f>
        <v>0</v>
      </c>
      <c r="AQ104" s="110">
        <f t="shared" si="130"/>
        <v>852.59619122270897</v>
      </c>
      <c r="AR104" s="17">
        <f t="shared" si="131"/>
        <v>852.59619122270897</v>
      </c>
      <c r="AS104" s="17">
        <f>(SUMIF('20.01'!$N:$N,$B:$B,'20.01'!$D:$D)+SUMIF('20.01'!$O:$O,$B:$B,'20.01'!$D:$D))*1.2</f>
        <v>0</v>
      </c>
      <c r="AT104" s="110">
        <f>SUMIF('20.01'!$P:$P,$B:$B,'20.01'!$D:$D)*1.2</f>
        <v>0</v>
      </c>
      <c r="AU104" s="110">
        <f t="shared" si="132"/>
        <v>0</v>
      </c>
      <c r="AV104" s="17">
        <f>SUMIF('20.01'!$Q:$Q,$B:$B,'20.01'!$D:$D)*1.2</f>
        <v>0</v>
      </c>
      <c r="AW104" s="17">
        <f>SUMIF('20.01'!$R:$R,$B:$B,'20.01'!$D:$D)*1.2</f>
        <v>0</v>
      </c>
      <c r="AX104" s="110">
        <f t="shared" si="133"/>
        <v>0</v>
      </c>
      <c r="AY104" s="17">
        <f>SUMIF('20.01'!$S:$S,$B:$B,'20.01'!$D:$D)*1.2</f>
        <v>0</v>
      </c>
      <c r="AZ104" s="17">
        <f>SUMIF('20.01'!$T:$T,$B:$B,'20.01'!$D:$D)*1.2</f>
        <v>0</v>
      </c>
      <c r="BA104" s="110">
        <f t="shared" si="134"/>
        <v>0</v>
      </c>
      <c r="BB104" s="17">
        <f>SUMIF('20.01'!$U:$U,$B:$B,'20.01'!$D:$D)*1.2</f>
        <v>0</v>
      </c>
      <c r="BC104" s="17">
        <f>SUMIF('20.01'!$V:$V,$B:$B,'20.01'!$D:$D)*1.2</f>
        <v>0</v>
      </c>
      <c r="BD104" s="17">
        <f>SUMIF('20.01'!$W:$W,$B:$B,'20.01'!$D:$D)*1.2</f>
        <v>0</v>
      </c>
      <c r="BE104" s="110">
        <f>SUMIF('20.01'!$X:$X,$B:$B,'20.01'!$D:$D)*1.2</f>
        <v>0</v>
      </c>
      <c r="BF104" s="110">
        <f t="shared" si="135"/>
        <v>0</v>
      </c>
      <c r="BG104" s="17">
        <f>SUMIF('20.01'!$Y:$Y,$B:$B,'20.01'!$D:$D)*1.2</f>
        <v>0</v>
      </c>
      <c r="BH104" s="17">
        <f>SUMIF('20.01'!$Z:$Z,$B:$B,'20.01'!$D:$D)*1.2</f>
        <v>0</v>
      </c>
      <c r="BI104" s="17">
        <f>SUMIF('20.01'!$AA:$AA,$B:$B,'20.01'!$D:$D)*1.2</f>
        <v>0</v>
      </c>
      <c r="BJ104" s="17">
        <f>SUMIF('20.01'!$AB:$AB,$B:$B,'20.01'!$D:$D)*1.2</f>
        <v>0</v>
      </c>
      <c r="BK104" s="17">
        <f>SUMIF('20.01'!$AC:$AC,$B:$B,'20.01'!$D:$D)*1.2</f>
        <v>0</v>
      </c>
      <c r="BL104" s="17">
        <f>SUMIF('20.01'!$AD:$AD,$B:$B,'20.01'!$D:$D)*1.2</f>
        <v>0</v>
      </c>
      <c r="BM104" s="110">
        <f t="shared" si="136"/>
        <v>0</v>
      </c>
      <c r="BN104" s="17">
        <f>SUMIF('20.01'!$AE:$AE,$B:$B,'20.01'!$D:$D)*1.2</f>
        <v>0</v>
      </c>
      <c r="BO104" s="17">
        <f>SUMIF('20.01'!$AF:$AF,$B:$B,'20.01'!$D:$D)*1.2</f>
        <v>0</v>
      </c>
      <c r="BP104" s="110">
        <f>SUMIF('20.01'!$AG:$AG,$B:$B,'20.01'!$D:$D)*1.2</f>
        <v>0</v>
      </c>
      <c r="BQ104" s="110">
        <f>SUMIF('20.01'!$AH:$AH,$B:$B,'20.01'!$D:$D)*1.2</f>
        <v>0</v>
      </c>
      <c r="BR104" s="110">
        <f>SUMIF('20.01'!$AI:$AI,$B:$B,'20.01'!$D:$D)*1.2</f>
        <v>0</v>
      </c>
      <c r="BS104" s="110">
        <f t="shared" si="137"/>
        <v>0</v>
      </c>
      <c r="BT104" s="17">
        <f>SUMIF('20.01'!$AJ:$AJ,$B:$B,'20.01'!$D:$D)*1.2</f>
        <v>0</v>
      </c>
      <c r="BU104" s="17">
        <f>SUMIF('20.01'!$AK:$AK,$B:$B,'20.01'!$D:$D)*1.2</f>
        <v>0</v>
      </c>
      <c r="BV104" s="141">
        <f>294863.796/(G103+G104)*G104</f>
        <v>146983.93864693612</v>
      </c>
      <c r="BW104" s="110">
        <f>SUMIF('20.01'!$AM:$AM,$B:$B,'20.01'!$D:$D)*1.2</f>
        <v>0</v>
      </c>
      <c r="BX104" s="110">
        <f>SUMIF('20.01'!$AN:$AN,$B:$B,'20.01'!$D:$D)*1.2</f>
        <v>0</v>
      </c>
      <c r="BY104" s="110">
        <f t="shared" si="87"/>
        <v>229606.81080418636</v>
      </c>
      <c r="BZ104" s="17">
        <f t="shared" si="82"/>
        <v>186003.72384128283</v>
      </c>
      <c r="CA104" s="17">
        <f t="shared" si="88"/>
        <v>18824.54250712194</v>
      </c>
      <c r="CB104" s="17">
        <f t="shared" si="89"/>
        <v>1251.3591737591316</v>
      </c>
      <c r="CC104" s="17">
        <f>SUMIF('20.01'!$AO:$AO,$B:$B,'20.01'!$D:$D)*1.2</f>
        <v>0</v>
      </c>
      <c r="CD104" s="17">
        <f t="shared" si="90"/>
        <v>19645.068083884995</v>
      </c>
      <c r="CE104" s="17">
        <f>SUMIF('20.01'!$AQ:$AQ,$B:$B,'20.01'!$D:$D)*1.2</f>
        <v>0</v>
      </c>
      <c r="CF104" s="17">
        <f t="shared" si="91"/>
        <v>1787.3906470463712</v>
      </c>
      <c r="CG104" s="17">
        <f>SUMIF('20.01'!$AR:$AR,$B:$B,'20.01'!$D:$D)*1.2</f>
        <v>0</v>
      </c>
      <c r="CH104" s="17">
        <f t="shared" si="92"/>
        <v>1052.6433958804748</v>
      </c>
      <c r="CI104" s="17">
        <f>SUMIF('20.01'!$AT:$AT,$B:$B,'20.01'!$D:$D)*1.2</f>
        <v>0</v>
      </c>
      <c r="CJ104" s="17">
        <f>SUMIF('20.01'!$AU:$AU,$B:$B,'20.01'!$D:$D)*1.2</f>
        <v>0</v>
      </c>
      <c r="CK104" s="17">
        <f>SUMIF('20.01'!$AV:$AV,$B:$B,'20.01'!$D:$D)*1.2</f>
        <v>0</v>
      </c>
      <c r="CL104" s="17">
        <f t="shared" si="93"/>
        <v>1042.0831552106147</v>
      </c>
      <c r="CM104" s="17">
        <f>SUMIF('20.01'!$AW:$AW,$B:$B,'20.01'!$D:$D)*1.2</f>
        <v>0</v>
      </c>
      <c r="CN104" s="17">
        <f>SUMIF('20.01'!$AX:$AX,$B:$B,'20.01'!$D:$D)*1.2</f>
        <v>0</v>
      </c>
      <c r="CO104" s="110">
        <f t="shared" si="138"/>
        <v>349578.69585310534</v>
      </c>
      <c r="CP104" s="17">
        <f t="shared" si="139"/>
        <v>275762.14005609753</v>
      </c>
      <c r="CQ104" s="17">
        <f t="shared" si="94"/>
        <v>85076.414595322291</v>
      </c>
      <c r="CR104" s="17">
        <f t="shared" si="95"/>
        <v>190685.72546077523</v>
      </c>
      <c r="CS104" s="17">
        <f t="shared" si="140"/>
        <v>73816.555797007808</v>
      </c>
      <c r="CT104" s="17">
        <f t="shared" si="96"/>
        <v>2689.2018814732783</v>
      </c>
      <c r="CU104" s="17">
        <f t="shared" si="97"/>
        <v>2601.0861412858767</v>
      </c>
      <c r="CV104" s="17">
        <f t="shared" si="98"/>
        <v>2688.2793764888215</v>
      </c>
      <c r="CW104" s="17">
        <f t="shared" si="99"/>
        <v>28.189569178227472</v>
      </c>
      <c r="CX104" s="17">
        <f t="shared" si="100"/>
        <v>39693.747485751381</v>
      </c>
      <c r="CY104" s="17">
        <f t="shared" si="101"/>
        <v>26116.051342830218</v>
      </c>
      <c r="CZ104" s="110">
        <f t="shared" si="141"/>
        <v>86774.583987877457</v>
      </c>
      <c r="DA104" s="17">
        <f t="shared" si="142"/>
        <v>3277.8568811892414</v>
      </c>
      <c r="DB104" s="17">
        <f t="shared" si="102"/>
        <v>3110.5659398845273</v>
      </c>
      <c r="DC104" s="17">
        <f t="shared" si="103"/>
        <v>167.29094130471407</v>
      </c>
      <c r="DD104" s="17">
        <f t="shared" si="104"/>
        <v>5775.9598226634507</v>
      </c>
      <c r="DE104" s="17">
        <f t="shared" si="105"/>
        <v>1992.8583337857922</v>
      </c>
      <c r="DF104" s="17">
        <f t="shared" si="106"/>
        <v>2418.611223572464</v>
      </c>
      <c r="DG104" s="17">
        <f t="shared" si="143"/>
        <v>73309.297726666511</v>
      </c>
      <c r="DH104" s="110">
        <f t="shared" si="144"/>
        <v>54154.118998342645</v>
      </c>
      <c r="DI104" s="17">
        <f t="shared" si="107"/>
        <v>48578.452727865457</v>
      </c>
      <c r="DJ104" s="17">
        <f t="shared" si="108"/>
        <v>5372.491422262613</v>
      </c>
      <c r="DK104" s="17">
        <f t="shared" si="109"/>
        <v>203.17484821457521</v>
      </c>
      <c r="DL104" s="110">
        <f t="shared" si="145"/>
        <v>409791.80512073974</v>
      </c>
      <c r="DM104" s="17">
        <f t="shared" si="110"/>
        <v>170632.55406528036</v>
      </c>
      <c r="DN104" s="17">
        <f t="shared" si="111"/>
        <v>151315.66115222976</v>
      </c>
      <c r="DO104" s="17">
        <f t="shared" si="112"/>
        <v>87843.5899032296</v>
      </c>
      <c r="DP104" s="110">
        <f t="shared" si="146"/>
        <v>131903.75191810838</v>
      </c>
      <c r="DQ104" s="17">
        <f>SUMIF('20.01'!$BB:$BB,$B:$B,'20.01'!$D:$D)*1.2</f>
        <v>0</v>
      </c>
      <c r="DR104" s="17">
        <f t="shared" si="113"/>
        <v>130933.13417736303</v>
      </c>
      <c r="DS104" s="17">
        <f t="shared" si="114"/>
        <v>970.61774074535344</v>
      </c>
      <c r="DT104" s="110">
        <f t="shared" si="147"/>
        <v>6806.6734678338562</v>
      </c>
      <c r="DU104" s="108">
        <f>(11379.03/(G103+G104)*G104)*1.2</f>
        <v>6806.6734678338562</v>
      </c>
      <c r="DV104" s="17">
        <f t="shared" si="115"/>
        <v>0</v>
      </c>
      <c r="DW104" s="17">
        <f t="shared" si="116"/>
        <v>0</v>
      </c>
      <c r="DX104" s="110">
        <f t="shared" si="117"/>
        <v>1538982.9736138438</v>
      </c>
      <c r="DY104" s="110"/>
      <c r="DZ104" s="110">
        <f t="shared" si="148"/>
        <v>1538982.9736138438</v>
      </c>
      <c r="EA104" s="257"/>
      <c r="EB104" s="110">
        <f t="shared" si="118"/>
        <v>886.55421686746979</v>
      </c>
      <c r="EC104" s="110">
        <f>SUMIF(еирц!$B:$B,$B:$B,еирц!$K:$K)</f>
        <v>1472383.4380256871</v>
      </c>
      <c r="ED104" s="110">
        <f>SUMIF(еирц!$B:$B,$B:$B,еирц!$P:$P)</f>
        <v>1463484.4691952304</v>
      </c>
      <c r="EE104" s="110">
        <f>SUMIF(еирц!$B:$B,$B:$B,еирц!$S:$S)</f>
        <v>322332.65964080999</v>
      </c>
      <c r="EF104" s="177">
        <f t="shared" si="149"/>
        <v>-65712.981371289119</v>
      </c>
      <c r="EG104" s="181">
        <f t="shared" si="152"/>
        <v>0</v>
      </c>
      <c r="EH104" s="177">
        <f t="shared" si="150"/>
        <v>-65712.981371289119</v>
      </c>
    </row>
    <row r="105" spans="1:138" ht="12" customHeight="1" x14ac:dyDescent="0.25">
      <c r="A105" s="5">
        <f t="shared" si="151"/>
        <v>101</v>
      </c>
      <c r="B105" s="6" t="s">
        <v>185</v>
      </c>
      <c r="C105" s="7">
        <f t="shared" si="84"/>
        <v>4505.5999999999995</v>
      </c>
      <c r="D105" s="8">
        <v>4185.3999999999996</v>
      </c>
      <c r="E105" s="8">
        <v>320.2</v>
      </c>
      <c r="F105" s="8">
        <v>571.5</v>
      </c>
      <c r="G105" s="87">
        <f t="shared" si="85"/>
        <v>4505.5999999999995</v>
      </c>
      <c r="H105" s="87">
        <f t="shared" si="86"/>
        <v>4505.5999999999995</v>
      </c>
      <c r="I105" s="91">
        <v>0</v>
      </c>
      <c r="J105" s="112">
        <v>0</v>
      </c>
      <c r="K105" s="17">
        <v>6</v>
      </c>
      <c r="L105" s="112">
        <f t="shared" si="119"/>
        <v>1.4457831325301205E-2</v>
      </c>
      <c r="M105" s="116">
        <v>3.406416350079887</v>
      </c>
      <c r="N105" s="120">
        <f t="shared" si="120"/>
        <v>4505.5999999999995</v>
      </c>
      <c r="O105" s="116">
        <v>3.0862308361441508</v>
      </c>
      <c r="P105" s="120">
        <f t="shared" si="121"/>
        <v>4505.5999999999995</v>
      </c>
      <c r="Q105" s="116">
        <v>0</v>
      </c>
      <c r="R105" s="120">
        <f t="shared" si="122"/>
        <v>0</v>
      </c>
      <c r="S105" s="5" t="s">
        <v>143</v>
      </c>
      <c r="T105" s="87">
        <v>28.44</v>
      </c>
      <c r="U105" s="88">
        <v>4.68</v>
      </c>
      <c r="V105" s="88">
        <v>6.05</v>
      </c>
      <c r="W105" s="88">
        <v>8.24</v>
      </c>
      <c r="X105" s="88">
        <v>6.34</v>
      </c>
      <c r="Y105" s="88">
        <v>2.89</v>
      </c>
      <c r="Z105" s="88">
        <v>0</v>
      </c>
      <c r="AA105" s="88">
        <v>0</v>
      </c>
      <c r="AB105" s="88">
        <v>0.24</v>
      </c>
      <c r="AC105" s="257"/>
      <c r="AD105" s="110">
        <f t="shared" si="123"/>
        <v>347542.84547530895</v>
      </c>
      <c r="AE105" s="110">
        <f t="shared" si="124"/>
        <v>123799.73610086556</v>
      </c>
      <c r="AF105" s="16">
        <f>SUMIF('20.01'!$I:$I,$B:$B,'20.01'!$D:$D)*1.2</f>
        <v>46285.752000000008</v>
      </c>
      <c r="AG105" s="17">
        <f t="shared" si="83"/>
        <v>12019.266458711183</v>
      </c>
      <c r="AH105" s="17">
        <f t="shared" si="125"/>
        <v>3440.4716399343738</v>
      </c>
      <c r="AI105" s="16">
        <f>SUMIF('20.01'!$J:$J,$B:$B,'20.01'!$D:$D)*1.2</f>
        <v>0</v>
      </c>
      <c r="AJ105" s="17">
        <f t="shared" si="126"/>
        <v>1398.1303253698118</v>
      </c>
      <c r="AK105" s="17">
        <f t="shared" si="127"/>
        <v>3401.3404803902549</v>
      </c>
      <c r="AL105" s="17">
        <f t="shared" si="128"/>
        <v>57254.77519645993</v>
      </c>
      <c r="AM105" s="110">
        <f t="shared" si="129"/>
        <v>0</v>
      </c>
      <c r="AN105" s="17">
        <f>SUMIF('20.01'!$K:$K,$B:$B,'20.01'!$D:$D)*1.2</f>
        <v>0</v>
      </c>
      <c r="AO105" s="17">
        <f>SUMIF('20.01'!$L:$L,$B:$B,'20.01'!$D:$D)*1.2</f>
        <v>0</v>
      </c>
      <c r="AP105" s="17">
        <f>SUMIF('20.01'!$M:$M,$B:$B,'20.01'!$D:$D)*1.2</f>
        <v>0</v>
      </c>
      <c r="AQ105" s="110">
        <f t="shared" si="130"/>
        <v>1265.6773744433583</v>
      </c>
      <c r="AR105" s="17">
        <f t="shared" si="131"/>
        <v>1265.6773744433583</v>
      </c>
      <c r="AS105" s="17">
        <f>(SUMIF('20.01'!$N:$N,$B:$B,'20.01'!$D:$D)+SUMIF('20.01'!$O:$O,$B:$B,'20.01'!$D:$D))*1.2</f>
        <v>0</v>
      </c>
      <c r="AT105" s="110">
        <f>SUMIF('20.01'!$P:$P,$B:$B,'20.01'!$D:$D)*1.2</f>
        <v>0</v>
      </c>
      <c r="AU105" s="110">
        <f t="shared" si="132"/>
        <v>0</v>
      </c>
      <c r="AV105" s="17">
        <f>SUMIF('20.01'!$Q:$Q,$B:$B,'20.01'!$D:$D)*1.2</f>
        <v>0</v>
      </c>
      <c r="AW105" s="17">
        <f>SUMIF('20.01'!$R:$R,$B:$B,'20.01'!$D:$D)*1.2</f>
        <v>0</v>
      </c>
      <c r="AX105" s="110">
        <f t="shared" si="133"/>
        <v>171925.03199999998</v>
      </c>
      <c r="AY105" s="17">
        <f>SUMIF('20.01'!$S:$S,$B:$B,'20.01'!$D:$D)*1.2</f>
        <v>171925.03199999998</v>
      </c>
      <c r="AZ105" s="17">
        <f>SUMIF('20.01'!$T:$T,$B:$B,'20.01'!$D:$D)*1.2</f>
        <v>0</v>
      </c>
      <c r="BA105" s="110">
        <f t="shared" si="134"/>
        <v>50552.4</v>
      </c>
      <c r="BB105" s="17">
        <f>SUMIF('20.01'!$U:$U,$B:$B,'20.01'!$D:$D)*1.2</f>
        <v>50552.4</v>
      </c>
      <c r="BC105" s="17">
        <f>SUMIF('20.01'!$V:$V,$B:$B,'20.01'!$D:$D)*1.2</f>
        <v>0</v>
      </c>
      <c r="BD105" s="17">
        <f>SUMIF('20.01'!$W:$W,$B:$B,'20.01'!$D:$D)*1.2</f>
        <v>0</v>
      </c>
      <c r="BE105" s="110">
        <f>SUMIF('20.01'!$X:$X,$B:$B,'20.01'!$D:$D)*1.2</f>
        <v>0</v>
      </c>
      <c r="BF105" s="110">
        <f t="shared" si="135"/>
        <v>0</v>
      </c>
      <c r="BG105" s="17">
        <f>SUMIF('20.01'!$Y:$Y,$B:$B,'20.01'!$D:$D)*1.2</f>
        <v>0</v>
      </c>
      <c r="BH105" s="17">
        <f>SUMIF('20.01'!$Z:$Z,$B:$B,'20.01'!$D:$D)*1.2</f>
        <v>0</v>
      </c>
      <c r="BI105" s="17">
        <f>SUMIF('20.01'!$AA:$AA,$B:$B,'20.01'!$D:$D)*1.2</f>
        <v>0</v>
      </c>
      <c r="BJ105" s="17">
        <f>SUMIF('20.01'!$AB:$AB,$B:$B,'20.01'!$D:$D)*1.2</f>
        <v>0</v>
      </c>
      <c r="BK105" s="17">
        <f>SUMIF('20.01'!$AC:$AC,$B:$B,'20.01'!$D:$D)*1.2</f>
        <v>0</v>
      </c>
      <c r="BL105" s="17">
        <f>SUMIF('20.01'!$AD:$AD,$B:$B,'20.01'!$D:$D)*1.2</f>
        <v>0</v>
      </c>
      <c r="BM105" s="110">
        <f t="shared" si="136"/>
        <v>0</v>
      </c>
      <c r="BN105" s="17">
        <f>SUMIF('20.01'!$AE:$AE,$B:$B,'20.01'!$D:$D)*1.2</f>
        <v>0</v>
      </c>
      <c r="BO105" s="17">
        <f>SUMIF('20.01'!$AF:$AF,$B:$B,'20.01'!$D:$D)*1.2</f>
        <v>0</v>
      </c>
      <c r="BP105" s="110">
        <f>SUMIF('20.01'!$AG:$AG,$B:$B,'20.01'!$D:$D)*1.2</f>
        <v>0</v>
      </c>
      <c r="BQ105" s="110">
        <f>SUMIF('20.01'!$AH:$AH,$B:$B,'20.01'!$D:$D)*1.2</f>
        <v>0</v>
      </c>
      <c r="BR105" s="110">
        <f>SUMIF('20.01'!$AI:$AI,$B:$B,'20.01'!$D:$D)*1.2</f>
        <v>0</v>
      </c>
      <c r="BS105" s="110">
        <f t="shared" si="137"/>
        <v>0</v>
      </c>
      <c r="BT105" s="17">
        <f>SUMIF('20.01'!$AJ:$AJ,$B:$B,'20.01'!$D:$D)*1.2</f>
        <v>0</v>
      </c>
      <c r="BU105" s="17">
        <f>SUMIF('20.01'!$AK:$AK,$B:$B,'20.01'!$D:$D)*1.2</f>
        <v>0</v>
      </c>
      <c r="BV105" s="110">
        <f>SUMIF('20.01'!$AL:$AL,$B:$B,'20.01'!$D:$D)*1.2</f>
        <v>0</v>
      </c>
      <c r="BW105" s="110">
        <f>SUMIF('20.01'!$AM:$AM,$B:$B,'20.01'!$D:$D)*1.2</f>
        <v>0</v>
      </c>
      <c r="BX105" s="110">
        <f>SUMIF('20.01'!$AN:$AN,$B:$B,'20.01'!$D:$D)*1.2</f>
        <v>0</v>
      </c>
      <c r="BY105" s="110">
        <f t="shared" si="87"/>
        <v>547315.70851838216</v>
      </c>
      <c r="BZ105" s="17">
        <f t="shared" si="82"/>
        <v>276122.16340129945</v>
      </c>
      <c r="CA105" s="17">
        <f t="shared" si="88"/>
        <v>27944.996448251659</v>
      </c>
      <c r="CB105" s="17">
        <f t="shared" si="89"/>
        <v>1857.640240285046</v>
      </c>
      <c r="CC105" s="17">
        <f>SUMIF('20.01'!$AO:$AO,$B:$B,'20.01'!$D:$D)*1.2</f>
        <v>0</v>
      </c>
      <c r="CD105" s="17">
        <f t="shared" si="90"/>
        <v>29163.065058400785</v>
      </c>
      <c r="CE105" s="17">
        <f>SUMIF('20.01'!$AQ:$AQ,$B:$B,'20.01'!$D:$D)*1.2</f>
        <v>0</v>
      </c>
      <c r="CF105" s="17">
        <f t="shared" si="91"/>
        <v>2653.3779115456259</v>
      </c>
      <c r="CG105" s="17">
        <f>SUMIF('20.01'!$AR:$AR,$B:$B,'20.01'!$D:$D)*1.2</f>
        <v>206464.848</v>
      </c>
      <c r="CH105" s="17">
        <f t="shared" si="92"/>
        <v>1562.6470575859335</v>
      </c>
      <c r="CI105" s="17">
        <f>SUMIF('20.01'!$AT:$AT,$B:$B,'20.01'!$D:$D)*1.2</f>
        <v>0</v>
      </c>
      <c r="CJ105" s="17">
        <f>SUMIF('20.01'!$AU:$AU,$B:$B,'20.01'!$D:$D)*1.2</f>
        <v>0</v>
      </c>
      <c r="CK105" s="17">
        <f>SUMIF('20.01'!$AV:$AV,$B:$B,'20.01'!$D:$D)*1.2</f>
        <v>0</v>
      </c>
      <c r="CL105" s="17">
        <f t="shared" si="93"/>
        <v>1546.9704010137871</v>
      </c>
      <c r="CM105" s="17">
        <f>SUMIF('20.01'!$AW:$AW,$B:$B,'20.01'!$D:$D)*1.2</f>
        <v>0</v>
      </c>
      <c r="CN105" s="17">
        <f>SUMIF('20.01'!$AX:$AX,$B:$B,'20.01'!$D:$D)*1.2</f>
        <v>0</v>
      </c>
      <c r="CO105" s="110">
        <f t="shared" si="138"/>
        <v>518948.88868101587</v>
      </c>
      <c r="CP105" s="17">
        <f t="shared" si="139"/>
        <v>409368.35631008958</v>
      </c>
      <c r="CQ105" s="17">
        <f t="shared" si="94"/>
        <v>126295.77068323419</v>
      </c>
      <c r="CR105" s="17">
        <f t="shared" si="95"/>
        <v>283072.58562685538</v>
      </c>
      <c r="CS105" s="17">
        <f t="shared" si="140"/>
        <v>109580.53237092627</v>
      </c>
      <c r="CT105" s="17">
        <f t="shared" si="96"/>
        <v>3992.1149211446086</v>
      </c>
      <c r="CU105" s="17">
        <f t="shared" si="97"/>
        <v>3861.3072775782166</v>
      </c>
      <c r="CV105" s="17">
        <f t="shared" si="98"/>
        <v>3990.7454643036585</v>
      </c>
      <c r="CW105" s="17">
        <f t="shared" si="99"/>
        <v>41.847360182340509</v>
      </c>
      <c r="CX105" s="17">
        <f t="shared" si="100"/>
        <v>58925.290327106653</v>
      </c>
      <c r="CY105" s="17">
        <f t="shared" si="101"/>
        <v>38769.227020610793</v>
      </c>
      <c r="CZ105" s="110">
        <f t="shared" si="141"/>
        <v>128816.69981739669</v>
      </c>
      <c r="DA105" s="17">
        <f t="shared" si="142"/>
        <v>4865.9721142256412</v>
      </c>
      <c r="DB105" s="17">
        <f t="shared" si="102"/>
        <v>4617.6290398154015</v>
      </c>
      <c r="DC105" s="17">
        <f t="shared" si="103"/>
        <v>248.34307441024006</v>
      </c>
      <c r="DD105" s="17">
        <f t="shared" si="104"/>
        <v>8574.4010335713629</v>
      </c>
      <c r="DE105" s="17">
        <f t="shared" si="105"/>
        <v>2958.3942897121233</v>
      </c>
      <c r="DF105" s="17">
        <f t="shared" si="106"/>
        <v>3590.4236199558804</v>
      </c>
      <c r="DG105" s="17">
        <f t="shared" si="143"/>
        <v>108827.50875993168</v>
      </c>
      <c r="DH105" s="110">
        <f t="shared" si="144"/>
        <v>80391.683489483898</v>
      </c>
      <c r="DI105" s="17">
        <f t="shared" si="107"/>
        <v>72114.617841478233</v>
      </c>
      <c r="DJ105" s="17">
        <f t="shared" si="108"/>
        <v>7975.4529841344365</v>
      </c>
      <c r="DK105" s="17">
        <f t="shared" si="109"/>
        <v>301.61266387123652</v>
      </c>
      <c r="DL105" s="110">
        <f t="shared" si="145"/>
        <v>477931.49434417766</v>
      </c>
      <c r="DM105" s="17">
        <f t="shared" si="110"/>
        <v>253303.69200241414</v>
      </c>
      <c r="DN105" s="17">
        <f t="shared" si="111"/>
        <v>224627.80234176351</v>
      </c>
      <c r="DO105" s="17">
        <f t="shared" si="112"/>
        <v>0</v>
      </c>
      <c r="DP105" s="110">
        <f t="shared" si="146"/>
        <v>0</v>
      </c>
      <c r="DQ105" s="17">
        <f>SUMIF('20.01'!$BB:$BB,$B:$B,'20.01'!$D:$D)*1.2</f>
        <v>0</v>
      </c>
      <c r="DR105" s="17">
        <f t="shared" si="113"/>
        <v>0</v>
      </c>
      <c r="DS105" s="17">
        <f t="shared" si="114"/>
        <v>0</v>
      </c>
      <c r="DT105" s="110">
        <f t="shared" si="147"/>
        <v>25197.527999999998</v>
      </c>
      <c r="DU105" s="17">
        <f>SUMIF('20.01'!$BD:$BD,$B:$B,'20.01'!$D:$D)*1.2</f>
        <v>25197.527999999998</v>
      </c>
      <c r="DV105" s="17">
        <f t="shared" si="115"/>
        <v>0</v>
      </c>
      <c r="DW105" s="17">
        <f t="shared" si="116"/>
        <v>0</v>
      </c>
      <c r="DX105" s="110">
        <f t="shared" si="117"/>
        <v>2126144.8483257652</v>
      </c>
      <c r="DY105" s="110"/>
      <c r="DZ105" s="110">
        <f t="shared" si="148"/>
        <v>2126144.8483257652</v>
      </c>
      <c r="EA105" s="257"/>
      <c r="EB105" s="110">
        <f t="shared" si="118"/>
        <v>5319.3253012048199</v>
      </c>
      <c r="EC105" s="110">
        <f>SUMIF(еирц!$B:$B,$B:$B,еирц!$K:$K)</f>
        <v>1401022.26</v>
      </c>
      <c r="ED105" s="110">
        <f>SUMIF(еирц!$B:$B,$B:$B,еирц!$P:$P)</f>
        <v>1358000.96</v>
      </c>
      <c r="EE105" s="110">
        <f>SUMIF(еирц!$B:$B,$B:$B,еирц!$S:$S)</f>
        <v>379072.02999999997</v>
      </c>
      <c r="EF105" s="177">
        <f t="shared" si="149"/>
        <v>-719803.26302456041</v>
      </c>
      <c r="EG105" s="181">
        <f t="shared" si="152"/>
        <v>0</v>
      </c>
      <c r="EH105" s="177">
        <f t="shared" si="150"/>
        <v>-719803.26302456041</v>
      </c>
    </row>
    <row r="106" spans="1:138" ht="12" customHeight="1" x14ac:dyDescent="0.25">
      <c r="A106" s="5">
        <f t="shared" si="151"/>
        <v>102</v>
      </c>
      <c r="B106" s="6" t="s">
        <v>186</v>
      </c>
      <c r="C106" s="7">
        <f t="shared" si="84"/>
        <v>4500.9799999999996</v>
      </c>
      <c r="D106" s="8">
        <v>4500.9799999999996</v>
      </c>
      <c r="E106" s="8">
        <v>0</v>
      </c>
      <c r="F106" s="8">
        <v>571.5</v>
      </c>
      <c r="G106" s="87">
        <f t="shared" si="85"/>
        <v>4500.9799999999996</v>
      </c>
      <c r="H106" s="87">
        <f t="shared" si="86"/>
        <v>4500.9799999999996</v>
      </c>
      <c r="I106" s="91">
        <v>0</v>
      </c>
      <c r="J106" s="112">
        <v>0</v>
      </c>
      <c r="K106" s="17">
        <v>6</v>
      </c>
      <c r="L106" s="112">
        <f t="shared" si="119"/>
        <v>1.4457831325301205E-2</v>
      </c>
      <c r="M106" s="116">
        <v>3.4064172374099444</v>
      </c>
      <c r="N106" s="120">
        <f t="shared" si="120"/>
        <v>4500.9799999999996</v>
      </c>
      <c r="O106" s="116">
        <v>3.0862328099236001</v>
      </c>
      <c r="P106" s="120">
        <f t="shared" si="121"/>
        <v>4500.9799999999996</v>
      </c>
      <c r="Q106" s="116">
        <v>0</v>
      </c>
      <c r="R106" s="120">
        <f t="shared" si="122"/>
        <v>0</v>
      </c>
      <c r="S106" s="5" t="s">
        <v>143</v>
      </c>
      <c r="T106" s="87">
        <v>28.44</v>
      </c>
      <c r="U106" s="88">
        <v>4.68</v>
      </c>
      <c r="V106" s="88">
        <v>6.05</v>
      </c>
      <c r="W106" s="88">
        <v>8.24</v>
      </c>
      <c r="X106" s="88">
        <v>6.34</v>
      </c>
      <c r="Y106" s="88">
        <v>2.89</v>
      </c>
      <c r="Z106" s="88">
        <v>0</v>
      </c>
      <c r="AA106" s="88">
        <v>0</v>
      </c>
      <c r="AB106" s="88">
        <v>0.24</v>
      </c>
      <c r="AC106" s="257"/>
      <c r="AD106" s="110">
        <f t="shared" si="123"/>
        <v>256527.69754899151</v>
      </c>
      <c r="AE106" s="110">
        <f t="shared" si="124"/>
        <v>213071.53398826215</v>
      </c>
      <c r="AF106" s="16">
        <f>SUMIF('20.01'!$I:$I,$B:$B,'20.01'!$D:$D)*1.2</f>
        <v>135637.03200000001</v>
      </c>
      <c r="AG106" s="17">
        <f t="shared" si="83"/>
        <v>12006.942015565044</v>
      </c>
      <c r="AH106" s="17">
        <f t="shared" si="125"/>
        <v>3436.9438125692068</v>
      </c>
      <c r="AI106" s="16">
        <f>SUMIF('20.01'!$J:$J,$B:$B,'20.01'!$D:$D)*1.2</f>
        <v>0</v>
      </c>
      <c r="AJ106" s="17">
        <f t="shared" si="126"/>
        <v>1396.6966956416495</v>
      </c>
      <c r="AK106" s="17">
        <f t="shared" si="127"/>
        <v>3397.85277774923</v>
      </c>
      <c r="AL106" s="17">
        <f t="shared" si="128"/>
        <v>57196.066686737002</v>
      </c>
      <c r="AM106" s="110">
        <f t="shared" si="129"/>
        <v>0</v>
      </c>
      <c r="AN106" s="17">
        <f>SUMIF('20.01'!$K:$K,$B:$B,'20.01'!$D:$D)*1.2</f>
        <v>0</v>
      </c>
      <c r="AO106" s="17">
        <f>SUMIF('20.01'!$L:$L,$B:$B,'20.01'!$D:$D)*1.2</f>
        <v>0</v>
      </c>
      <c r="AP106" s="17">
        <f>SUMIF('20.01'!$M:$M,$B:$B,'20.01'!$D:$D)*1.2</f>
        <v>0</v>
      </c>
      <c r="AQ106" s="110">
        <f t="shared" si="130"/>
        <v>1264.3795607293296</v>
      </c>
      <c r="AR106" s="17">
        <f t="shared" si="131"/>
        <v>1264.3795607293296</v>
      </c>
      <c r="AS106" s="17">
        <f>(SUMIF('20.01'!$N:$N,$B:$B,'20.01'!$D:$D)+SUMIF('20.01'!$O:$O,$B:$B,'20.01'!$D:$D))*1.2</f>
        <v>0</v>
      </c>
      <c r="AT106" s="110">
        <f>SUMIF('20.01'!$P:$P,$B:$B,'20.01'!$D:$D)*1.2</f>
        <v>0</v>
      </c>
      <c r="AU106" s="110">
        <f t="shared" si="132"/>
        <v>8285.4120000000003</v>
      </c>
      <c r="AV106" s="17">
        <f>SUMIF('20.01'!$Q:$Q,$B:$B,'20.01'!$D:$D)*1.2</f>
        <v>8285.4120000000003</v>
      </c>
      <c r="AW106" s="17">
        <f>SUMIF('20.01'!$R:$R,$B:$B,'20.01'!$D:$D)*1.2</f>
        <v>0</v>
      </c>
      <c r="AX106" s="110">
        <f t="shared" si="133"/>
        <v>33906.372000000003</v>
      </c>
      <c r="AY106" s="17">
        <f>SUMIF('20.01'!$S:$S,$B:$B,'20.01'!$D:$D)*1.2</f>
        <v>0</v>
      </c>
      <c r="AZ106" s="17">
        <f>SUMIF('20.01'!$T:$T,$B:$B,'20.01'!$D:$D)*1.2</f>
        <v>33906.372000000003</v>
      </c>
      <c r="BA106" s="110">
        <f t="shared" si="134"/>
        <v>0</v>
      </c>
      <c r="BB106" s="17">
        <f>SUMIF('20.01'!$U:$U,$B:$B,'20.01'!$D:$D)*1.2</f>
        <v>0</v>
      </c>
      <c r="BC106" s="17">
        <f>SUMIF('20.01'!$V:$V,$B:$B,'20.01'!$D:$D)*1.2</f>
        <v>0</v>
      </c>
      <c r="BD106" s="17">
        <f>SUMIF('20.01'!$W:$W,$B:$B,'20.01'!$D:$D)*1.2</f>
        <v>0</v>
      </c>
      <c r="BE106" s="110">
        <f>SUMIF('20.01'!$X:$X,$B:$B,'20.01'!$D:$D)*1.2</f>
        <v>0</v>
      </c>
      <c r="BF106" s="110">
        <f t="shared" si="135"/>
        <v>0</v>
      </c>
      <c r="BG106" s="17">
        <f>SUMIF('20.01'!$Y:$Y,$B:$B,'20.01'!$D:$D)*1.2</f>
        <v>0</v>
      </c>
      <c r="BH106" s="17">
        <f>SUMIF('20.01'!$Z:$Z,$B:$B,'20.01'!$D:$D)*1.2</f>
        <v>0</v>
      </c>
      <c r="BI106" s="17">
        <f>SUMIF('20.01'!$AA:$AA,$B:$B,'20.01'!$D:$D)*1.2</f>
        <v>0</v>
      </c>
      <c r="BJ106" s="17">
        <f>SUMIF('20.01'!$AB:$AB,$B:$B,'20.01'!$D:$D)*1.2</f>
        <v>0</v>
      </c>
      <c r="BK106" s="17">
        <f>SUMIF('20.01'!$AC:$AC,$B:$B,'20.01'!$D:$D)*1.2</f>
        <v>0</v>
      </c>
      <c r="BL106" s="17">
        <f>SUMIF('20.01'!$AD:$AD,$B:$B,'20.01'!$D:$D)*1.2</f>
        <v>0</v>
      </c>
      <c r="BM106" s="110">
        <f t="shared" si="136"/>
        <v>0</v>
      </c>
      <c r="BN106" s="17">
        <f>SUMIF('20.01'!$AE:$AE,$B:$B,'20.01'!$D:$D)*1.2</f>
        <v>0</v>
      </c>
      <c r="BO106" s="17">
        <f>SUMIF('20.01'!$AF:$AF,$B:$B,'20.01'!$D:$D)*1.2</f>
        <v>0</v>
      </c>
      <c r="BP106" s="110">
        <f>SUMIF('20.01'!$AG:$AG,$B:$B,'20.01'!$D:$D)*1.2</f>
        <v>0</v>
      </c>
      <c r="BQ106" s="110">
        <f>SUMIF('20.01'!$AH:$AH,$B:$B,'20.01'!$D:$D)*1.2</f>
        <v>0</v>
      </c>
      <c r="BR106" s="110">
        <f>SUMIF('20.01'!$AI:$AI,$B:$B,'20.01'!$D:$D)*1.2</f>
        <v>0</v>
      </c>
      <c r="BS106" s="110">
        <f t="shared" si="137"/>
        <v>0</v>
      </c>
      <c r="BT106" s="17">
        <f>SUMIF('20.01'!$AJ:$AJ,$B:$B,'20.01'!$D:$D)*1.2</f>
        <v>0</v>
      </c>
      <c r="BU106" s="17">
        <f>SUMIF('20.01'!$AK:$AK,$B:$B,'20.01'!$D:$D)*1.2</f>
        <v>0</v>
      </c>
      <c r="BV106" s="110">
        <f>SUMIF('20.01'!$AL:$AL,$B:$B,'20.01'!$D:$D)*1.2</f>
        <v>0</v>
      </c>
      <c r="BW106" s="110">
        <f>SUMIF('20.01'!$AM:$AM,$B:$B,'20.01'!$D:$D)*1.2</f>
        <v>0</v>
      </c>
      <c r="BX106" s="110">
        <f>SUMIF('20.01'!$AN:$AN,$B:$B,'20.01'!$D:$D)*1.2</f>
        <v>0</v>
      </c>
      <c r="BY106" s="110">
        <f t="shared" si="87"/>
        <v>464822.81924148352</v>
      </c>
      <c r="BZ106" s="17">
        <f t="shared" si="82"/>
        <v>275839.030323593</v>
      </c>
      <c r="CA106" s="17">
        <f t="shared" si="88"/>
        <v>27916.341910877964</v>
      </c>
      <c r="CB106" s="17">
        <f t="shared" si="89"/>
        <v>1855.735433398035</v>
      </c>
      <c r="CC106" s="17">
        <f>SUMIF('20.01'!$AO:$AO,$B:$B,'20.01'!$D:$D)*1.2</f>
        <v>0</v>
      </c>
      <c r="CD106" s="17">
        <f t="shared" si="90"/>
        <v>29133.161524893636</v>
      </c>
      <c r="CE106" s="17">
        <f>SUMIF('20.01'!$AQ:$AQ,$B:$B,'20.01'!$D:$D)*1.2</f>
        <v>0</v>
      </c>
      <c r="CF106" s="17">
        <f t="shared" si="91"/>
        <v>2650.657162710545</v>
      </c>
      <c r="CG106" s="17">
        <f>SUMIF('20.01'!$AR:$AR,$B:$B,'20.01'!$D:$D)*1.2</f>
        <v>124321.46399999999</v>
      </c>
      <c r="CH106" s="17">
        <f t="shared" si="92"/>
        <v>1561.0447339429011</v>
      </c>
      <c r="CI106" s="17">
        <f>SUMIF('20.01'!$AT:$AT,$B:$B,'20.01'!$D:$D)*1.2</f>
        <v>0</v>
      </c>
      <c r="CJ106" s="17">
        <f>SUMIF('20.01'!$AU:$AU,$B:$B,'20.01'!$D:$D)*1.2</f>
        <v>0</v>
      </c>
      <c r="CK106" s="17">
        <f>SUMIF('20.01'!$AV:$AV,$B:$B,'20.01'!$D:$D)*1.2</f>
        <v>0</v>
      </c>
      <c r="CL106" s="17">
        <f t="shared" si="93"/>
        <v>1545.384152067435</v>
      </c>
      <c r="CM106" s="17">
        <f>SUMIF('20.01'!$AW:$AW,$B:$B,'20.01'!$D:$D)*1.2</f>
        <v>0</v>
      </c>
      <c r="CN106" s="17">
        <f>SUMIF('20.01'!$AX:$AX,$B:$B,'20.01'!$D:$D)*1.2</f>
        <v>0</v>
      </c>
      <c r="CO106" s="110">
        <f t="shared" si="138"/>
        <v>518416.76335570822</v>
      </c>
      <c r="CP106" s="17">
        <f t="shared" si="139"/>
        <v>408948.59383535758</v>
      </c>
      <c r="CQ106" s="17">
        <f t="shared" si="94"/>
        <v>126166.26818399846</v>
      </c>
      <c r="CR106" s="17">
        <f t="shared" si="95"/>
        <v>282782.3256513591</v>
      </c>
      <c r="CS106" s="17">
        <f t="shared" si="140"/>
        <v>109468.16952035062</v>
      </c>
      <c r="CT106" s="17">
        <f t="shared" si="96"/>
        <v>3988.0214439305446</v>
      </c>
      <c r="CU106" s="17">
        <f t="shared" si="97"/>
        <v>3857.347929295544</v>
      </c>
      <c r="CV106" s="17">
        <f t="shared" si="98"/>
        <v>3986.6533913178005</v>
      </c>
      <c r="CW106" s="17">
        <f t="shared" si="99"/>
        <v>41.804450291528539</v>
      </c>
      <c r="CX106" s="17">
        <f t="shared" si="100"/>
        <v>58864.868886829841</v>
      </c>
      <c r="CY106" s="17">
        <f t="shared" si="101"/>
        <v>38729.47341868536</v>
      </c>
      <c r="CZ106" s="110">
        <f t="shared" si="141"/>
        <v>128684.61238106049</v>
      </c>
      <c r="DA106" s="17">
        <f t="shared" si="142"/>
        <v>4860.9825920382036</v>
      </c>
      <c r="DB106" s="17">
        <f t="shared" si="102"/>
        <v>4612.8941662882471</v>
      </c>
      <c r="DC106" s="17">
        <f t="shared" si="103"/>
        <v>248.08842574995614</v>
      </c>
      <c r="DD106" s="17">
        <f t="shared" si="104"/>
        <v>8565.6089231365477</v>
      </c>
      <c r="DE106" s="17">
        <f t="shared" si="105"/>
        <v>2955.3607799423989</v>
      </c>
      <c r="DF106" s="17">
        <f t="shared" si="106"/>
        <v>3586.7420332361994</v>
      </c>
      <c r="DG106" s="17">
        <f t="shared" si="143"/>
        <v>108715.91805270714</v>
      </c>
      <c r="DH106" s="110">
        <f t="shared" si="144"/>
        <v>80309.25061090583</v>
      </c>
      <c r="DI106" s="17">
        <f t="shared" si="107"/>
        <v>72040.672188418132</v>
      </c>
      <c r="DJ106" s="17">
        <f t="shared" si="108"/>
        <v>7967.2750294143771</v>
      </c>
      <c r="DK106" s="17">
        <f t="shared" si="109"/>
        <v>301.30339307332167</v>
      </c>
      <c r="DL106" s="110">
        <f t="shared" si="145"/>
        <v>477441.42787048488</v>
      </c>
      <c r="DM106" s="17">
        <f t="shared" si="110"/>
        <v>253043.95677135698</v>
      </c>
      <c r="DN106" s="17">
        <f t="shared" si="111"/>
        <v>224397.4710991279</v>
      </c>
      <c r="DO106" s="17">
        <f t="shared" si="112"/>
        <v>0</v>
      </c>
      <c r="DP106" s="110">
        <f t="shared" si="146"/>
        <v>0</v>
      </c>
      <c r="DQ106" s="17">
        <f>SUMIF('20.01'!$BB:$BB,$B:$B,'20.01'!$D:$D)*1.2</f>
        <v>0</v>
      </c>
      <c r="DR106" s="17">
        <f t="shared" si="113"/>
        <v>0</v>
      </c>
      <c r="DS106" s="17">
        <f t="shared" si="114"/>
        <v>0</v>
      </c>
      <c r="DT106" s="110">
        <f t="shared" si="147"/>
        <v>26377.535999999996</v>
      </c>
      <c r="DU106" s="17">
        <f>SUMIF('20.01'!$BD:$BD,$B:$B,'20.01'!$D:$D)*1.2</f>
        <v>26377.535999999996</v>
      </c>
      <c r="DV106" s="17">
        <f t="shared" si="115"/>
        <v>0</v>
      </c>
      <c r="DW106" s="17">
        <f t="shared" si="116"/>
        <v>0</v>
      </c>
      <c r="DX106" s="110">
        <f t="shared" si="117"/>
        <v>1952580.1070086344</v>
      </c>
      <c r="DY106" s="110"/>
      <c r="DZ106" s="110">
        <f t="shared" si="148"/>
        <v>1952580.1070086344</v>
      </c>
      <c r="EA106" s="257"/>
      <c r="EB106" s="110">
        <f t="shared" si="118"/>
        <v>5319.3253012048199</v>
      </c>
      <c r="EC106" s="110">
        <f>SUMIF(еирц!$B:$B,$B:$B,еирц!$K:$K)</f>
        <v>1506834.3599999999</v>
      </c>
      <c r="ED106" s="110">
        <f>SUMIF(еирц!$B:$B,$B:$B,еирц!$P:$P)</f>
        <v>1497788.21</v>
      </c>
      <c r="EE106" s="110">
        <f>SUMIF(еирц!$B:$B,$B:$B,еирц!$S:$S)</f>
        <v>326413.46999999997</v>
      </c>
      <c r="EF106" s="177">
        <f t="shared" si="149"/>
        <v>-440426.42170742969</v>
      </c>
      <c r="EG106" s="181">
        <f t="shared" si="152"/>
        <v>0</v>
      </c>
      <c r="EH106" s="177">
        <f t="shared" si="150"/>
        <v>-440426.42170742969</v>
      </c>
    </row>
    <row r="107" spans="1:138" ht="12" customHeight="1" x14ac:dyDescent="0.25">
      <c r="A107" s="5">
        <f t="shared" si="151"/>
        <v>103</v>
      </c>
      <c r="B107" s="6" t="s">
        <v>187</v>
      </c>
      <c r="C107" s="7">
        <f t="shared" si="84"/>
        <v>6866.78</v>
      </c>
      <c r="D107" s="8">
        <v>6866.78</v>
      </c>
      <c r="E107" s="8">
        <v>0</v>
      </c>
      <c r="F107" s="8">
        <v>706.4</v>
      </c>
      <c r="G107" s="87">
        <f t="shared" si="85"/>
        <v>6866.78</v>
      </c>
      <c r="H107" s="87">
        <f t="shared" si="86"/>
        <v>6866.78</v>
      </c>
      <c r="I107" s="91">
        <v>0</v>
      </c>
      <c r="J107" s="112">
        <v>0</v>
      </c>
      <c r="K107" s="17">
        <v>0</v>
      </c>
      <c r="L107" s="112">
        <f t="shared" si="119"/>
        <v>0</v>
      </c>
      <c r="M107" s="116">
        <v>3.4064166141342116</v>
      </c>
      <c r="N107" s="120">
        <f t="shared" si="120"/>
        <v>6866.78</v>
      </c>
      <c r="O107" s="116">
        <v>3.0862327046053615</v>
      </c>
      <c r="P107" s="120">
        <f t="shared" si="121"/>
        <v>6866.78</v>
      </c>
      <c r="Q107" s="116">
        <v>0</v>
      </c>
      <c r="R107" s="120">
        <f t="shared" si="122"/>
        <v>0</v>
      </c>
      <c r="S107" s="5" t="s">
        <v>143</v>
      </c>
      <c r="T107" s="87">
        <v>28.44</v>
      </c>
      <c r="U107" s="88">
        <v>4.68</v>
      </c>
      <c r="V107" s="88">
        <v>6.05</v>
      </c>
      <c r="W107" s="88">
        <v>8.24</v>
      </c>
      <c r="X107" s="88">
        <v>6.34</v>
      </c>
      <c r="Y107" s="88">
        <v>2.89</v>
      </c>
      <c r="Z107" s="88">
        <v>0</v>
      </c>
      <c r="AA107" s="88">
        <v>0</v>
      </c>
      <c r="AB107" s="88">
        <v>0.24</v>
      </c>
      <c r="AC107" s="257"/>
      <c r="AD107" s="110">
        <f t="shared" si="123"/>
        <v>3732518.2303632419</v>
      </c>
      <c r="AE107" s="110">
        <f t="shared" si="124"/>
        <v>258721.78905258825</v>
      </c>
      <c r="AF107" s="16">
        <f>SUMIF('20.01'!$I:$I,$B:$B,'20.01'!$D:$D)*1.2</f>
        <v>140586.25200000001</v>
      </c>
      <c r="AG107" s="17">
        <f t="shared" si="83"/>
        <v>18318.017252607598</v>
      </c>
      <c r="AH107" s="17">
        <f t="shared" si="125"/>
        <v>5243.4663191735981</v>
      </c>
      <c r="AI107" s="16">
        <f>SUMIF('20.01'!$J:$J,$B:$B,'20.01'!$D:$D)*1.2</f>
        <v>0</v>
      </c>
      <c r="AJ107" s="17">
        <f t="shared" si="126"/>
        <v>2130.8268278681899</v>
      </c>
      <c r="AK107" s="17">
        <f t="shared" si="127"/>
        <v>5183.8282989910776</v>
      </c>
      <c r="AL107" s="17">
        <f t="shared" si="128"/>
        <v>87259.398353947792</v>
      </c>
      <c r="AM107" s="110">
        <f t="shared" si="129"/>
        <v>0</v>
      </c>
      <c r="AN107" s="17">
        <f>SUMIF('20.01'!$K:$K,$B:$B,'20.01'!$D:$D)*1.2</f>
        <v>0</v>
      </c>
      <c r="AO107" s="17">
        <f>SUMIF('20.01'!$L:$L,$B:$B,'20.01'!$D:$D)*1.2</f>
        <v>0</v>
      </c>
      <c r="AP107" s="17">
        <f>SUMIF('20.01'!$M:$M,$B:$B,'20.01'!$D:$D)*1.2</f>
        <v>0</v>
      </c>
      <c r="AQ107" s="110">
        <f t="shared" si="130"/>
        <v>1928.9613106534457</v>
      </c>
      <c r="AR107" s="17">
        <f t="shared" si="131"/>
        <v>1928.9613106534457</v>
      </c>
      <c r="AS107" s="17">
        <f>(SUMIF('20.01'!$N:$N,$B:$B,'20.01'!$D:$D)+SUMIF('20.01'!$O:$O,$B:$B,'20.01'!$D:$D))*1.2</f>
        <v>0</v>
      </c>
      <c r="AT107" s="110">
        <f>SUMIF('20.01'!$P:$P,$B:$B,'20.01'!$D:$D)*1.2</f>
        <v>60171.743999999999</v>
      </c>
      <c r="AU107" s="110">
        <f t="shared" si="132"/>
        <v>0</v>
      </c>
      <c r="AV107" s="17">
        <f>SUMIF('20.01'!$Q:$Q,$B:$B,'20.01'!$D:$D)*1.2</f>
        <v>0</v>
      </c>
      <c r="AW107" s="17">
        <f>SUMIF('20.01'!$R:$R,$B:$B,'20.01'!$D:$D)*1.2</f>
        <v>0</v>
      </c>
      <c r="AX107" s="110">
        <f t="shared" si="133"/>
        <v>0</v>
      </c>
      <c r="AY107" s="17">
        <f>SUMIF('20.01'!$S:$S,$B:$B,'20.01'!$D:$D)*1.2</f>
        <v>0</v>
      </c>
      <c r="AZ107" s="17">
        <f>SUMIF('20.01'!$T:$T,$B:$B,'20.01'!$D:$D)*1.2</f>
        <v>0</v>
      </c>
      <c r="BA107" s="110">
        <f t="shared" si="134"/>
        <v>0</v>
      </c>
      <c r="BB107" s="17">
        <f>SUMIF('20.01'!$U:$U,$B:$B,'20.01'!$D:$D)*1.2</f>
        <v>0</v>
      </c>
      <c r="BC107" s="17">
        <f>SUMIF('20.01'!$V:$V,$B:$B,'20.01'!$D:$D)*1.2</f>
        <v>0</v>
      </c>
      <c r="BD107" s="17">
        <f>SUMIF('20.01'!$W:$W,$B:$B,'20.01'!$D:$D)*1.2</f>
        <v>0</v>
      </c>
      <c r="BE107" s="110">
        <f>SUMIF('20.01'!$X:$X,$B:$B,'20.01'!$D:$D)*1.2</f>
        <v>0</v>
      </c>
      <c r="BF107" s="110">
        <f t="shared" si="135"/>
        <v>2941778.4359999998</v>
      </c>
      <c r="BG107" s="17">
        <f>SUMIF('20.01'!$Y:$Y,$B:$B,'20.01'!$D:$D)*1.2</f>
        <v>0</v>
      </c>
      <c r="BH107" s="17">
        <f>SUMIF('20.01'!$Z:$Z,$B:$B,'20.01'!$D:$D)*1.2</f>
        <v>2941778.4359999998</v>
      </c>
      <c r="BI107" s="17">
        <f>SUMIF('20.01'!$AA:$AA,$B:$B,'20.01'!$D:$D)*1.2</f>
        <v>0</v>
      </c>
      <c r="BJ107" s="17">
        <f>SUMIF('20.01'!$AB:$AB,$B:$B,'20.01'!$D:$D)*1.2</f>
        <v>0</v>
      </c>
      <c r="BK107" s="17">
        <f>SUMIF('20.01'!$AC:$AC,$B:$B,'20.01'!$D:$D)*1.2</f>
        <v>0</v>
      </c>
      <c r="BL107" s="17">
        <f>SUMIF('20.01'!$AD:$AD,$B:$B,'20.01'!$D:$D)*1.2</f>
        <v>0</v>
      </c>
      <c r="BM107" s="110">
        <f t="shared" si="136"/>
        <v>0</v>
      </c>
      <c r="BN107" s="17">
        <f>SUMIF('20.01'!$AE:$AE,$B:$B,'20.01'!$D:$D)*1.2</f>
        <v>0</v>
      </c>
      <c r="BO107" s="17">
        <f>SUMIF('20.01'!$AF:$AF,$B:$B,'20.01'!$D:$D)*1.2</f>
        <v>0</v>
      </c>
      <c r="BP107" s="110">
        <f>SUMIF('20.01'!$AG:$AG,$B:$B,'20.01'!$D:$D)*1.2</f>
        <v>0</v>
      </c>
      <c r="BQ107" s="110">
        <f>SUMIF('20.01'!$AH:$AH,$B:$B,'20.01'!$D:$D)*1.2</f>
        <v>121003.2</v>
      </c>
      <c r="BR107" s="110">
        <f>SUMIF('20.01'!$AI:$AI,$B:$B,'20.01'!$D:$D)*1.2</f>
        <v>0</v>
      </c>
      <c r="BS107" s="110">
        <f t="shared" si="137"/>
        <v>0</v>
      </c>
      <c r="BT107" s="17">
        <f>SUMIF('20.01'!$AJ:$AJ,$B:$B,'20.01'!$D:$D)*1.2</f>
        <v>0</v>
      </c>
      <c r="BU107" s="17">
        <f>SUMIF('20.01'!$AK:$AK,$B:$B,'20.01'!$D:$D)*1.2</f>
        <v>0</v>
      </c>
      <c r="BV107" s="110">
        <f>SUMIF('20.01'!$AL:$AL,$B:$B,'20.01'!$D:$D)*1.2</f>
        <v>348914.1</v>
      </c>
      <c r="BW107" s="110">
        <f>SUMIF('20.01'!$AM:$AM,$B:$B,'20.01'!$D:$D)*1.2</f>
        <v>0</v>
      </c>
      <c r="BX107" s="110">
        <f>SUMIF('20.01'!$AN:$AN,$B:$B,'20.01'!$D:$D)*1.2</f>
        <v>0</v>
      </c>
      <c r="BY107" s="110">
        <f t="shared" si="87"/>
        <v>769503.40319105494</v>
      </c>
      <c r="BZ107" s="17">
        <f t="shared" si="82"/>
        <v>420825.22842701862</v>
      </c>
      <c r="CA107" s="17">
        <f t="shared" si="88"/>
        <v>42589.697867304145</v>
      </c>
      <c r="CB107" s="17">
        <f t="shared" si="89"/>
        <v>2831.1449860583607</v>
      </c>
      <c r="CC107" s="17">
        <f>SUMIF('20.01'!$AO:$AO,$B:$B,'20.01'!$D:$D)*1.2</f>
        <v>0</v>
      </c>
      <c r="CD107" s="17">
        <f t="shared" si="90"/>
        <v>44446.100826022142</v>
      </c>
      <c r="CE107" s="17">
        <f>SUMIF('20.01'!$AQ:$AQ,$B:$B,'20.01'!$D:$D)*1.2</f>
        <v>0</v>
      </c>
      <c r="CF107" s="17">
        <f t="shared" si="91"/>
        <v>4043.8925726747325</v>
      </c>
      <c r="CG107" s="17">
        <f>SUMIF('20.01'!$AR:$AR,$B:$B,'20.01'!$D:$D)*1.2</f>
        <v>250028.11199999999</v>
      </c>
      <c r="CH107" s="17">
        <f t="shared" si="92"/>
        <v>2381.5592955632851</v>
      </c>
      <c r="CI107" s="17">
        <f>SUMIF('20.01'!$AT:$AT,$B:$B,'20.01'!$D:$D)*1.2</f>
        <v>0</v>
      </c>
      <c r="CJ107" s="17">
        <f>SUMIF('20.01'!$AU:$AU,$B:$B,'20.01'!$D:$D)*1.2</f>
        <v>0</v>
      </c>
      <c r="CK107" s="17">
        <f>SUMIF('20.01'!$AV:$AV,$B:$B,'20.01'!$D:$D)*1.2</f>
        <v>0</v>
      </c>
      <c r="CL107" s="17">
        <f t="shared" si="93"/>
        <v>2357.6672164136749</v>
      </c>
      <c r="CM107" s="17">
        <f>SUMIF('20.01'!$AW:$AW,$B:$B,'20.01'!$D:$D)*1.2</f>
        <v>0</v>
      </c>
      <c r="CN107" s="17">
        <f>SUMIF('20.01'!$AX:$AX,$B:$B,'20.01'!$D:$D)*1.2</f>
        <v>0</v>
      </c>
      <c r="CO107" s="110">
        <f t="shared" si="138"/>
        <v>790906.39422430447</v>
      </c>
      <c r="CP107" s="17">
        <f t="shared" si="139"/>
        <v>623899.68966241949</v>
      </c>
      <c r="CQ107" s="17">
        <f t="shared" si="94"/>
        <v>192481.63889653297</v>
      </c>
      <c r="CR107" s="17">
        <f t="shared" si="95"/>
        <v>431418.0507658865</v>
      </c>
      <c r="CS107" s="17">
        <f t="shared" si="140"/>
        <v>167006.70456188504</v>
      </c>
      <c r="CT107" s="17">
        <f t="shared" si="96"/>
        <v>6084.2007497819113</v>
      </c>
      <c r="CU107" s="17">
        <f t="shared" si="97"/>
        <v>5884.8427706695111</v>
      </c>
      <c r="CV107" s="17">
        <f t="shared" si="98"/>
        <v>6082.1136229072881</v>
      </c>
      <c r="CW107" s="17">
        <f t="shared" si="99"/>
        <v>63.777658015112792</v>
      </c>
      <c r="CX107" s="17">
        <f t="shared" si="100"/>
        <v>89805.354472738254</v>
      </c>
      <c r="CY107" s="17">
        <f t="shared" si="101"/>
        <v>59086.41528777295</v>
      </c>
      <c r="CZ107" s="110">
        <f t="shared" si="141"/>
        <v>196323.67231270048</v>
      </c>
      <c r="DA107" s="17">
        <f t="shared" si="142"/>
        <v>7416.0067459433494</v>
      </c>
      <c r="DB107" s="17">
        <f t="shared" si="102"/>
        <v>7037.5183633752677</v>
      </c>
      <c r="DC107" s="17">
        <f t="shared" si="103"/>
        <v>378.48838256808159</v>
      </c>
      <c r="DD107" s="17">
        <f t="shared" si="104"/>
        <v>13067.854565275917</v>
      </c>
      <c r="DE107" s="17">
        <f t="shared" si="105"/>
        <v>4508.7541594259174</v>
      </c>
      <c r="DF107" s="17">
        <f t="shared" si="106"/>
        <v>5472.0013106002853</v>
      </c>
      <c r="DG107" s="17">
        <f t="shared" si="143"/>
        <v>165859.055531455</v>
      </c>
      <c r="DH107" s="110">
        <f t="shared" si="144"/>
        <v>122521.30778407279</v>
      </c>
      <c r="DI107" s="17">
        <f t="shared" si="107"/>
        <v>109906.60855413396</v>
      </c>
      <c r="DJ107" s="17">
        <f t="shared" si="108"/>
        <v>12155.025089309896</v>
      </c>
      <c r="DK107" s="17">
        <f t="shared" si="109"/>
        <v>459.67414062893505</v>
      </c>
      <c r="DL107" s="110">
        <f t="shared" si="145"/>
        <v>728393.64939912828</v>
      </c>
      <c r="DM107" s="17">
        <f t="shared" si="110"/>
        <v>386048.63418153796</v>
      </c>
      <c r="DN107" s="17">
        <f t="shared" si="111"/>
        <v>342345.01521759032</v>
      </c>
      <c r="DO107" s="17">
        <f t="shared" si="112"/>
        <v>0</v>
      </c>
      <c r="DP107" s="110">
        <f t="shared" si="146"/>
        <v>0</v>
      </c>
      <c r="DQ107" s="17">
        <f>SUMIF('20.01'!$BB:$BB,$B:$B,'20.01'!$D:$D)*1.2</f>
        <v>0</v>
      </c>
      <c r="DR107" s="17">
        <f t="shared" si="113"/>
        <v>0</v>
      </c>
      <c r="DS107" s="17">
        <f t="shared" si="114"/>
        <v>0</v>
      </c>
      <c r="DT107" s="110">
        <f t="shared" si="147"/>
        <v>42202.044000000002</v>
      </c>
      <c r="DU107" s="17">
        <f>SUMIF('20.01'!$BD:$BD,$B:$B,'20.01'!$D:$D)*1.2</f>
        <v>42202.044000000002</v>
      </c>
      <c r="DV107" s="17">
        <f t="shared" si="115"/>
        <v>0</v>
      </c>
      <c r="DW107" s="17">
        <f t="shared" si="116"/>
        <v>0</v>
      </c>
      <c r="DX107" s="110">
        <f t="shared" si="117"/>
        <v>6382368.701274503</v>
      </c>
      <c r="DY107" s="110"/>
      <c r="DZ107" s="110">
        <f t="shared" si="148"/>
        <v>6382368.701274503</v>
      </c>
      <c r="EA107" s="257"/>
      <c r="EB107" s="110">
        <f t="shared" si="118"/>
        <v>0</v>
      </c>
      <c r="EC107" s="110">
        <f>SUMIF(еирц!$B:$B,$B:$B,еирц!$K:$K)</f>
        <v>2286048.41</v>
      </c>
      <c r="ED107" s="110">
        <f>SUMIF(еирц!$B:$B,$B:$B,еирц!$P:$P)</f>
        <v>2298437.34</v>
      </c>
      <c r="EE107" s="110">
        <f>SUMIF(еирц!$B:$B,$B:$B,еирц!$S:$S)</f>
        <v>670648.41</v>
      </c>
      <c r="EF107" s="177">
        <f t="shared" si="149"/>
        <v>-4096320.2912745029</v>
      </c>
      <c r="EG107" s="181">
        <f t="shared" si="152"/>
        <v>0</v>
      </c>
      <c r="EH107" s="177">
        <f t="shared" si="150"/>
        <v>-4096320.2912745029</v>
      </c>
    </row>
    <row r="108" spans="1:138" ht="12" customHeight="1" x14ac:dyDescent="0.25">
      <c r="A108" s="5">
        <f t="shared" si="151"/>
        <v>104</v>
      </c>
      <c r="B108" s="6" t="s">
        <v>188</v>
      </c>
      <c r="C108" s="7">
        <f t="shared" si="84"/>
        <v>4577.38</v>
      </c>
      <c r="D108" s="8">
        <v>4577.38</v>
      </c>
      <c r="E108" s="8">
        <v>0</v>
      </c>
      <c r="F108" s="8">
        <v>565.79999999999995</v>
      </c>
      <c r="G108" s="87">
        <f t="shared" si="85"/>
        <v>4577.38</v>
      </c>
      <c r="H108" s="87">
        <f t="shared" si="86"/>
        <v>4577.38</v>
      </c>
      <c r="I108" s="91">
        <v>0</v>
      </c>
      <c r="J108" s="112">
        <v>0</v>
      </c>
      <c r="K108" s="17">
        <v>6</v>
      </c>
      <c r="L108" s="112">
        <f t="shared" si="119"/>
        <v>1.4457831325301205E-2</v>
      </c>
      <c r="M108" s="116">
        <v>3.4064161543372369</v>
      </c>
      <c r="N108" s="120">
        <f t="shared" si="120"/>
        <v>4577.38</v>
      </c>
      <c r="O108" s="116">
        <v>3.0862315058549856</v>
      </c>
      <c r="P108" s="120">
        <f t="shared" si="121"/>
        <v>4577.38</v>
      </c>
      <c r="Q108" s="116">
        <v>0</v>
      </c>
      <c r="R108" s="120">
        <f t="shared" si="122"/>
        <v>0</v>
      </c>
      <c r="S108" s="5" t="s">
        <v>143</v>
      </c>
      <c r="T108" s="87">
        <v>28.44</v>
      </c>
      <c r="U108" s="88">
        <v>4.68</v>
      </c>
      <c r="V108" s="88">
        <v>6.05</v>
      </c>
      <c r="W108" s="88">
        <v>8.24</v>
      </c>
      <c r="X108" s="88">
        <v>6.34</v>
      </c>
      <c r="Y108" s="88">
        <v>2.89</v>
      </c>
      <c r="Z108" s="88">
        <v>0</v>
      </c>
      <c r="AA108" s="88">
        <v>0</v>
      </c>
      <c r="AB108" s="88">
        <v>0.24</v>
      </c>
      <c r="AC108" s="257"/>
      <c r="AD108" s="110">
        <f t="shared" si="123"/>
        <v>266760.12275476067</v>
      </c>
      <c r="AE108" s="110">
        <f t="shared" si="124"/>
        <v>265474.28151269979</v>
      </c>
      <c r="AF108" s="16">
        <f>SUMIF('20.01'!$I:$I,$B:$B,'20.01'!$D:$D)*1.2</f>
        <v>186725.4</v>
      </c>
      <c r="AG108" s="17">
        <f t="shared" si="83"/>
        <v>12210.748824302069</v>
      </c>
      <c r="AH108" s="17">
        <f t="shared" si="125"/>
        <v>3495.2827759239185</v>
      </c>
      <c r="AI108" s="16">
        <f>SUMIF('20.01'!$J:$J,$B:$B,'20.01'!$D:$D)*1.2</f>
        <v>0</v>
      </c>
      <c r="AJ108" s="17">
        <f t="shared" si="126"/>
        <v>1420.4043387653742</v>
      </c>
      <c r="AK108" s="17">
        <f t="shared" si="127"/>
        <v>3455.5282067047115</v>
      </c>
      <c r="AL108" s="17">
        <f t="shared" si="128"/>
        <v>58166.917367003683</v>
      </c>
      <c r="AM108" s="110">
        <f t="shared" si="129"/>
        <v>0</v>
      </c>
      <c r="AN108" s="17">
        <f>SUMIF('20.01'!$K:$K,$B:$B,'20.01'!$D:$D)*1.2</f>
        <v>0</v>
      </c>
      <c r="AO108" s="17">
        <f>SUMIF('20.01'!$L:$L,$B:$B,'20.01'!$D:$D)*1.2</f>
        <v>0</v>
      </c>
      <c r="AP108" s="17">
        <f>SUMIF('20.01'!$M:$M,$B:$B,'20.01'!$D:$D)*1.2</f>
        <v>0</v>
      </c>
      <c r="AQ108" s="110">
        <f t="shared" si="130"/>
        <v>1285.8412420608888</v>
      </c>
      <c r="AR108" s="17">
        <f t="shared" si="131"/>
        <v>1285.8412420608888</v>
      </c>
      <c r="AS108" s="17">
        <f>(SUMIF('20.01'!$N:$N,$B:$B,'20.01'!$D:$D)+SUMIF('20.01'!$O:$O,$B:$B,'20.01'!$D:$D))*1.2</f>
        <v>0</v>
      </c>
      <c r="AT108" s="110">
        <f>SUMIF('20.01'!$P:$P,$B:$B,'20.01'!$D:$D)*1.2</f>
        <v>0</v>
      </c>
      <c r="AU108" s="110">
        <f t="shared" si="132"/>
        <v>0</v>
      </c>
      <c r="AV108" s="17">
        <f>SUMIF('20.01'!$Q:$Q,$B:$B,'20.01'!$D:$D)*1.2</f>
        <v>0</v>
      </c>
      <c r="AW108" s="17">
        <f>SUMIF('20.01'!$R:$R,$B:$B,'20.01'!$D:$D)*1.2</f>
        <v>0</v>
      </c>
      <c r="AX108" s="110">
        <f t="shared" si="133"/>
        <v>0</v>
      </c>
      <c r="AY108" s="17">
        <f>SUMIF('20.01'!$S:$S,$B:$B,'20.01'!$D:$D)*1.2</f>
        <v>0</v>
      </c>
      <c r="AZ108" s="17">
        <f>SUMIF('20.01'!$T:$T,$B:$B,'20.01'!$D:$D)*1.2</f>
        <v>0</v>
      </c>
      <c r="BA108" s="110">
        <f t="shared" si="134"/>
        <v>0</v>
      </c>
      <c r="BB108" s="17">
        <f>SUMIF('20.01'!$U:$U,$B:$B,'20.01'!$D:$D)*1.2</f>
        <v>0</v>
      </c>
      <c r="BC108" s="17">
        <f>SUMIF('20.01'!$V:$V,$B:$B,'20.01'!$D:$D)*1.2</f>
        <v>0</v>
      </c>
      <c r="BD108" s="17">
        <f>SUMIF('20.01'!$W:$W,$B:$B,'20.01'!$D:$D)*1.2</f>
        <v>0</v>
      </c>
      <c r="BE108" s="110">
        <f>SUMIF('20.01'!$X:$X,$B:$B,'20.01'!$D:$D)*1.2</f>
        <v>0</v>
      </c>
      <c r="BF108" s="110">
        <f t="shared" si="135"/>
        <v>0</v>
      </c>
      <c r="BG108" s="17">
        <f>SUMIF('20.01'!$Y:$Y,$B:$B,'20.01'!$D:$D)*1.2</f>
        <v>0</v>
      </c>
      <c r="BH108" s="17">
        <f>SUMIF('20.01'!$Z:$Z,$B:$B,'20.01'!$D:$D)*1.2</f>
        <v>0</v>
      </c>
      <c r="BI108" s="17">
        <f>SUMIF('20.01'!$AA:$AA,$B:$B,'20.01'!$D:$D)*1.2</f>
        <v>0</v>
      </c>
      <c r="BJ108" s="17">
        <f>SUMIF('20.01'!$AB:$AB,$B:$B,'20.01'!$D:$D)*1.2</f>
        <v>0</v>
      </c>
      <c r="BK108" s="17">
        <f>SUMIF('20.01'!$AC:$AC,$B:$B,'20.01'!$D:$D)*1.2</f>
        <v>0</v>
      </c>
      <c r="BL108" s="17">
        <f>SUMIF('20.01'!$AD:$AD,$B:$B,'20.01'!$D:$D)*1.2</f>
        <v>0</v>
      </c>
      <c r="BM108" s="110">
        <f t="shared" si="136"/>
        <v>0</v>
      </c>
      <c r="BN108" s="17">
        <f>SUMIF('20.01'!$AE:$AE,$B:$B,'20.01'!$D:$D)*1.2</f>
        <v>0</v>
      </c>
      <c r="BO108" s="17">
        <f>SUMIF('20.01'!$AF:$AF,$B:$B,'20.01'!$D:$D)*1.2</f>
        <v>0</v>
      </c>
      <c r="BP108" s="110">
        <f>SUMIF('20.01'!$AG:$AG,$B:$B,'20.01'!$D:$D)*1.2</f>
        <v>0</v>
      </c>
      <c r="BQ108" s="110">
        <f>SUMIF('20.01'!$AH:$AH,$B:$B,'20.01'!$D:$D)*1.2</f>
        <v>0</v>
      </c>
      <c r="BR108" s="110">
        <f>SUMIF('20.01'!$AI:$AI,$B:$B,'20.01'!$D:$D)*1.2</f>
        <v>0</v>
      </c>
      <c r="BS108" s="110">
        <f t="shared" si="137"/>
        <v>0</v>
      </c>
      <c r="BT108" s="17">
        <f>SUMIF('20.01'!$AJ:$AJ,$B:$B,'20.01'!$D:$D)*1.2</f>
        <v>0</v>
      </c>
      <c r="BU108" s="17">
        <f>SUMIF('20.01'!$AK:$AK,$B:$B,'20.01'!$D:$D)*1.2</f>
        <v>0</v>
      </c>
      <c r="BV108" s="110">
        <f>SUMIF('20.01'!$AL:$AL,$B:$B,'20.01'!$D:$D)*1.2</f>
        <v>0</v>
      </c>
      <c r="BW108" s="110">
        <f>SUMIF('20.01'!$AM:$AM,$B:$B,'20.01'!$D:$D)*1.2</f>
        <v>0</v>
      </c>
      <c r="BX108" s="110">
        <f>SUMIF('20.01'!$AN:$AN,$B:$B,'20.01'!$D:$D)*1.2</f>
        <v>0</v>
      </c>
      <c r="BY108" s="110">
        <f t="shared" si="87"/>
        <v>517283.64489409461</v>
      </c>
      <c r="BZ108" s="17">
        <f t="shared" si="82"/>
        <v>280521.14442246099</v>
      </c>
      <c r="CA108" s="17">
        <f t="shared" si="88"/>
        <v>28390.196165282803</v>
      </c>
      <c r="CB108" s="17">
        <f t="shared" si="89"/>
        <v>1887.2348373304255</v>
      </c>
      <c r="CC108" s="17">
        <f>SUMIF('20.01'!$AO:$AO,$B:$B,'20.01'!$D:$D)*1.2</f>
        <v>0</v>
      </c>
      <c r="CD108" s="17">
        <f t="shared" si="90"/>
        <v>29627.670174232644</v>
      </c>
      <c r="CE108" s="17">
        <f>SUMIF('20.01'!$AQ:$AQ,$B:$B,'20.01'!$D:$D)*1.2</f>
        <v>0</v>
      </c>
      <c r="CF108" s="17">
        <f t="shared" si="91"/>
        <v>2695.6496326240053</v>
      </c>
      <c r="CG108" s="17">
        <f>SUMIF('20.01'!$AR:$AR,$B:$B,'20.01'!$D:$D)*1.2</f>
        <v>171002.592</v>
      </c>
      <c r="CH108" s="17">
        <f t="shared" si="92"/>
        <v>1587.5420340138276</v>
      </c>
      <c r="CI108" s="17">
        <f>SUMIF('20.01'!$AT:$AT,$B:$B,'20.01'!$D:$D)*1.2</f>
        <v>0</v>
      </c>
      <c r="CJ108" s="17">
        <f>SUMIF('20.01'!$AU:$AU,$B:$B,'20.01'!$D:$D)*1.2</f>
        <v>0</v>
      </c>
      <c r="CK108" s="17">
        <f>SUMIF('20.01'!$AV:$AV,$B:$B,'20.01'!$D:$D)*1.2</f>
        <v>0</v>
      </c>
      <c r="CL108" s="17">
        <f t="shared" si="93"/>
        <v>1571.6156281499666</v>
      </c>
      <c r="CM108" s="17">
        <f>SUMIF('20.01'!$AW:$AW,$B:$B,'20.01'!$D:$D)*1.2</f>
        <v>0</v>
      </c>
      <c r="CN108" s="17">
        <f>SUMIF('20.01'!$AX:$AX,$B:$B,'20.01'!$D:$D)*1.2</f>
        <v>0</v>
      </c>
      <c r="CO108" s="110">
        <f t="shared" si="138"/>
        <v>527216.41159239807</v>
      </c>
      <c r="CP108" s="17">
        <f t="shared" si="139"/>
        <v>415890.12047378335</v>
      </c>
      <c r="CQ108" s="17">
        <f t="shared" si="94"/>
        <v>128307.82466486652</v>
      </c>
      <c r="CR108" s="17">
        <f t="shared" si="95"/>
        <v>287582.2958089168</v>
      </c>
      <c r="CS108" s="17">
        <f t="shared" si="140"/>
        <v>111326.29111861475</v>
      </c>
      <c r="CT108" s="17">
        <f t="shared" si="96"/>
        <v>4055.714443747539</v>
      </c>
      <c r="CU108" s="17">
        <f t="shared" si="97"/>
        <v>3922.8228662644219</v>
      </c>
      <c r="CV108" s="17">
        <f t="shared" si="98"/>
        <v>4054.32316969866</v>
      </c>
      <c r="CW108" s="17">
        <f t="shared" si="99"/>
        <v>42.514042425302257</v>
      </c>
      <c r="CX108" s="17">
        <f t="shared" si="100"/>
        <v>59864.045951147797</v>
      </c>
      <c r="CY108" s="17">
        <f t="shared" si="101"/>
        <v>39386.870645331022</v>
      </c>
      <c r="CZ108" s="110">
        <f t="shared" si="141"/>
        <v>130868.91544081927</v>
      </c>
      <c r="DA108" s="17">
        <f t="shared" si="142"/>
        <v>4943.4933052677043</v>
      </c>
      <c r="DB108" s="17">
        <f t="shared" si="102"/>
        <v>4691.1938064342648</v>
      </c>
      <c r="DC108" s="17">
        <f t="shared" si="103"/>
        <v>252.29949883343946</v>
      </c>
      <c r="DD108" s="17">
        <f t="shared" si="104"/>
        <v>8711.0022645261215</v>
      </c>
      <c r="DE108" s="17">
        <f t="shared" si="105"/>
        <v>3005.5253137967152</v>
      </c>
      <c r="DF108" s="17">
        <f t="shared" si="106"/>
        <v>3647.6236837521419</v>
      </c>
      <c r="DG108" s="17">
        <f t="shared" si="143"/>
        <v>110561.27087347659</v>
      </c>
      <c r="DH108" s="110">
        <f t="shared" si="144"/>
        <v>81672.426351894057</v>
      </c>
      <c r="DI108" s="17">
        <f t="shared" si="107"/>
        <v>73263.496407853716</v>
      </c>
      <c r="DJ108" s="17">
        <f t="shared" si="108"/>
        <v>8102.5122027071402</v>
      </c>
      <c r="DK108" s="17">
        <f t="shared" si="109"/>
        <v>306.41774133321218</v>
      </c>
      <c r="DL108" s="110">
        <f t="shared" si="145"/>
        <v>485545.55743544747</v>
      </c>
      <c r="DM108" s="17">
        <f t="shared" si="110"/>
        <v>257339.14544078716</v>
      </c>
      <c r="DN108" s="17">
        <f t="shared" si="111"/>
        <v>228206.41199466033</v>
      </c>
      <c r="DO108" s="17">
        <f t="shared" si="112"/>
        <v>0</v>
      </c>
      <c r="DP108" s="110">
        <f t="shared" si="146"/>
        <v>0</v>
      </c>
      <c r="DQ108" s="17">
        <f>SUMIF('20.01'!$BB:$BB,$B:$B,'20.01'!$D:$D)*1.2</f>
        <v>0</v>
      </c>
      <c r="DR108" s="17">
        <f t="shared" si="113"/>
        <v>0</v>
      </c>
      <c r="DS108" s="17">
        <f t="shared" si="114"/>
        <v>0</v>
      </c>
      <c r="DT108" s="110">
        <f t="shared" si="147"/>
        <v>26377.535999999996</v>
      </c>
      <c r="DU108" s="17">
        <f>SUMIF('20.01'!$BD:$BD,$B:$B,'20.01'!$D:$D)*1.2</f>
        <v>26377.535999999996</v>
      </c>
      <c r="DV108" s="17">
        <f t="shared" si="115"/>
        <v>0</v>
      </c>
      <c r="DW108" s="17">
        <f t="shared" si="116"/>
        <v>0</v>
      </c>
      <c r="DX108" s="110">
        <f t="shared" si="117"/>
        <v>2035724.6144694143</v>
      </c>
      <c r="DY108" s="110"/>
      <c r="DZ108" s="110">
        <f t="shared" si="148"/>
        <v>2035724.6144694143</v>
      </c>
      <c r="EA108" s="257"/>
      <c r="EB108" s="110">
        <f t="shared" si="118"/>
        <v>5319.3253012048199</v>
      </c>
      <c r="EC108" s="110">
        <f>SUMIF(еирц!$B:$B,$B:$B,еирц!$K:$K)</f>
        <v>1532151.75</v>
      </c>
      <c r="ED108" s="110">
        <f>SUMIF(еирц!$B:$B,$B:$B,еирц!$P:$P)</f>
        <v>1518958.83</v>
      </c>
      <c r="EE108" s="110">
        <f>SUMIF(еирц!$B:$B,$B:$B,еирц!$S:$S)</f>
        <v>311916.30000000005</v>
      </c>
      <c r="EF108" s="177">
        <f t="shared" si="149"/>
        <v>-498253.53916820954</v>
      </c>
      <c r="EG108" s="181">
        <f t="shared" si="152"/>
        <v>0</v>
      </c>
      <c r="EH108" s="177">
        <f t="shared" si="150"/>
        <v>-498253.53916820954</v>
      </c>
    </row>
    <row r="109" spans="1:138" ht="12" customHeight="1" x14ac:dyDescent="0.25">
      <c r="A109" s="5">
        <f t="shared" si="151"/>
        <v>105</v>
      </c>
      <c r="B109" s="6" t="s">
        <v>189</v>
      </c>
      <c r="C109" s="7">
        <f t="shared" si="84"/>
        <v>3516.8</v>
      </c>
      <c r="D109" s="8">
        <v>3516.8</v>
      </c>
      <c r="E109" s="8">
        <v>0</v>
      </c>
      <c r="F109" s="8">
        <v>353.2</v>
      </c>
      <c r="G109" s="87">
        <f t="shared" si="85"/>
        <v>3516.8</v>
      </c>
      <c r="H109" s="87">
        <f t="shared" si="86"/>
        <v>3516.8</v>
      </c>
      <c r="I109" s="91">
        <v>0</v>
      </c>
      <c r="J109" s="112">
        <v>0</v>
      </c>
      <c r="K109" s="17">
        <v>3</v>
      </c>
      <c r="L109" s="112">
        <f t="shared" si="119"/>
        <v>7.2289156626506026E-3</v>
      </c>
      <c r="M109" s="116">
        <v>3.4064198226869751</v>
      </c>
      <c r="N109" s="120">
        <f t="shared" si="120"/>
        <v>3516.8</v>
      </c>
      <c r="O109" s="116">
        <v>3.0862340986587862</v>
      </c>
      <c r="P109" s="120">
        <f t="shared" si="121"/>
        <v>3516.8</v>
      </c>
      <c r="Q109" s="116">
        <v>0</v>
      </c>
      <c r="R109" s="120">
        <f t="shared" si="122"/>
        <v>0</v>
      </c>
      <c r="S109" s="5" t="s">
        <v>143</v>
      </c>
      <c r="T109" s="87">
        <v>28.44</v>
      </c>
      <c r="U109" s="88">
        <v>4.68</v>
      </c>
      <c r="V109" s="88">
        <v>6.05</v>
      </c>
      <c r="W109" s="88">
        <v>8.24</v>
      </c>
      <c r="X109" s="88">
        <v>6.34</v>
      </c>
      <c r="Y109" s="88">
        <v>2.89</v>
      </c>
      <c r="Z109" s="88">
        <v>0</v>
      </c>
      <c r="AA109" s="88">
        <v>0</v>
      </c>
      <c r="AB109" s="88">
        <v>0.24</v>
      </c>
      <c r="AC109" s="257"/>
      <c r="AD109" s="110">
        <f t="shared" si="123"/>
        <v>146827.07506346912</v>
      </c>
      <c r="AE109" s="110">
        <f t="shared" si="124"/>
        <v>141194.04753327504</v>
      </c>
      <c r="AF109" s="16">
        <f>SUMIF('20.01'!$I:$I,$B:$B,'20.01'!$D:$D)*1.2</f>
        <v>80691.3</v>
      </c>
      <c r="AG109" s="17">
        <f t="shared" si="83"/>
        <v>9381.5155100309603</v>
      </c>
      <c r="AH109" s="17">
        <f t="shared" si="125"/>
        <v>2685.424951909004</v>
      </c>
      <c r="AI109" s="16">
        <f>SUMIF('20.01'!$J:$J,$B:$B,'20.01'!$D:$D)*1.2</f>
        <v>0</v>
      </c>
      <c r="AJ109" s="17">
        <f t="shared" si="126"/>
        <v>1091.2963264072609</v>
      </c>
      <c r="AK109" s="17">
        <f t="shared" si="127"/>
        <v>2654.8815255318827</v>
      </c>
      <c r="AL109" s="17">
        <f t="shared" si="128"/>
        <v>44689.629219395931</v>
      </c>
      <c r="AM109" s="110">
        <f t="shared" si="129"/>
        <v>0</v>
      </c>
      <c r="AN109" s="17">
        <f>SUMIF('20.01'!$K:$K,$B:$B,'20.01'!$D:$D)*1.2</f>
        <v>0</v>
      </c>
      <c r="AO109" s="17">
        <f>SUMIF('20.01'!$L:$L,$B:$B,'20.01'!$D:$D)*1.2</f>
        <v>0</v>
      </c>
      <c r="AP109" s="17">
        <f>SUMIF('20.01'!$M:$M,$B:$B,'20.01'!$D:$D)*1.2</f>
        <v>0</v>
      </c>
      <c r="AQ109" s="110">
        <f t="shared" si="130"/>
        <v>987.91153019407034</v>
      </c>
      <c r="AR109" s="17">
        <f t="shared" si="131"/>
        <v>987.91153019407034</v>
      </c>
      <c r="AS109" s="17">
        <f>(SUMIF('20.01'!$N:$N,$B:$B,'20.01'!$D:$D)+SUMIF('20.01'!$O:$O,$B:$B,'20.01'!$D:$D))*1.2</f>
        <v>0</v>
      </c>
      <c r="AT109" s="110">
        <f>SUMIF('20.01'!$P:$P,$B:$B,'20.01'!$D:$D)*1.2</f>
        <v>0</v>
      </c>
      <c r="AU109" s="110">
        <f t="shared" si="132"/>
        <v>0</v>
      </c>
      <c r="AV109" s="17">
        <f>SUMIF('20.01'!$Q:$Q,$B:$B,'20.01'!$D:$D)*1.2</f>
        <v>0</v>
      </c>
      <c r="AW109" s="17">
        <f>SUMIF('20.01'!$R:$R,$B:$B,'20.01'!$D:$D)*1.2</f>
        <v>0</v>
      </c>
      <c r="AX109" s="110">
        <f t="shared" si="133"/>
        <v>0</v>
      </c>
      <c r="AY109" s="17">
        <f>SUMIF('20.01'!$S:$S,$B:$B,'20.01'!$D:$D)*1.2</f>
        <v>0</v>
      </c>
      <c r="AZ109" s="17">
        <f>SUMIF('20.01'!$T:$T,$B:$B,'20.01'!$D:$D)*1.2</f>
        <v>0</v>
      </c>
      <c r="BA109" s="110">
        <f t="shared" si="134"/>
        <v>0</v>
      </c>
      <c r="BB109" s="17">
        <f>SUMIF('20.01'!$U:$U,$B:$B,'20.01'!$D:$D)*1.2</f>
        <v>0</v>
      </c>
      <c r="BC109" s="17">
        <f>SUMIF('20.01'!$V:$V,$B:$B,'20.01'!$D:$D)*1.2</f>
        <v>0</v>
      </c>
      <c r="BD109" s="17">
        <f>SUMIF('20.01'!$W:$W,$B:$B,'20.01'!$D:$D)*1.2</f>
        <v>0</v>
      </c>
      <c r="BE109" s="110">
        <f>SUMIF('20.01'!$X:$X,$B:$B,'20.01'!$D:$D)*1.2</f>
        <v>0</v>
      </c>
      <c r="BF109" s="110">
        <f t="shared" si="135"/>
        <v>0</v>
      </c>
      <c r="BG109" s="17">
        <f>SUMIF('20.01'!$Y:$Y,$B:$B,'20.01'!$D:$D)*1.2</f>
        <v>0</v>
      </c>
      <c r="BH109" s="17">
        <f>SUMIF('20.01'!$Z:$Z,$B:$B,'20.01'!$D:$D)*1.2</f>
        <v>0</v>
      </c>
      <c r="BI109" s="17">
        <f>SUMIF('20.01'!$AA:$AA,$B:$B,'20.01'!$D:$D)*1.2</f>
        <v>0</v>
      </c>
      <c r="BJ109" s="17">
        <f>SUMIF('20.01'!$AB:$AB,$B:$B,'20.01'!$D:$D)*1.2</f>
        <v>0</v>
      </c>
      <c r="BK109" s="17">
        <f>SUMIF('20.01'!$AC:$AC,$B:$B,'20.01'!$D:$D)*1.2</f>
        <v>0</v>
      </c>
      <c r="BL109" s="17">
        <f>SUMIF('20.01'!$AD:$AD,$B:$B,'20.01'!$D:$D)*1.2</f>
        <v>0</v>
      </c>
      <c r="BM109" s="110">
        <f t="shared" si="136"/>
        <v>0</v>
      </c>
      <c r="BN109" s="17">
        <f>SUMIF('20.01'!$AE:$AE,$B:$B,'20.01'!$D:$D)*1.2</f>
        <v>0</v>
      </c>
      <c r="BO109" s="17">
        <f>SUMIF('20.01'!$AF:$AF,$B:$B,'20.01'!$D:$D)*1.2</f>
        <v>0</v>
      </c>
      <c r="BP109" s="110">
        <f>SUMIF('20.01'!$AG:$AG,$B:$B,'20.01'!$D:$D)*1.2</f>
        <v>0</v>
      </c>
      <c r="BQ109" s="110">
        <f>SUMIF('20.01'!$AH:$AH,$B:$B,'20.01'!$D:$D)*1.2</f>
        <v>0</v>
      </c>
      <c r="BR109" s="110">
        <f>SUMIF('20.01'!$AI:$AI,$B:$B,'20.01'!$D:$D)*1.2</f>
        <v>0</v>
      </c>
      <c r="BS109" s="110">
        <f t="shared" si="137"/>
        <v>4645.116</v>
      </c>
      <c r="BT109" s="17">
        <f>SUMIF('20.01'!$AJ:$AJ,$B:$B,'20.01'!$D:$D)*1.2</f>
        <v>4645.116</v>
      </c>
      <c r="BU109" s="17">
        <f>SUMIF('20.01'!$AK:$AK,$B:$B,'20.01'!$D:$D)*1.2</f>
        <v>0</v>
      </c>
      <c r="BV109" s="110">
        <f>SUMIF('20.01'!$AL:$AL,$B:$B,'20.01'!$D:$D)*1.2</f>
        <v>0</v>
      </c>
      <c r="BW109" s="110">
        <f>SUMIF('20.01'!$AM:$AM,$B:$B,'20.01'!$D:$D)*1.2</f>
        <v>0</v>
      </c>
      <c r="BX109" s="110">
        <f>SUMIF('20.01'!$AN:$AN,$B:$B,'20.01'!$D:$D)*1.2</f>
        <v>0</v>
      </c>
      <c r="BY109" s="110">
        <f t="shared" si="87"/>
        <v>387544.42520291352</v>
      </c>
      <c r="BZ109" s="17">
        <f t="shared" si="82"/>
        <v>215524.33066621315</v>
      </c>
      <c r="CA109" s="17">
        <f t="shared" si="88"/>
        <v>21812.181176582799</v>
      </c>
      <c r="CB109" s="17">
        <f t="shared" si="89"/>
        <v>1449.9620909611263</v>
      </c>
      <c r="CC109" s="17">
        <f>SUMIF('20.01'!$AO:$AO,$B:$B,'20.01'!$D:$D)*1.2</f>
        <v>0</v>
      </c>
      <c r="CD109" s="17">
        <f t="shared" si="90"/>
        <v>22762.932172714824</v>
      </c>
      <c r="CE109" s="17">
        <f>SUMIF('20.01'!$AQ:$AQ,$B:$B,'20.01'!$D:$D)*1.2</f>
        <v>0</v>
      </c>
      <c r="CF109" s="17">
        <f t="shared" si="91"/>
        <v>2071.0669920373889</v>
      </c>
      <c r="CG109" s="17">
        <f>SUMIF('20.01'!$AR:$AR,$B:$B,'20.01'!$D:$D)*1.2</f>
        <v>121496.772</v>
      </c>
      <c r="CH109" s="17">
        <f t="shared" si="92"/>
        <v>1219.708179181066</v>
      </c>
      <c r="CI109" s="17">
        <f>SUMIF('20.01'!$AT:$AT,$B:$B,'20.01'!$D:$D)*1.2</f>
        <v>0</v>
      </c>
      <c r="CJ109" s="17">
        <f>SUMIF('20.01'!$AU:$AU,$B:$B,'20.01'!$D:$D)*1.2</f>
        <v>0</v>
      </c>
      <c r="CK109" s="17">
        <f>SUMIF('20.01'!$AV:$AV,$B:$B,'20.01'!$D:$D)*1.2</f>
        <v>0</v>
      </c>
      <c r="CL109" s="17">
        <f t="shared" si="93"/>
        <v>1207.4719252231193</v>
      </c>
      <c r="CM109" s="17">
        <f>SUMIF('20.01'!$AW:$AW,$B:$B,'20.01'!$D:$D)*1.2</f>
        <v>0</v>
      </c>
      <c r="CN109" s="17">
        <f>SUMIF('20.01'!$AX:$AX,$B:$B,'20.01'!$D:$D)*1.2</f>
        <v>0</v>
      </c>
      <c r="CO109" s="110">
        <f t="shared" si="138"/>
        <v>405060.24762815092</v>
      </c>
      <c r="CP109" s="17">
        <f t="shared" si="139"/>
        <v>319528.28379601456</v>
      </c>
      <c r="CQ109" s="17">
        <f t="shared" si="94"/>
        <v>98578.872145507383</v>
      </c>
      <c r="CR109" s="17">
        <f t="shared" si="95"/>
        <v>220949.41165050719</v>
      </c>
      <c r="CS109" s="17">
        <f t="shared" si="140"/>
        <v>85531.96383213636</v>
      </c>
      <c r="CT109" s="17">
        <f t="shared" si="96"/>
        <v>3116.0044732513679</v>
      </c>
      <c r="CU109" s="17">
        <f t="shared" si="97"/>
        <v>3013.9039048710661</v>
      </c>
      <c r="CV109" s="17">
        <f t="shared" si="98"/>
        <v>3114.9355577199726</v>
      </c>
      <c r="CW109" s="17">
        <f t="shared" si="99"/>
        <v>32.663529005960392</v>
      </c>
      <c r="CX109" s="17">
        <f t="shared" si="100"/>
        <v>45993.532719808398</v>
      </c>
      <c r="CY109" s="17">
        <f t="shared" si="101"/>
        <v>30260.923647479594</v>
      </c>
      <c r="CZ109" s="110">
        <f t="shared" si="141"/>
        <v>100546.55759894813</v>
      </c>
      <c r="DA109" s="17">
        <f t="shared" si="142"/>
        <v>3798.0847681349296</v>
      </c>
      <c r="DB109" s="17">
        <f t="shared" si="102"/>
        <v>3604.2431212763686</v>
      </c>
      <c r="DC109" s="17">
        <f t="shared" si="103"/>
        <v>193.84164685856101</v>
      </c>
      <c r="DD109" s="17">
        <f t="shared" si="104"/>
        <v>6692.6610340162852</v>
      </c>
      <c r="DE109" s="17">
        <f t="shared" si="105"/>
        <v>2309.1444065295623</v>
      </c>
      <c r="DF109" s="17">
        <f t="shared" si="106"/>
        <v>2802.4684363149954</v>
      </c>
      <c r="DG109" s="17">
        <f t="shared" si="143"/>
        <v>84944.198953952364</v>
      </c>
      <c r="DH109" s="110">
        <f t="shared" si="144"/>
        <v>62748.906360044632</v>
      </c>
      <c r="DI109" s="17">
        <f t="shared" si="107"/>
        <v>56288.327420301561</v>
      </c>
      <c r="DJ109" s="17">
        <f t="shared" si="108"/>
        <v>6225.1582596333428</v>
      </c>
      <c r="DK109" s="17">
        <f t="shared" si="109"/>
        <v>235.4206801097223</v>
      </c>
      <c r="DL109" s="110">
        <f t="shared" si="145"/>
        <v>373044.53997461032</v>
      </c>
      <c r="DM109" s="17">
        <f t="shared" si="110"/>
        <v>197713.60618654345</v>
      </c>
      <c r="DN109" s="17">
        <f t="shared" si="111"/>
        <v>175330.93378806685</v>
      </c>
      <c r="DO109" s="17">
        <f t="shared" si="112"/>
        <v>0</v>
      </c>
      <c r="DP109" s="110">
        <f t="shared" si="146"/>
        <v>0</v>
      </c>
      <c r="DQ109" s="17">
        <f>SUMIF('20.01'!$BB:$BB,$B:$B,'20.01'!$D:$D)*1.2</f>
        <v>0</v>
      </c>
      <c r="DR109" s="17">
        <f t="shared" si="113"/>
        <v>0</v>
      </c>
      <c r="DS109" s="17">
        <f t="shared" si="114"/>
        <v>0</v>
      </c>
      <c r="DT109" s="110">
        <f t="shared" si="147"/>
        <v>21101.016</v>
      </c>
      <c r="DU109" s="17">
        <f>SUMIF('20.01'!$BD:$BD,$B:$B,'20.01'!$D:$D)*1.2</f>
        <v>21101.016</v>
      </c>
      <c r="DV109" s="17">
        <f t="shared" si="115"/>
        <v>0</v>
      </c>
      <c r="DW109" s="17">
        <f t="shared" si="116"/>
        <v>0</v>
      </c>
      <c r="DX109" s="110">
        <f t="shared" si="117"/>
        <v>1496872.7678281369</v>
      </c>
      <c r="DY109" s="110"/>
      <c r="DZ109" s="110">
        <f t="shared" si="148"/>
        <v>1496872.7678281369</v>
      </c>
      <c r="EA109" s="257"/>
      <c r="EB109" s="110">
        <f t="shared" si="118"/>
        <v>2659.6626506024099</v>
      </c>
      <c r="EC109" s="110">
        <f>SUMIF(еирц!$B:$B,$B:$B,еирц!$K:$K)</f>
        <v>1177214.82</v>
      </c>
      <c r="ED109" s="110">
        <f>SUMIF(еирц!$B:$B,$B:$B,еирц!$P:$P)</f>
        <v>1147895.0899999999</v>
      </c>
      <c r="EE109" s="110">
        <f>SUMIF(еирц!$B:$B,$B:$B,еирц!$S:$S)</f>
        <v>278500.7</v>
      </c>
      <c r="EF109" s="177">
        <f t="shared" si="149"/>
        <v>-316998.28517753445</v>
      </c>
      <c r="EG109" s="181">
        <f t="shared" si="152"/>
        <v>0</v>
      </c>
      <c r="EH109" s="177">
        <f t="shared" si="150"/>
        <v>-316998.28517753445</v>
      </c>
    </row>
    <row r="110" spans="1:138" ht="12" customHeight="1" x14ac:dyDescent="0.25">
      <c r="A110" s="5">
        <f t="shared" si="151"/>
        <v>106</v>
      </c>
      <c r="B110" s="6" t="s">
        <v>190</v>
      </c>
      <c r="C110" s="7">
        <f t="shared" si="84"/>
        <v>2721.6000000000008</v>
      </c>
      <c r="D110" s="8">
        <v>2721.6000000000008</v>
      </c>
      <c r="E110" s="8">
        <v>0</v>
      </c>
      <c r="F110" s="8">
        <v>355</v>
      </c>
      <c r="G110" s="87">
        <f t="shared" si="85"/>
        <v>2721.6000000000008</v>
      </c>
      <c r="H110" s="87">
        <f t="shared" si="86"/>
        <v>2721.6000000000008</v>
      </c>
      <c r="I110" s="91">
        <v>0</v>
      </c>
      <c r="J110" s="112">
        <v>0</v>
      </c>
      <c r="K110" s="17">
        <v>4</v>
      </c>
      <c r="L110" s="112">
        <f t="shared" si="119"/>
        <v>9.638554216867469E-3</v>
      </c>
      <c r="M110" s="116">
        <v>3.4064174131559501</v>
      </c>
      <c r="N110" s="120">
        <f t="shared" si="120"/>
        <v>2721.6000000000008</v>
      </c>
      <c r="O110" s="116">
        <v>3.0862323133776797</v>
      </c>
      <c r="P110" s="120">
        <f t="shared" si="121"/>
        <v>2721.6000000000008</v>
      </c>
      <c r="Q110" s="116">
        <v>0</v>
      </c>
      <c r="R110" s="120">
        <f t="shared" si="122"/>
        <v>0</v>
      </c>
      <c r="S110" s="5" t="s">
        <v>143</v>
      </c>
      <c r="T110" s="87">
        <v>28.44</v>
      </c>
      <c r="U110" s="88">
        <v>4.68</v>
      </c>
      <c r="V110" s="88">
        <v>6.05</v>
      </c>
      <c r="W110" s="88">
        <v>8.24</v>
      </c>
      <c r="X110" s="88">
        <v>6.34</v>
      </c>
      <c r="Y110" s="88">
        <v>2.89</v>
      </c>
      <c r="Z110" s="88">
        <v>0</v>
      </c>
      <c r="AA110" s="88">
        <v>0</v>
      </c>
      <c r="AB110" s="88">
        <v>0.24</v>
      </c>
      <c r="AC110" s="257"/>
      <c r="AD110" s="110">
        <f t="shared" si="123"/>
        <v>185118.02423064646</v>
      </c>
      <c r="AE110" s="110">
        <f t="shared" si="124"/>
        <v>184353.49397001858</v>
      </c>
      <c r="AF110" s="16">
        <f>SUMIF('20.01'!$I:$I,$B:$B,'20.01'!$D:$D)*1.2</f>
        <v>137531.304</v>
      </c>
      <c r="AG110" s="17">
        <f t="shared" si="83"/>
        <v>7260.2174169984846</v>
      </c>
      <c r="AH110" s="17">
        <f t="shared" si="125"/>
        <v>2078.211029662064</v>
      </c>
      <c r="AI110" s="16">
        <f>SUMIF('20.01'!$J:$J,$B:$B,'20.01'!$D:$D)*1.2</f>
        <v>0</v>
      </c>
      <c r="AJ110" s="17">
        <f t="shared" si="126"/>
        <v>844.53823986294424</v>
      </c>
      <c r="AK110" s="17">
        <f t="shared" si="127"/>
        <v>2054.573919440279</v>
      </c>
      <c r="AL110" s="17">
        <f t="shared" si="128"/>
        <v>34584.649364054821</v>
      </c>
      <c r="AM110" s="110">
        <f t="shared" si="129"/>
        <v>0</v>
      </c>
      <c r="AN110" s="17">
        <f>SUMIF('20.01'!$K:$K,$B:$B,'20.01'!$D:$D)*1.2</f>
        <v>0</v>
      </c>
      <c r="AO110" s="17">
        <f>SUMIF('20.01'!$L:$L,$B:$B,'20.01'!$D:$D)*1.2</f>
        <v>0</v>
      </c>
      <c r="AP110" s="17">
        <f>SUMIF('20.01'!$M:$M,$B:$B,'20.01'!$D:$D)*1.2</f>
        <v>0</v>
      </c>
      <c r="AQ110" s="110">
        <f t="shared" si="130"/>
        <v>764.53026062789547</v>
      </c>
      <c r="AR110" s="17">
        <f t="shared" si="131"/>
        <v>764.53026062789547</v>
      </c>
      <c r="AS110" s="17">
        <f>(SUMIF('20.01'!$N:$N,$B:$B,'20.01'!$D:$D)+SUMIF('20.01'!$O:$O,$B:$B,'20.01'!$D:$D))*1.2</f>
        <v>0</v>
      </c>
      <c r="AT110" s="110">
        <f>SUMIF('20.01'!$P:$P,$B:$B,'20.01'!$D:$D)*1.2</f>
        <v>0</v>
      </c>
      <c r="AU110" s="110">
        <f t="shared" si="132"/>
        <v>0</v>
      </c>
      <c r="AV110" s="17">
        <f>SUMIF('20.01'!$Q:$Q,$B:$B,'20.01'!$D:$D)*1.2</f>
        <v>0</v>
      </c>
      <c r="AW110" s="17">
        <f>SUMIF('20.01'!$R:$R,$B:$B,'20.01'!$D:$D)*1.2</f>
        <v>0</v>
      </c>
      <c r="AX110" s="110">
        <f t="shared" si="133"/>
        <v>0</v>
      </c>
      <c r="AY110" s="17">
        <f>SUMIF('20.01'!$S:$S,$B:$B,'20.01'!$D:$D)*1.2</f>
        <v>0</v>
      </c>
      <c r="AZ110" s="17">
        <f>SUMIF('20.01'!$T:$T,$B:$B,'20.01'!$D:$D)*1.2</f>
        <v>0</v>
      </c>
      <c r="BA110" s="110">
        <f t="shared" si="134"/>
        <v>0</v>
      </c>
      <c r="BB110" s="17">
        <f>SUMIF('20.01'!$U:$U,$B:$B,'20.01'!$D:$D)*1.2</f>
        <v>0</v>
      </c>
      <c r="BC110" s="17">
        <f>SUMIF('20.01'!$V:$V,$B:$B,'20.01'!$D:$D)*1.2</f>
        <v>0</v>
      </c>
      <c r="BD110" s="17">
        <f>SUMIF('20.01'!$W:$W,$B:$B,'20.01'!$D:$D)*1.2</f>
        <v>0</v>
      </c>
      <c r="BE110" s="110">
        <f>SUMIF('20.01'!$X:$X,$B:$B,'20.01'!$D:$D)*1.2</f>
        <v>0</v>
      </c>
      <c r="BF110" s="110">
        <f t="shared" si="135"/>
        <v>0</v>
      </c>
      <c r="BG110" s="17">
        <f>SUMIF('20.01'!$Y:$Y,$B:$B,'20.01'!$D:$D)*1.2</f>
        <v>0</v>
      </c>
      <c r="BH110" s="17">
        <f>SUMIF('20.01'!$Z:$Z,$B:$B,'20.01'!$D:$D)*1.2</f>
        <v>0</v>
      </c>
      <c r="BI110" s="17">
        <f>SUMIF('20.01'!$AA:$AA,$B:$B,'20.01'!$D:$D)*1.2</f>
        <v>0</v>
      </c>
      <c r="BJ110" s="17">
        <f>SUMIF('20.01'!$AB:$AB,$B:$B,'20.01'!$D:$D)*1.2</f>
        <v>0</v>
      </c>
      <c r="BK110" s="17">
        <f>SUMIF('20.01'!$AC:$AC,$B:$B,'20.01'!$D:$D)*1.2</f>
        <v>0</v>
      </c>
      <c r="BL110" s="17">
        <f>SUMIF('20.01'!$AD:$AD,$B:$B,'20.01'!$D:$D)*1.2</f>
        <v>0</v>
      </c>
      <c r="BM110" s="110">
        <f t="shared" si="136"/>
        <v>0</v>
      </c>
      <c r="BN110" s="17">
        <f>SUMIF('20.01'!$AE:$AE,$B:$B,'20.01'!$D:$D)*1.2</f>
        <v>0</v>
      </c>
      <c r="BO110" s="17">
        <f>SUMIF('20.01'!$AF:$AF,$B:$B,'20.01'!$D:$D)*1.2</f>
        <v>0</v>
      </c>
      <c r="BP110" s="110">
        <f>SUMIF('20.01'!$AG:$AG,$B:$B,'20.01'!$D:$D)*1.2</f>
        <v>0</v>
      </c>
      <c r="BQ110" s="110">
        <f>SUMIF('20.01'!$AH:$AH,$B:$B,'20.01'!$D:$D)*1.2</f>
        <v>0</v>
      </c>
      <c r="BR110" s="110">
        <f>SUMIF('20.01'!$AI:$AI,$B:$B,'20.01'!$D:$D)*1.2</f>
        <v>0</v>
      </c>
      <c r="BS110" s="110">
        <f t="shared" si="137"/>
        <v>0</v>
      </c>
      <c r="BT110" s="17">
        <f>SUMIF('20.01'!$AJ:$AJ,$B:$B,'20.01'!$D:$D)*1.2</f>
        <v>0</v>
      </c>
      <c r="BU110" s="17">
        <f>SUMIF('20.01'!$AK:$AK,$B:$B,'20.01'!$D:$D)*1.2</f>
        <v>0</v>
      </c>
      <c r="BV110" s="110">
        <f>SUMIF('20.01'!$AL:$AL,$B:$B,'20.01'!$D:$D)*1.2</f>
        <v>0</v>
      </c>
      <c r="BW110" s="110">
        <f>SUMIF('20.01'!$AM:$AM,$B:$B,'20.01'!$D:$D)*1.2</f>
        <v>0</v>
      </c>
      <c r="BX110" s="110">
        <f>SUMIF('20.01'!$AN:$AN,$B:$B,'20.01'!$D:$D)*1.2</f>
        <v>0</v>
      </c>
      <c r="BY110" s="110">
        <f t="shared" si="87"/>
        <v>319685.55330034392</v>
      </c>
      <c r="BZ110" s="17">
        <f t="shared" si="82"/>
        <v>166791.12213977647</v>
      </c>
      <c r="CA110" s="17">
        <f t="shared" si="88"/>
        <v>16880.127471049749</v>
      </c>
      <c r="CB110" s="17">
        <f t="shared" si="89"/>
        <v>1122.1044207119548</v>
      </c>
      <c r="CC110" s="17">
        <f>SUMIF('20.01'!$AO:$AO,$B:$B,'20.01'!$D:$D)*1.2</f>
        <v>0</v>
      </c>
      <c r="CD110" s="17">
        <f t="shared" si="90"/>
        <v>17615.899738757016</v>
      </c>
      <c r="CE110" s="17">
        <f>SUMIF('20.01'!$AQ:$AQ,$B:$B,'20.01'!$D:$D)*1.2</f>
        <v>0</v>
      </c>
      <c r="CF110" s="17">
        <f t="shared" si="91"/>
        <v>1602.7684046658778</v>
      </c>
      <c r="CG110" s="17">
        <f>SUMIF('20.01'!$AR:$AR,$B:$B,'20.01'!$D:$D)*1.2</f>
        <v>113795.17199999999</v>
      </c>
      <c r="CH110" s="17">
        <f t="shared" si="92"/>
        <v>943.91429153184447</v>
      </c>
      <c r="CI110" s="17">
        <f>SUMIF('20.01'!$AT:$AT,$B:$B,'20.01'!$D:$D)*1.2</f>
        <v>0</v>
      </c>
      <c r="CJ110" s="17">
        <f>SUMIF('20.01'!$AU:$AU,$B:$B,'20.01'!$D:$D)*1.2</f>
        <v>0</v>
      </c>
      <c r="CK110" s="17">
        <f>SUMIF('20.01'!$AV:$AV,$B:$B,'20.01'!$D:$D)*1.2</f>
        <v>0</v>
      </c>
      <c r="CL110" s="17">
        <f t="shared" si="93"/>
        <v>934.44483385101307</v>
      </c>
      <c r="CM110" s="17">
        <f>SUMIF('20.01'!$AW:$AW,$B:$B,'20.01'!$D:$D)*1.2</f>
        <v>0</v>
      </c>
      <c r="CN110" s="17">
        <f>SUMIF('20.01'!$AX:$AX,$B:$B,'20.01'!$D:$D)*1.2</f>
        <v>0</v>
      </c>
      <c r="CO110" s="110">
        <f t="shared" si="138"/>
        <v>313470.19163579837</v>
      </c>
      <c r="CP110" s="17">
        <f t="shared" si="139"/>
        <v>247278.2578421387</v>
      </c>
      <c r="CQ110" s="17">
        <f t="shared" si="94"/>
        <v>76288.7450043258</v>
      </c>
      <c r="CR110" s="17">
        <f t="shared" si="95"/>
        <v>170989.51283781292</v>
      </c>
      <c r="CS110" s="17">
        <f t="shared" si="140"/>
        <v>66191.933793659686</v>
      </c>
      <c r="CT110" s="17">
        <f t="shared" si="96"/>
        <v>2411.4302133760589</v>
      </c>
      <c r="CU110" s="17">
        <f t="shared" si="97"/>
        <v>2332.416079247354</v>
      </c>
      <c r="CV110" s="17">
        <f t="shared" si="98"/>
        <v>2410.6029953055845</v>
      </c>
      <c r="CW110" s="17">
        <f t="shared" si="99"/>
        <v>25.277826587415213</v>
      </c>
      <c r="CX110" s="17">
        <f t="shared" si="100"/>
        <v>35593.721181253008</v>
      </c>
      <c r="CY110" s="17">
        <f t="shared" si="101"/>
        <v>23418.485497890266</v>
      </c>
      <c r="CZ110" s="110">
        <f t="shared" si="141"/>
        <v>77811.507950778352</v>
      </c>
      <c r="DA110" s="17">
        <f t="shared" si="142"/>
        <v>2939.2821613273509</v>
      </c>
      <c r="DB110" s="17">
        <f t="shared" si="102"/>
        <v>2789.2709505419039</v>
      </c>
      <c r="DC110" s="17">
        <f t="shared" si="103"/>
        <v>150.01121078544693</v>
      </c>
      <c r="DD110" s="17">
        <f t="shared" si="104"/>
        <v>5179.3523288724764</v>
      </c>
      <c r="DE110" s="17">
        <f t="shared" si="105"/>
        <v>1787.0130279830694</v>
      </c>
      <c r="DF110" s="17">
        <f t="shared" si="106"/>
        <v>2168.7892675940893</v>
      </c>
      <c r="DG110" s="17">
        <f t="shared" si="143"/>
        <v>65737.071165001369</v>
      </c>
      <c r="DH110" s="110">
        <f t="shared" si="144"/>
        <v>48560.459380544104</v>
      </c>
      <c r="DI110" s="17">
        <f t="shared" si="107"/>
        <v>43560.7119845009</v>
      </c>
      <c r="DJ110" s="17">
        <f t="shared" si="108"/>
        <v>4817.5587805442765</v>
      </c>
      <c r="DK110" s="17">
        <f t="shared" si="109"/>
        <v>182.18861549892526</v>
      </c>
      <c r="DL110" s="110">
        <f t="shared" si="145"/>
        <v>288693.70450264437</v>
      </c>
      <c r="DM110" s="17">
        <f t="shared" si="110"/>
        <v>153007.66338640152</v>
      </c>
      <c r="DN110" s="17">
        <f t="shared" si="111"/>
        <v>135686.04111624285</v>
      </c>
      <c r="DO110" s="17">
        <f t="shared" si="112"/>
        <v>0</v>
      </c>
      <c r="DP110" s="110">
        <f t="shared" si="146"/>
        <v>0</v>
      </c>
      <c r="DQ110" s="17">
        <f>SUMIF('20.01'!$BB:$BB,$B:$B,'20.01'!$D:$D)*1.2</f>
        <v>0</v>
      </c>
      <c r="DR110" s="17">
        <f t="shared" si="113"/>
        <v>0</v>
      </c>
      <c r="DS110" s="17">
        <f t="shared" si="114"/>
        <v>0</v>
      </c>
      <c r="DT110" s="110">
        <f t="shared" si="147"/>
        <v>5310.2039999999997</v>
      </c>
      <c r="DU110" s="17">
        <f>SUMIF('20.01'!$BD:$BD,$B:$B,'20.01'!$D:$D)*1.2</f>
        <v>5310.2039999999997</v>
      </c>
      <c r="DV110" s="17">
        <f t="shared" si="115"/>
        <v>0</v>
      </c>
      <c r="DW110" s="17">
        <f t="shared" si="116"/>
        <v>0</v>
      </c>
      <c r="DX110" s="110">
        <f t="shared" si="117"/>
        <v>1238649.6450007556</v>
      </c>
      <c r="DY110" s="110"/>
      <c r="DZ110" s="110">
        <f t="shared" si="148"/>
        <v>1238649.6450007556</v>
      </c>
      <c r="EA110" s="257"/>
      <c r="EB110" s="110">
        <f t="shared" si="118"/>
        <v>3546.2168674698792</v>
      </c>
      <c r="EC110" s="110">
        <f>SUMIF(еирц!$B:$B,$B:$B,еирц!$K:$K)</f>
        <v>911029.26</v>
      </c>
      <c r="ED110" s="110">
        <f>SUMIF(еирц!$B:$B,$B:$B,еирц!$P:$P)</f>
        <v>929973.01</v>
      </c>
      <c r="EE110" s="110">
        <f>SUMIF(еирц!$B:$B,$B:$B,еирц!$S:$S)</f>
        <v>207903.74000000002</v>
      </c>
      <c r="EF110" s="177">
        <f t="shared" si="149"/>
        <v>-324074.16813328571</v>
      </c>
      <c r="EG110" s="181">
        <f t="shared" si="152"/>
        <v>0</v>
      </c>
      <c r="EH110" s="177">
        <f t="shared" si="150"/>
        <v>-324074.16813328571</v>
      </c>
    </row>
    <row r="111" spans="1:138" ht="12" customHeight="1" x14ac:dyDescent="0.25">
      <c r="A111" s="5">
        <f t="shared" si="151"/>
        <v>107</v>
      </c>
      <c r="B111" s="6" t="s">
        <v>191</v>
      </c>
      <c r="C111" s="7">
        <f t="shared" si="84"/>
        <v>3502</v>
      </c>
      <c r="D111" s="8">
        <v>3502</v>
      </c>
      <c r="E111" s="8">
        <v>0</v>
      </c>
      <c r="F111" s="8">
        <v>353.2</v>
      </c>
      <c r="G111" s="87">
        <f t="shared" si="85"/>
        <v>3502</v>
      </c>
      <c r="H111" s="87">
        <f t="shared" si="86"/>
        <v>3502</v>
      </c>
      <c r="I111" s="91">
        <v>0</v>
      </c>
      <c r="J111" s="112">
        <v>0</v>
      </c>
      <c r="K111" s="17">
        <v>0</v>
      </c>
      <c r="L111" s="112">
        <f t="shared" si="119"/>
        <v>0</v>
      </c>
      <c r="M111" s="116">
        <v>3.4064187146529568</v>
      </c>
      <c r="N111" s="120">
        <f t="shared" si="120"/>
        <v>3502</v>
      </c>
      <c r="O111" s="116">
        <v>3.0862308140531276</v>
      </c>
      <c r="P111" s="120">
        <f t="shared" si="121"/>
        <v>3502</v>
      </c>
      <c r="Q111" s="116">
        <v>0</v>
      </c>
      <c r="R111" s="120">
        <f t="shared" si="122"/>
        <v>0</v>
      </c>
      <c r="S111" s="5" t="s">
        <v>143</v>
      </c>
      <c r="T111" s="87">
        <v>28.44</v>
      </c>
      <c r="U111" s="88">
        <v>4.68</v>
      </c>
      <c r="V111" s="88">
        <v>6.05</v>
      </c>
      <c r="W111" s="88">
        <v>8.24</v>
      </c>
      <c r="X111" s="88">
        <v>6.34</v>
      </c>
      <c r="Y111" s="88">
        <v>2.89</v>
      </c>
      <c r="Z111" s="88">
        <v>0</v>
      </c>
      <c r="AA111" s="88">
        <v>0</v>
      </c>
      <c r="AB111" s="88">
        <v>0.24</v>
      </c>
      <c r="AC111" s="257"/>
      <c r="AD111" s="110">
        <f t="shared" si="123"/>
        <v>200729.51954193265</v>
      </c>
      <c r="AE111" s="110">
        <f t="shared" si="124"/>
        <v>138155.76551021641</v>
      </c>
      <c r="AF111" s="16">
        <f>SUMIF('20.01'!$I:$I,$B:$B,'20.01'!$D:$D)*1.2</f>
        <v>77907.635999999999</v>
      </c>
      <c r="AG111" s="17">
        <f t="shared" si="83"/>
        <v>9342.0346099091294</v>
      </c>
      <c r="AH111" s="17">
        <f t="shared" si="125"/>
        <v>2674.1236867565203</v>
      </c>
      <c r="AI111" s="16">
        <f>SUMIF('20.01'!$J:$J,$B:$B,'20.01'!$D:$D)*1.2</f>
        <v>0</v>
      </c>
      <c r="AJ111" s="17">
        <f t="shared" si="126"/>
        <v>1086.7037463257018</v>
      </c>
      <c r="AK111" s="17">
        <f t="shared" si="127"/>
        <v>2643.708798456737</v>
      </c>
      <c r="AL111" s="17">
        <f t="shared" si="128"/>
        <v>44501.558668768354</v>
      </c>
      <c r="AM111" s="110">
        <f t="shared" si="129"/>
        <v>0</v>
      </c>
      <c r="AN111" s="17">
        <f>SUMIF('20.01'!$K:$K,$B:$B,'20.01'!$D:$D)*1.2</f>
        <v>0</v>
      </c>
      <c r="AO111" s="17">
        <f>SUMIF('20.01'!$L:$L,$B:$B,'20.01'!$D:$D)*1.2</f>
        <v>0</v>
      </c>
      <c r="AP111" s="17">
        <f>SUMIF('20.01'!$M:$M,$B:$B,'20.01'!$D:$D)*1.2</f>
        <v>0</v>
      </c>
      <c r="AQ111" s="110">
        <f t="shared" si="130"/>
        <v>983.75403171622906</v>
      </c>
      <c r="AR111" s="17">
        <f t="shared" si="131"/>
        <v>983.75403171622906</v>
      </c>
      <c r="AS111" s="17">
        <f>(SUMIF('20.01'!$N:$N,$B:$B,'20.01'!$D:$D)+SUMIF('20.01'!$O:$O,$B:$B,'20.01'!$D:$D))*1.2</f>
        <v>0</v>
      </c>
      <c r="AT111" s="110">
        <f>SUMIF('20.01'!$P:$P,$B:$B,'20.01'!$D:$D)*1.2</f>
        <v>0</v>
      </c>
      <c r="AU111" s="110">
        <f t="shared" si="132"/>
        <v>0</v>
      </c>
      <c r="AV111" s="17">
        <f>SUMIF('20.01'!$Q:$Q,$B:$B,'20.01'!$D:$D)*1.2</f>
        <v>0</v>
      </c>
      <c r="AW111" s="17">
        <f>SUMIF('20.01'!$R:$R,$B:$B,'20.01'!$D:$D)*1.2</f>
        <v>0</v>
      </c>
      <c r="AX111" s="110">
        <f t="shared" si="133"/>
        <v>61590</v>
      </c>
      <c r="AY111" s="17">
        <f>SUMIF('20.01'!$S:$S,$B:$B,'20.01'!$D:$D)*1.2</f>
        <v>61590</v>
      </c>
      <c r="AZ111" s="17">
        <f>SUMIF('20.01'!$T:$T,$B:$B,'20.01'!$D:$D)*1.2</f>
        <v>0</v>
      </c>
      <c r="BA111" s="110">
        <f t="shared" si="134"/>
        <v>0</v>
      </c>
      <c r="BB111" s="17">
        <f>SUMIF('20.01'!$U:$U,$B:$B,'20.01'!$D:$D)*1.2</f>
        <v>0</v>
      </c>
      <c r="BC111" s="17">
        <f>SUMIF('20.01'!$V:$V,$B:$B,'20.01'!$D:$D)*1.2</f>
        <v>0</v>
      </c>
      <c r="BD111" s="17">
        <f>SUMIF('20.01'!$W:$W,$B:$B,'20.01'!$D:$D)*1.2</f>
        <v>0</v>
      </c>
      <c r="BE111" s="110">
        <f>SUMIF('20.01'!$X:$X,$B:$B,'20.01'!$D:$D)*1.2</f>
        <v>0</v>
      </c>
      <c r="BF111" s="110">
        <f t="shared" si="135"/>
        <v>0</v>
      </c>
      <c r="BG111" s="17">
        <f>SUMIF('20.01'!$Y:$Y,$B:$B,'20.01'!$D:$D)*1.2</f>
        <v>0</v>
      </c>
      <c r="BH111" s="17">
        <f>SUMIF('20.01'!$Z:$Z,$B:$B,'20.01'!$D:$D)*1.2</f>
        <v>0</v>
      </c>
      <c r="BI111" s="17">
        <f>SUMIF('20.01'!$AA:$AA,$B:$B,'20.01'!$D:$D)*1.2</f>
        <v>0</v>
      </c>
      <c r="BJ111" s="17">
        <f>SUMIF('20.01'!$AB:$AB,$B:$B,'20.01'!$D:$D)*1.2</f>
        <v>0</v>
      </c>
      <c r="BK111" s="17">
        <f>SUMIF('20.01'!$AC:$AC,$B:$B,'20.01'!$D:$D)*1.2</f>
        <v>0</v>
      </c>
      <c r="BL111" s="17">
        <f>SUMIF('20.01'!$AD:$AD,$B:$B,'20.01'!$D:$D)*1.2</f>
        <v>0</v>
      </c>
      <c r="BM111" s="110">
        <f t="shared" si="136"/>
        <v>0</v>
      </c>
      <c r="BN111" s="17">
        <f>SUMIF('20.01'!$AE:$AE,$B:$B,'20.01'!$D:$D)*1.2</f>
        <v>0</v>
      </c>
      <c r="BO111" s="17">
        <f>SUMIF('20.01'!$AF:$AF,$B:$B,'20.01'!$D:$D)*1.2</f>
        <v>0</v>
      </c>
      <c r="BP111" s="110">
        <f>SUMIF('20.01'!$AG:$AG,$B:$B,'20.01'!$D:$D)*1.2</f>
        <v>0</v>
      </c>
      <c r="BQ111" s="110">
        <f>SUMIF('20.01'!$AH:$AH,$B:$B,'20.01'!$D:$D)*1.2</f>
        <v>0</v>
      </c>
      <c r="BR111" s="110">
        <f>SUMIF('20.01'!$AI:$AI,$B:$B,'20.01'!$D:$D)*1.2</f>
        <v>0</v>
      </c>
      <c r="BS111" s="110">
        <f t="shared" si="137"/>
        <v>0</v>
      </c>
      <c r="BT111" s="17">
        <f>SUMIF('20.01'!$AJ:$AJ,$B:$B,'20.01'!$D:$D)*1.2</f>
        <v>0</v>
      </c>
      <c r="BU111" s="17">
        <f>SUMIF('20.01'!$AK:$AK,$B:$B,'20.01'!$D:$D)*1.2</f>
        <v>0</v>
      </c>
      <c r="BV111" s="110">
        <f>SUMIF('20.01'!$AL:$AL,$B:$B,'20.01'!$D:$D)*1.2</f>
        <v>0</v>
      </c>
      <c r="BW111" s="110">
        <f>SUMIF('20.01'!$AM:$AM,$B:$B,'20.01'!$D:$D)*1.2</f>
        <v>0</v>
      </c>
      <c r="BX111" s="110">
        <f>SUMIF('20.01'!$AN:$AN,$B:$B,'20.01'!$D:$D)*1.2</f>
        <v>0</v>
      </c>
      <c r="BY111" s="110">
        <f t="shared" si="87"/>
        <v>331427.23790895217</v>
      </c>
      <c r="BZ111" s="17">
        <f t="shared" si="82"/>
        <v>214617.32427009736</v>
      </c>
      <c r="CA111" s="17">
        <f t="shared" si="88"/>
        <v>21720.387420493902</v>
      </c>
      <c r="CB111" s="17">
        <f t="shared" si="89"/>
        <v>1443.8601121888832</v>
      </c>
      <c r="CC111" s="17">
        <f>SUMIF('20.01'!$AO:$AO,$B:$B,'20.01'!$D:$D)*1.2</f>
        <v>0</v>
      </c>
      <c r="CD111" s="17">
        <f t="shared" si="90"/>
        <v>22667.13730347114</v>
      </c>
      <c r="CE111" s="17">
        <f>SUMIF('20.01'!$AQ:$AQ,$B:$B,'20.01'!$D:$D)*1.2</f>
        <v>0</v>
      </c>
      <c r="CF111" s="17">
        <f t="shared" si="91"/>
        <v>2062.3511732583415</v>
      </c>
      <c r="CG111" s="17">
        <f>SUMIF('20.01'!$AR:$AR,$B:$B,'20.01'!$D:$D)*1.2</f>
        <v>66499.212</v>
      </c>
      <c r="CH111" s="17">
        <f t="shared" si="92"/>
        <v>1214.5751943505725</v>
      </c>
      <c r="CI111" s="17">
        <f>SUMIF('20.01'!$AT:$AT,$B:$B,'20.01'!$D:$D)*1.2</f>
        <v>0</v>
      </c>
      <c r="CJ111" s="17">
        <f>SUMIF('20.01'!$AU:$AU,$B:$B,'20.01'!$D:$D)*1.2</f>
        <v>0</v>
      </c>
      <c r="CK111" s="17">
        <f>SUMIF('20.01'!$AV:$AV,$B:$B,'20.01'!$D:$D)*1.2</f>
        <v>0</v>
      </c>
      <c r="CL111" s="17">
        <f t="shared" si="93"/>
        <v>1202.3904350919483</v>
      </c>
      <c r="CM111" s="17">
        <f>SUMIF('20.01'!$AW:$AW,$B:$B,'20.01'!$D:$D)*1.2</f>
        <v>0</v>
      </c>
      <c r="CN111" s="17">
        <f>SUMIF('20.01'!$AX:$AX,$B:$B,'20.01'!$D:$D)*1.2</f>
        <v>0</v>
      </c>
      <c r="CO111" s="110">
        <f t="shared" si="138"/>
        <v>403355.60372889688</v>
      </c>
      <c r="CP111" s="17">
        <f t="shared" si="139"/>
        <v>318183.59015401587</v>
      </c>
      <c r="CQ111" s="17">
        <f t="shared" si="94"/>
        <v>98164.015654449177</v>
      </c>
      <c r="CR111" s="17">
        <f t="shared" si="95"/>
        <v>220019.57449956669</v>
      </c>
      <c r="CS111" s="17">
        <f t="shared" si="140"/>
        <v>85172.013574881013</v>
      </c>
      <c r="CT111" s="17">
        <f t="shared" si="96"/>
        <v>3102.8911696218975</v>
      </c>
      <c r="CU111" s="17">
        <f t="shared" si="97"/>
        <v>3001.2202783378279</v>
      </c>
      <c r="CV111" s="17">
        <f t="shared" si="98"/>
        <v>3101.8267524838898</v>
      </c>
      <c r="CW111" s="17">
        <f t="shared" si="99"/>
        <v>32.526068749679617</v>
      </c>
      <c r="CX111" s="17">
        <f t="shared" si="100"/>
        <v>45799.974859181362</v>
      </c>
      <c r="CY111" s="17">
        <f t="shared" si="101"/>
        <v>30133.574446506351</v>
      </c>
      <c r="CZ111" s="110">
        <f t="shared" si="141"/>
        <v>100123.42035700532</v>
      </c>
      <c r="DA111" s="17">
        <f t="shared" si="142"/>
        <v>3782.1010174046073</v>
      </c>
      <c r="DB111" s="17">
        <f t="shared" si="102"/>
        <v>3589.0751281590769</v>
      </c>
      <c r="DC111" s="17">
        <f t="shared" si="103"/>
        <v>193.02588924553018</v>
      </c>
      <c r="DD111" s="17">
        <f t="shared" si="104"/>
        <v>6664.495831757572</v>
      </c>
      <c r="DE111" s="17">
        <f t="shared" si="105"/>
        <v>2299.426669604904</v>
      </c>
      <c r="DF111" s="17">
        <f t="shared" si="106"/>
        <v>2790.6746087281372</v>
      </c>
      <c r="DG111" s="17">
        <f t="shared" si="143"/>
        <v>84586.722229510109</v>
      </c>
      <c r="DH111" s="110">
        <f t="shared" si="144"/>
        <v>62484.835666764178</v>
      </c>
      <c r="DI111" s="17">
        <f t="shared" si="107"/>
        <v>56051.445241667439</v>
      </c>
      <c r="DJ111" s="17">
        <f t="shared" si="108"/>
        <v>6198.9604826080431</v>
      </c>
      <c r="DK111" s="17">
        <f t="shared" si="109"/>
        <v>234.42994248869638</v>
      </c>
      <c r="DL111" s="110">
        <f t="shared" si="145"/>
        <v>371474.63005888456</v>
      </c>
      <c r="DM111" s="17">
        <f t="shared" si="110"/>
        <v>196881.55393120882</v>
      </c>
      <c r="DN111" s="17">
        <f t="shared" si="111"/>
        <v>174593.07612767574</v>
      </c>
      <c r="DO111" s="17">
        <f t="shared" si="112"/>
        <v>0</v>
      </c>
      <c r="DP111" s="110">
        <f t="shared" si="146"/>
        <v>0</v>
      </c>
      <c r="DQ111" s="17">
        <f>SUMIF('20.01'!$BB:$BB,$B:$B,'20.01'!$D:$D)*1.2</f>
        <v>0</v>
      </c>
      <c r="DR111" s="17">
        <f t="shared" si="113"/>
        <v>0</v>
      </c>
      <c r="DS111" s="17">
        <f t="shared" si="114"/>
        <v>0</v>
      </c>
      <c r="DT111" s="110">
        <f t="shared" si="147"/>
        <v>21101.016</v>
      </c>
      <c r="DU111" s="17">
        <f>SUMIF('20.01'!$BD:$BD,$B:$B,'20.01'!$D:$D)*1.2</f>
        <v>21101.016</v>
      </c>
      <c r="DV111" s="17">
        <f t="shared" si="115"/>
        <v>0</v>
      </c>
      <c r="DW111" s="17">
        <f t="shared" si="116"/>
        <v>0</v>
      </c>
      <c r="DX111" s="110">
        <f t="shared" si="117"/>
        <v>1490696.2632624358</v>
      </c>
      <c r="DY111" s="110"/>
      <c r="DZ111" s="110">
        <f t="shared" si="148"/>
        <v>1490696.2632624358</v>
      </c>
      <c r="EA111" s="257"/>
      <c r="EB111" s="110">
        <f t="shared" si="118"/>
        <v>0</v>
      </c>
      <c r="EC111" s="110">
        <f>SUMIF(еирц!$B:$B,$B:$B,еирц!$K:$K)</f>
        <v>1172260.8599999999</v>
      </c>
      <c r="ED111" s="110">
        <f>SUMIF(еирц!$B:$B,$B:$B,еирц!$P:$P)</f>
        <v>1144839.48</v>
      </c>
      <c r="EE111" s="110">
        <f>SUMIF(еирц!$B:$B,$B:$B,еирц!$S:$S)</f>
        <v>207561.28</v>
      </c>
      <c r="EF111" s="177">
        <f t="shared" si="149"/>
        <v>-318435.40326243592</v>
      </c>
      <c r="EG111" s="181">
        <f t="shared" si="152"/>
        <v>0</v>
      </c>
      <c r="EH111" s="177">
        <f t="shared" si="150"/>
        <v>-318435.40326243592</v>
      </c>
    </row>
    <row r="112" spans="1:138" ht="12" customHeight="1" x14ac:dyDescent="0.25">
      <c r="A112" s="5">
        <f t="shared" si="151"/>
        <v>108</v>
      </c>
      <c r="B112" s="6" t="s">
        <v>192</v>
      </c>
      <c r="C112" s="7">
        <f t="shared" si="84"/>
        <v>3432.6</v>
      </c>
      <c r="D112" s="8">
        <v>3432.6</v>
      </c>
      <c r="E112" s="8">
        <v>0</v>
      </c>
      <c r="F112" s="8">
        <v>335.3</v>
      </c>
      <c r="G112" s="87">
        <f t="shared" si="85"/>
        <v>3432.6</v>
      </c>
      <c r="H112" s="87">
        <f t="shared" si="86"/>
        <v>3432.6</v>
      </c>
      <c r="I112" s="91">
        <v>0</v>
      </c>
      <c r="J112" s="112">
        <v>0</v>
      </c>
      <c r="K112" s="17">
        <v>4</v>
      </c>
      <c r="L112" s="112">
        <f t="shared" si="119"/>
        <v>9.638554216867469E-3</v>
      </c>
      <c r="M112" s="116">
        <v>3.4064162819383257</v>
      </c>
      <c r="N112" s="120">
        <f t="shared" si="120"/>
        <v>3432.6</v>
      </c>
      <c r="O112" s="116">
        <v>3.0862329985315715</v>
      </c>
      <c r="P112" s="120">
        <f t="shared" si="121"/>
        <v>3432.6</v>
      </c>
      <c r="Q112" s="116">
        <v>0</v>
      </c>
      <c r="R112" s="120">
        <f t="shared" si="122"/>
        <v>0</v>
      </c>
      <c r="S112" s="5" t="s">
        <v>143</v>
      </c>
      <c r="T112" s="87">
        <v>28.44</v>
      </c>
      <c r="U112" s="88">
        <v>4.68</v>
      </c>
      <c r="V112" s="88">
        <v>6.05</v>
      </c>
      <c r="W112" s="88">
        <v>8.24</v>
      </c>
      <c r="X112" s="88">
        <v>6.34</v>
      </c>
      <c r="Y112" s="88">
        <v>2.89</v>
      </c>
      <c r="Z112" s="88">
        <v>0</v>
      </c>
      <c r="AA112" s="88">
        <v>0</v>
      </c>
      <c r="AB112" s="88">
        <v>0.24</v>
      </c>
      <c r="AC112" s="257"/>
      <c r="AD112" s="110">
        <f t="shared" si="123"/>
        <v>149537.02016391722</v>
      </c>
      <c r="AE112" s="110">
        <f t="shared" si="124"/>
        <v>148572.76142911735</v>
      </c>
      <c r="AF112" s="16">
        <f>SUMIF('20.01'!$I:$I,$B:$B,'20.01'!$D:$D)*1.2</f>
        <v>89518.584000000003</v>
      </c>
      <c r="AG112" s="17">
        <f t="shared" si="83"/>
        <v>9156.9011998783772</v>
      </c>
      <c r="AH112" s="17">
        <f t="shared" si="125"/>
        <v>2621.1299163793351</v>
      </c>
      <c r="AI112" s="16">
        <f>SUMIF('20.01'!$J:$J,$B:$B,'20.01'!$D:$D)*1.2</f>
        <v>0</v>
      </c>
      <c r="AJ112" s="17">
        <f t="shared" si="126"/>
        <v>1065.1682694567685</v>
      </c>
      <c r="AK112" s="17">
        <f t="shared" si="127"/>
        <v>2591.3177674422031</v>
      </c>
      <c r="AL112" s="17">
        <f t="shared" si="128"/>
        <v>43619.660275960669</v>
      </c>
      <c r="AM112" s="110">
        <f t="shared" si="129"/>
        <v>0</v>
      </c>
      <c r="AN112" s="17">
        <f>SUMIF('20.01'!$K:$K,$B:$B,'20.01'!$D:$D)*1.2</f>
        <v>0</v>
      </c>
      <c r="AO112" s="17">
        <f>SUMIF('20.01'!$L:$L,$B:$B,'20.01'!$D:$D)*1.2</f>
        <v>0</v>
      </c>
      <c r="AP112" s="17">
        <f>SUMIF('20.01'!$M:$M,$B:$B,'20.01'!$D:$D)*1.2</f>
        <v>0</v>
      </c>
      <c r="AQ112" s="110">
        <f t="shared" si="130"/>
        <v>964.25873479986512</v>
      </c>
      <c r="AR112" s="17">
        <f t="shared" si="131"/>
        <v>964.25873479986512</v>
      </c>
      <c r="AS112" s="17">
        <f>(SUMIF('20.01'!$N:$N,$B:$B,'20.01'!$D:$D)+SUMIF('20.01'!$O:$O,$B:$B,'20.01'!$D:$D))*1.2</f>
        <v>0</v>
      </c>
      <c r="AT112" s="110">
        <f>SUMIF('20.01'!$P:$P,$B:$B,'20.01'!$D:$D)*1.2</f>
        <v>0</v>
      </c>
      <c r="AU112" s="110">
        <f t="shared" si="132"/>
        <v>0</v>
      </c>
      <c r="AV112" s="17">
        <f>SUMIF('20.01'!$Q:$Q,$B:$B,'20.01'!$D:$D)*1.2</f>
        <v>0</v>
      </c>
      <c r="AW112" s="17">
        <f>SUMIF('20.01'!$R:$R,$B:$B,'20.01'!$D:$D)*1.2</f>
        <v>0</v>
      </c>
      <c r="AX112" s="110">
        <f t="shared" si="133"/>
        <v>0</v>
      </c>
      <c r="AY112" s="17">
        <f>SUMIF('20.01'!$S:$S,$B:$B,'20.01'!$D:$D)*1.2</f>
        <v>0</v>
      </c>
      <c r="AZ112" s="17">
        <f>SUMIF('20.01'!$T:$T,$B:$B,'20.01'!$D:$D)*1.2</f>
        <v>0</v>
      </c>
      <c r="BA112" s="110">
        <f t="shared" si="134"/>
        <v>0</v>
      </c>
      <c r="BB112" s="17">
        <f>SUMIF('20.01'!$U:$U,$B:$B,'20.01'!$D:$D)*1.2</f>
        <v>0</v>
      </c>
      <c r="BC112" s="17">
        <f>SUMIF('20.01'!$V:$V,$B:$B,'20.01'!$D:$D)*1.2</f>
        <v>0</v>
      </c>
      <c r="BD112" s="17">
        <f>SUMIF('20.01'!$W:$W,$B:$B,'20.01'!$D:$D)*1.2</f>
        <v>0</v>
      </c>
      <c r="BE112" s="110">
        <f>SUMIF('20.01'!$X:$X,$B:$B,'20.01'!$D:$D)*1.2</f>
        <v>0</v>
      </c>
      <c r="BF112" s="110">
        <f t="shared" si="135"/>
        <v>0</v>
      </c>
      <c r="BG112" s="17">
        <f>SUMIF('20.01'!$Y:$Y,$B:$B,'20.01'!$D:$D)*1.2</f>
        <v>0</v>
      </c>
      <c r="BH112" s="17">
        <f>SUMIF('20.01'!$Z:$Z,$B:$B,'20.01'!$D:$D)*1.2</f>
        <v>0</v>
      </c>
      <c r="BI112" s="17">
        <f>SUMIF('20.01'!$AA:$AA,$B:$B,'20.01'!$D:$D)*1.2</f>
        <v>0</v>
      </c>
      <c r="BJ112" s="17">
        <f>SUMIF('20.01'!$AB:$AB,$B:$B,'20.01'!$D:$D)*1.2</f>
        <v>0</v>
      </c>
      <c r="BK112" s="17">
        <f>SUMIF('20.01'!$AC:$AC,$B:$B,'20.01'!$D:$D)*1.2</f>
        <v>0</v>
      </c>
      <c r="BL112" s="17">
        <f>SUMIF('20.01'!$AD:$AD,$B:$B,'20.01'!$D:$D)*1.2</f>
        <v>0</v>
      </c>
      <c r="BM112" s="110">
        <f t="shared" si="136"/>
        <v>0</v>
      </c>
      <c r="BN112" s="17">
        <f>SUMIF('20.01'!$AE:$AE,$B:$B,'20.01'!$D:$D)*1.2</f>
        <v>0</v>
      </c>
      <c r="BO112" s="17">
        <f>SUMIF('20.01'!$AF:$AF,$B:$B,'20.01'!$D:$D)*1.2</f>
        <v>0</v>
      </c>
      <c r="BP112" s="110">
        <f>SUMIF('20.01'!$AG:$AG,$B:$B,'20.01'!$D:$D)*1.2</f>
        <v>0</v>
      </c>
      <c r="BQ112" s="110">
        <f>SUMIF('20.01'!$AH:$AH,$B:$B,'20.01'!$D:$D)*1.2</f>
        <v>0</v>
      </c>
      <c r="BR112" s="110">
        <f>SUMIF('20.01'!$AI:$AI,$B:$B,'20.01'!$D:$D)*1.2</f>
        <v>0</v>
      </c>
      <c r="BS112" s="110">
        <f t="shared" si="137"/>
        <v>0</v>
      </c>
      <c r="BT112" s="17">
        <f>SUMIF('20.01'!$AJ:$AJ,$B:$B,'20.01'!$D:$D)*1.2</f>
        <v>0</v>
      </c>
      <c r="BU112" s="17">
        <f>SUMIF('20.01'!$AK:$AK,$B:$B,'20.01'!$D:$D)*1.2</f>
        <v>0</v>
      </c>
      <c r="BV112" s="110">
        <f>SUMIF('20.01'!$AL:$AL,$B:$B,'20.01'!$D:$D)*1.2</f>
        <v>0</v>
      </c>
      <c r="BW112" s="110">
        <f>SUMIF('20.01'!$AM:$AM,$B:$B,'20.01'!$D:$D)*1.2</f>
        <v>0</v>
      </c>
      <c r="BX112" s="110">
        <f>SUMIF('20.01'!$AN:$AN,$B:$B,'20.01'!$D:$D)*1.2</f>
        <v>0</v>
      </c>
      <c r="BY112" s="110">
        <f t="shared" si="87"/>
        <v>259677.88170618768</v>
      </c>
      <c r="BZ112" s="17">
        <f t="shared" si="82"/>
        <v>210364.19968290583</v>
      </c>
      <c r="CA112" s="17">
        <f t="shared" si="88"/>
        <v>21289.949131806785</v>
      </c>
      <c r="CB112" s="17">
        <f t="shared" si="89"/>
        <v>1415.2467792974187</v>
      </c>
      <c r="CC112" s="17">
        <f>SUMIF('20.01'!$AO:$AO,$B:$B,'20.01'!$D:$D)*1.2</f>
        <v>0</v>
      </c>
      <c r="CD112" s="17">
        <f t="shared" si="90"/>
        <v>22217.937038233875</v>
      </c>
      <c r="CE112" s="17">
        <f>SUMIF('20.01'!$AQ:$AQ,$B:$B,'20.01'!$D:$D)*1.2</f>
        <v>0</v>
      </c>
      <c r="CF112" s="17">
        <f t="shared" si="91"/>
        <v>2021.4810500647009</v>
      </c>
      <c r="CG112" s="17">
        <f>SUMIF('20.01'!$AR:$AR,$B:$B,'20.01'!$D:$D)*1.2</f>
        <v>0</v>
      </c>
      <c r="CH112" s="17">
        <f t="shared" si="92"/>
        <v>1190.5056573751499</v>
      </c>
      <c r="CI112" s="17">
        <f>SUMIF('20.01'!$AT:$AT,$B:$B,'20.01'!$D:$D)*1.2</f>
        <v>0</v>
      </c>
      <c r="CJ112" s="17">
        <f>SUMIF('20.01'!$AU:$AU,$B:$B,'20.01'!$D:$D)*1.2</f>
        <v>0</v>
      </c>
      <c r="CK112" s="17">
        <f>SUMIF('20.01'!$AV:$AV,$B:$B,'20.01'!$D:$D)*1.2</f>
        <v>0</v>
      </c>
      <c r="CL112" s="17">
        <f t="shared" si="93"/>
        <v>1178.5623665038897</v>
      </c>
      <c r="CM112" s="17">
        <f>SUMIF('20.01'!$AW:$AW,$B:$B,'20.01'!$D:$D)*1.2</f>
        <v>0</v>
      </c>
      <c r="CN112" s="17">
        <f>SUMIF('20.01'!$AX:$AX,$B:$B,'20.01'!$D:$D)*1.2</f>
        <v>0</v>
      </c>
      <c r="CO112" s="110">
        <f t="shared" si="138"/>
        <v>395362.20598509745</v>
      </c>
      <c r="CP112" s="17">
        <f t="shared" si="139"/>
        <v>311878.06726518413</v>
      </c>
      <c r="CQ112" s="17">
        <f t="shared" si="94"/>
        <v>96218.675081514055</v>
      </c>
      <c r="CR112" s="17">
        <f t="shared" si="95"/>
        <v>215659.39218367008</v>
      </c>
      <c r="CS112" s="17">
        <f t="shared" si="140"/>
        <v>83484.138719913346</v>
      </c>
      <c r="CT112" s="17">
        <f t="shared" si="96"/>
        <v>3041.4004080080313</v>
      </c>
      <c r="CU112" s="17">
        <f t="shared" si="97"/>
        <v>2941.7443539184542</v>
      </c>
      <c r="CV112" s="17">
        <f t="shared" si="98"/>
        <v>3040.3570846876642</v>
      </c>
      <c r="CW112" s="17">
        <f t="shared" si="99"/>
        <v>31.881491601984653</v>
      </c>
      <c r="CX112" s="17">
        <f t="shared" si="100"/>
        <v>44892.34543164647</v>
      </c>
      <c r="CY112" s="17">
        <f t="shared" si="101"/>
        <v>29536.40995005074</v>
      </c>
      <c r="CZ112" s="110">
        <f t="shared" si="141"/>
        <v>98139.249776543831</v>
      </c>
      <c r="DA112" s="17">
        <f t="shared" si="142"/>
        <v>3707.1501862772857</v>
      </c>
      <c r="DB112" s="17">
        <f t="shared" si="102"/>
        <v>3517.9495388117784</v>
      </c>
      <c r="DC112" s="17">
        <f t="shared" si="103"/>
        <v>189.20064746550739</v>
      </c>
      <c r="DD112" s="17">
        <f t="shared" si="104"/>
        <v>6532.4238698146892</v>
      </c>
      <c r="DE112" s="17">
        <f t="shared" si="105"/>
        <v>2253.858362674413</v>
      </c>
      <c r="DF112" s="17">
        <f t="shared" si="106"/>
        <v>2735.371119908682</v>
      </c>
      <c r="DG112" s="17">
        <f t="shared" si="143"/>
        <v>82910.44623786876</v>
      </c>
      <c r="DH112" s="110">
        <f t="shared" si="144"/>
        <v>61246.558226651825</v>
      </c>
      <c r="DI112" s="17">
        <f t="shared" si="107"/>
        <v>54940.65989050475</v>
      </c>
      <c r="DJ112" s="17">
        <f t="shared" si="108"/>
        <v>6076.1141498002198</v>
      </c>
      <c r="DK112" s="17">
        <f t="shared" si="109"/>
        <v>229.78418634685872</v>
      </c>
      <c r="DL112" s="110">
        <f t="shared" si="145"/>
        <v>364113.02545406256</v>
      </c>
      <c r="DM112" s="17">
        <f t="shared" si="110"/>
        <v>192979.90349065315</v>
      </c>
      <c r="DN112" s="17">
        <f t="shared" si="111"/>
        <v>171133.12196340942</v>
      </c>
      <c r="DO112" s="17">
        <f t="shared" si="112"/>
        <v>0</v>
      </c>
      <c r="DP112" s="110">
        <f t="shared" si="146"/>
        <v>0</v>
      </c>
      <c r="DQ112" s="17">
        <f>SUMIF('20.01'!$BB:$BB,$B:$B,'20.01'!$D:$D)*1.2</f>
        <v>0</v>
      </c>
      <c r="DR112" s="17">
        <f t="shared" si="113"/>
        <v>0</v>
      </c>
      <c r="DS112" s="17">
        <f t="shared" si="114"/>
        <v>0</v>
      </c>
      <c r="DT112" s="110">
        <f t="shared" si="147"/>
        <v>21101.016</v>
      </c>
      <c r="DU112" s="17">
        <f>SUMIF('20.01'!$BD:$BD,$B:$B,'20.01'!$D:$D)*1.2</f>
        <v>21101.016</v>
      </c>
      <c r="DV112" s="17">
        <f t="shared" si="115"/>
        <v>0</v>
      </c>
      <c r="DW112" s="17">
        <f t="shared" si="116"/>
        <v>0</v>
      </c>
      <c r="DX112" s="110">
        <f t="shared" si="117"/>
        <v>1349176.9573124608</v>
      </c>
      <c r="DY112" s="110"/>
      <c r="DZ112" s="110">
        <f t="shared" si="148"/>
        <v>1349176.9573124608</v>
      </c>
      <c r="EA112" s="257"/>
      <c r="EB112" s="110">
        <f t="shared" si="118"/>
        <v>3546.2168674698792</v>
      </c>
      <c r="EC112" s="110">
        <f>SUMIF(еирц!$B:$B,$B:$B,еирц!$K:$K)</f>
        <v>1149029.94</v>
      </c>
      <c r="ED112" s="110">
        <f>SUMIF(еирц!$B:$B,$B:$B,еирц!$P:$P)</f>
        <v>1154018.49</v>
      </c>
      <c r="EE112" s="110">
        <f>SUMIF(еирц!$B:$B,$B:$B,еирц!$S:$S)</f>
        <v>110793.27000000002</v>
      </c>
      <c r="EF112" s="177">
        <f t="shared" si="149"/>
        <v>-196600.80044499086</v>
      </c>
      <c r="EG112" s="181">
        <f t="shared" si="152"/>
        <v>0</v>
      </c>
      <c r="EH112" s="177">
        <f t="shared" si="150"/>
        <v>-196600.80044499086</v>
      </c>
    </row>
    <row r="113" spans="1:138" ht="12" customHeight="1" x14ac:dyDescent="0.25">
      <c r="A113" s="5">
        <f t="shared" si="151"/>
        <v>109</v>
      </c>
      <c r="B113" s="6" t="s">
        <v>193</v>
      </c>
      <c r="C113" s="7">
        <f t="shared" si="84"/>
        <v>3485.23</v>
      </c>
      <c r="D113" s="8">
        <v>3485.23</v>
      </c>
      <c r="E113" s="8">
        <v>0</v>
      </c>
      <c r="F113" s="8">
        <v>291.60000000000002</v>
      </c>
      <c r="G113" s="87">
        <f t="shared" si="85"/>
        <v>3485.23</v>
      </c>
      <c r="H113" s="87">
        <f t="shared" si="86"/>
        <v>3485.23</v>
      </c>
      <c r="I113" s="91">
        <v>0</v>
      </c>
      <c r="J113" s="112">
        <v>0</v>
      </c>
      <c r="K113" s="17">
        <v>4</v>
      </c>
      <c r="L113" s="112">
        <f t="shared" si="119"/>
        <v>9.638554216867469E-3</v>
      </c>
      <c r="M113" s="116">
        <v>3.4064165601693239</v>
      </c>
      <c r="N113" s="120">
        <f t="shared" si="120"/>
        <v>3485.23</v>
      </c>
      <c r="O113" s="116">
        <v>3.0862304190873875</v>
      </c>
      <c r="P113" s="120">
        <f t="shared" si="121"/>
        <v>3485.23</v>
      </c>
      <c r="Q113" s="116">
        <v>0</v>
      </c>
      <c r="R113" s="120">
        <f t="shared" si="122"/>
        <v>0</v>
      </c>
      <c r="S113" s="5" t="s">
        <v>143</v>
      </c>
      <c r="T113" s="87">
        <v>28.44</v>
      </c>
      <c r="U113" s="88">
        <v>4.68</v>
      </c>
      <c r="V113" s="88">
        <v>6.05</v>
      </c>
      <c r="W113" s="88">
        <v>8.24</v>
      </c>
      <c r="X113" s="88">
        <v>6.34</v>
      </c>
      <c r="Y113" s="88">
        <v>2.89</v>
      </c>
      <c r="Z113" s="88">
        <v>0</v>
      </c>
      <c r="AA113" s="88">
        <v>0</v>
      </c>
      <c r="AB113" s="88">
        <v>0.24</v>
      </c>
      <c r="AC113" s="257"/>
      <c r="AD113" s="110">
        <f t="shared" si="123"/>
        <v>231656.12290029982</v>
      </c>
      <c r="AE113" s="110">
        <f t="shared" si="124"/>
        <v>130781.80776381829</v>
      </c>
      <c r="AF113" s="16">
        <f>SUMIF('20.01'!$I:$I,$B:$B,'20.01'!$D:$D)*1.2</f>
        <v>70822.187999999995</v>
      </c>
      <c r="AG113" s="17">
        <f t="shared" si="83"/>
        <v>9297.2984818656751</v>
      </c>
      <c r="AH113" s="17">
        <f t="shared" si="125"/>
        <v>2661.3181315803622</v>
      </c>
      <c r="AI113" s="16">
        <f>SUMIF('20.01'!$J:$J,$B:$B,'20.01'!$D:$D)*1.2</f>
        <v>0</v>
      </c>
      <c r="AJ113" s="17">
        <f t="shared" si="126"/>
        <v>1081.4998565981512</v>
      </c>
      <c r="AK113" s="17">
        <f t="shared" si="127"/>
        <v>2631.0488908182106</v>
      </c>
      <c r="AL113" s="17">
        <f t="shared" si="128"/>
        <v>44288.454402955889</v>
      </c>
      <c r="AM113" s="110">
        <f t="shared" si="129"/>
        <v>39016.872000000003</v>
      </c>
      <c r="AN113" s="17">
        <f>SUMIF('20.01'!$K:$K,$B:$B,'20.01'!$D:$D)*1.2</f>
        <v>39016.872000000003</v>
      </c>
      <c r="AO113" s="17">
        <f>SUMIF('20.01'!$L:$L,$B:$B,'20.01'!$D:$D)*1.2</f>
        <v>0</v>
      </c>
      <c r="AP113" s="17">
        <f>SUMIF('20.01'!$M:$M,$B:$B,'20.01'!$D:$D)*1.2</f>
        <v>0</v>
      </c>
      <c r="AQ113" s="110">
        <f t="shared" si="130"/>
        <v>979.04313648153993</v>
      </c>
      <c r="AR113" s="17">
        <f t="shared" si="131"/>
        <v>979.04313648153993</v>
      </c>
      <c r="AS113" s="17">
        <f>(SUMIF('20.01'!$N:$N,$B:$B,'20.01'!$D:$D)+SUMIF('20.01'!$O:$O,$B:$B,'20.01'!$D:$D))*1.2</f>
        <v>0</v>
      </c>
      <c r="AT113" s="110">
        <f>SUMIF('20.01'!$P:$P,$B:$B,'20.01'!$D:$D)*1.2</f>
        <v>0</v>
      </c>
      <c r="AU113" s="110">
        <f t="shared" si="132"/>
        <v>0</v>
      </c>
      <c r="AV113" s="17">
        <f>SUMIF('20.01'!$Q:$Q,$B:$B,'20.01'!$D:$D)*1.2</f>
        <v>0</v>
      </c>
      <c r="AW113" s="17">
        <f>SUMIF('20.01'!$R:$R,$B:$B,'20.01'!$D:$D)*1.2</f>
        <v>0</v>
      </c>
      <c r="AX113" s="110">
        <f t="shared" si="133"/>
        <v>60878.399999999994</v>
      </c>
      <c r="AY113" s="17">
        <f>SUMIF('20.01'!$S:$S,$B:$B,'20.01'!$D:$D)*1.2</f>
        <v>60878.399999999994</v>
      </c>
      <c r="AZ113" s="17">
        <f>SUMIF('20.01'!$T:$T,$B:$B,'20.01'!$D:$D)*1.2</f>
        <v>0</v>
      </c>
      <c r="BA113" s="110">
        <f t="shared" si="134"/>
        <v>0</v>
      </c>
      <c r="BB113" s="17">
        <f>SUMIF('20.01'!$U:$U,$B:$B,'20.01'!$D:$D)*1.2</f>
        <v>0</v>
      </c>
      <c r="BC113" s="17">
        <f>SUMIF('20.01'!$V:$V,$B:$B,'20.01'!$D:$D)*1.2</f>
        <v>0</v>
      </c>
      <c r="BD113" s="17">
        <f>SUMIF('20.01'!$W:$W,$B:$B,'20.01'!$D:$D)*1.2</f>
        <v>0</v>
      </c>
      <c r="BE113" s="110">
        <f>SUMIF('20.01'!$X:$X,$B:$B,'20.01'!$D:$D)*1.2</f>
        <v>0</v>
      </c>
      <c r="BF113" s="110">
        <f t="shared" si="135"/>
        <v>0</v>
      </c>
      <c r="BG113" s="17">
        <f>SUMIF('20.01'!$Y:$Y,$B:$B,'20.01'!$D:$D)*1.2</f>
        <v>0</v>
      </c>
      <c r="BH113" s="17">
        <f>SUMIF('20.01'!$Z:$Z,$B:$B,'20.01'!$D:$D)*1.2</f>
        <v>0</v>
      </c>
      <c r="BI113" s="17">
        <f>SUMIF('20.01'!$AA:$AA,$B:$B,'20.01'!$D:$D)*1.2</f>
        <v>0</v>
      </c>
      <c r="BJ113" s="17">
        <f>SUMIF('20.01'!$AB:$AB,$B:$B,'20.01'!$D:$D)*1.2</f>
        <v>0</v>
      </c>
      <c r="BK113" s="17">
        <f>SUMIF('20.01'!$AC:$AC,$B:$B,'20.01'!$D:$D)*1.2</f>
        <v>0</v>
      </c>
      <c r="BL113" s="17">
        <f>SUMIF('20.01'!$AD:$AD,$B:$B,'20.01'!$D:$D)*1.2</f>
        <v>0</v>
      </c>
      <c r="BM113" s="110">
        <f t="shared" si="136"/>
        <v>0</v>
      </c>
      <c r="BN113" s="17">
        <f>SUMIF('20.01'!$AE:$AE,$B:$B,'20.01'!$D:$D)*1.2</f>
        <v>0</v>
      </c>
      <c r="BO113" s="17">
        <f>SUMIF('20.01'!$AF:$AF,$B:$B,'20.01'!$D:$D)*1.2</f>
        <v>0</v>
      </c>
      <c r="BP113" s="110">
        <f>SUMIF('20.01'!$AG:$AG,$B:$B,'20.01'!$D:$D)*1.2</f>
        <v>0</v>
      </c>
      <c r="BQ113" s="110">
        <f>SUMIF('20.01'!$AH:$AH,$B:$B,'20.01'!$D:$D)*1.2</f>
        <v>0</v>
      </c>
      <c r="BR113" s="110">
        <f>SUMIF('20.01'!$AI:$AI,$B:$B,'20.01'!$D:$D)*1.2</f>
        <v>0</v>
      </c>
      <c r="BS113" s="110">
        <f t="shared" si="137"/>
        <v>0</v>
      </c>
      <c r="BT113" s="17">
        <f>SUMIF('20.01'!$AJ:$AJ,$B:$B,'20.01'!$D:$D)*1.2</f>
        <v>0</v>
      </c>
      <c r="BU113" s="17">
        <f>SUMIF('20.01'!$AK:$AK,$B:$B,'20.01'!$D:$D)*1.2</f>
        <v>0</v>
      </c>
      <c r="BV113" s="110">
        <f>SUMIF('20.01'!$AL:$AL,$B:$B,'20.01'!$D:$D)*1.2</f>
        <v>0</v>
      </c>
      <c r="BW113" s="110">
        <f>SUMIF('20.01'!$AM:$AM,$B:$B,'20.01'!$D:$D)*1.2</f>
        <v>0</v>
      </c>
      <c r="BX113" s="110">
        <f>SUMIF('20.01'!$AN:$AN,$B:$B,'20.01'!$D:$D)*1.2</f>
        <v>0</v>
      </c>
      <c r="BY113" s="110">
        <f t="shared" si="87"/>
        <v>301895.74714410544</v>
      </c>
      <c r="BZ113" s="17">
        <f t="shared" si="82"/>
        <v>213589.58796855266</v>
      </c>
      <c r="CA113" s="17">
        <f t="shared" si="88"/>
        <v>21616.375171195876</v>
      </c>
      <c r="CB113" s="17">
        <f t="shared" si="89"/>
        <v>1436.945910566551</v>
      </c>
      <c r="CC113" s="17">
        <f>SUMIF('20.01'!$AO:$AO,$B:$B,'20.01'!$D:$D)*1.2</f>
        <v>0</v>
      </c>
      <c r="CD113" s="17">
        <f t="shared" si="90"/>
        <v>22558.591360415969</v>
      </c>
      <c r="CE113" s="17">
        <f>SUMIF('20.01'!$AQ:$AQ,$B:$B,'20.01'!$D:$D)*1.2</f>
        <v>0</v>
      </c>
      <c r="CF113" s="17">
        <f t="shared" si="91"/>
        <v>2052.4752083310022</v>
      </c>
      <c r="CG113" s="17">
        <f>SUMIF('20.01'!$AR:$AR,$B:$B,'20.01'!$D:$D)*1.2</f>
        <v>38236.379999999997</v>
      </c>
      <c r="CH113" s="17">
        <f t="shared" si="92"/>
        <v>1208.7589676203443</v>
      </c>
      <c r="CI113" s="17">
        <f>SUMIF('20.01'!$AT:$AT,$B:$B,'20.01'!$D:$D)*1.2</f>
        <v>0</v>
      </c>
      <c r="CJ113" s="17">
        <f>SUMIF('20.01'!$AU:$AU,$B:$B,'20.01'!$D:$D)*1.2</f>
        <v>0</v>
      </c>
      <c r="CK113" s="17">
        <f>SUMIF('20.01'!$AV:$AV,$B:$B,'20.01'!$D:$D)*1.2</f>
        <v>0</v>
      </c>
      <c r="CL113" s="17">
        <f t="shared" si="93"/>
        <v>1196.6325574230473</v>
      </c>
      <c r="CM113" s="17">
        <f>SUMIF('20.01'!$AW:$AW,$B:$B,'20.01'!$D:$D)*1.2</f>
        <v>0</v>
      </c>
      <c r="CN113" s="17">
        <f>SUMIF('20.01'!$AX:$AX,$B:$B,'20.01'!$D:$D)*1.2</f>
        <v>0</v>
      </c>
      <c r="CO113" s="110">
        <f t="shared" si="138"/>
        <v>401424.05790521507</v>
      </c>
      <c r="CP113" s="17">
        <f t="shared" si="139"/>
        <v>316659.9068853457</v>
      </c>
      <c r="CQ113" s="17">
        <f t="shared" si="94"/>
        <v>97693.938400729836</v>
      </c>
      <c r="CR113" s="17">
        <f t="shared" si="95"/>
        <v>218965.96848461588</v>
      </c>
      <c r="CS113" s="17">
        <f t="shared" si="140"/>
        <v>84764.151019869372</v>
      </c>
      <c r="CT113" s="17">
        <f t="shared" si="96"/>
        <v>3088.0323789552617</v>
      </c>
      <c r="CU113" s="17">
        <f t="shared" si="97"/>
        <v>2986.8483582728004</v>
      </c>
      <c r="CV113" s="17">
        <f t="shared" si="98"/>
        <v>3086.9730589832743</v>
      </c>
      <c r="CW113" s="17">
        <f t="shared" si="99"/>
        <v>32.37031141874526</v>
      </c>
      <c r="CX113" s="17">
        <f t="shared" si="100"/>
        <v>45580.652877916807</v>
      </c>
      <c r="CY113" s="17">
        <f t="shared" si="101"/>
        <v>29989.27403432248</v>
      </c>
      <c r="CZ113" s="110">
        <f t="shared" si="141"/>
        <v>99643.960117317445</v>
      </c>
      <c r="DA113" s="17">
        <f t="shared" si="142"/>
        <v>3763.9896998541003</v>
      </c>
      <c r="DB113" s="17">
        <f t="shared" si="102"/>
        <v>3571.8881521741464</v>
      </c>
      <c r="DC113" s="17">
        <f t="shared" si="103"/>
        <v>192.10154767995408</v>
      </c>
      <c r="DD113" s="17">
        <f t="shared" si="104"/>
        <v>6632.5816127117196</v>
      </c>
      <c r="DE113" s="17">
        <f t="shared" si="105"/>
        <v>2288.4154231031125</v>
      </c>
      <c r="DF113" s="17">
        <f t="shared" si="106"/>
        <v>2777.3109270638397</v>
      </c>
      <c r="DG113" s="17">
        <f t="shared" si="143"/>
        <v>84181.662454584672</v>
      </c>
      <c r="DH113" s="110">
        <f t="shared" si="144"/>
        <v>62185.615023094382</v>
      </c>
      <c r="DI113" s="17">
        <f t="shared" si="107"/>
        <v>55783.032124390811</v>
      </c>
      <c r="DJ113" s="17">
        <f t="shared" si="108"/>
        <v>6169.2755690462682</v>
      </c>
      <c r="DK113" s="17">
        <f t="shared" si="109"/>
        <v>233.30732965730419</v>
      </c>
      <c r="DL113" s="110">
        <f t="shared" si="145"/>
        <v>369695.7524043764</v>
      </c>
      <c r="DM113" s="17">
        <f t="shared" si="110"/>
        <v>195938.74877431951</v>
      </c>
      <c r="DN113" s="17">
        <f t="shared" si="111"/>
        <v>173757.00363005692</v>
      </c>
      <c r="DO113" s="17">
        <f t="shared" si="112"/>
        <v>0</v>
      </c>
      <c r="DP113" s="110">
        <f t="shared" si="146"/>
        <v>0</v>
      </c>
      <c r="DQ113" s="17">
        <f>SUMIF('20.01'!$BB:$BB,$B:$B,'20.01'!$D:$D)*1.2</f>
        <v>0</v>
      </c>
      <c r="DR113" s="17">
        <f t="shared" si="113"/>
        <v>0</v>
      </c>
      <c r="DS113" s="17">
        <f t="shared" si="114"/>
        <v>0</v>
      </c>
      <c r="DT113" s="110">
        <f t="shared" si="147"/>
        <v>7586.0159999999996</v>
      </c>
      <c r="DU113" s="17">
        <f>SUMIF('20.01'!$BD:$BD,$B:$B,'20.01'!$D:$D)*1.2</f>
        <v>7586.0159999999996</v>
      </c>
      <c r="DV113" s="17">
        <f t="shared" si="115"/>
        <v>0</v>
      </c>
      <c r="DW113" s="17">
        <f t="shared" si="116"/>
        <v>0</v>
      </c>
      <c r="DX113" s="110">
        <f t="shared" si="117"/>
        <v>1474087.2714944086</v>
      </c>
      <c r="DY113" s="110"/>
      <c r="DZ113" s="110">
        <f t="shared" si="148"/>
        <v>1474087.2714944086</v>
      </c>
      <c r="EA113" s="257"/>
      <c r="EB113" s="110">
        <f t="shared" si="118"/>
        <v>3546.2168674698792</v>
      </c>
      <c r="EC113" s="110">
        <f>SUMIF(еирц!$B:$B,$B:$B,еирц!$K:$K)</f>
        <v>1166690.48</v>
      </c>
      <c r="ED113" s="110">
        <f>SUMIF(еирц!$B:$B,$B:$B,еирц!$P:$P)</f>
        <v>1150650.03</v>
      </c>
      <c r="EE113" s="110">
        <f>SUMIF(еирц!$B:$B,$B:$B,еирц!$S:$S)</f>
        <v>309223.61</v>
      </c>
      <c r="EF113" s="177">
        <f t="shared" si="149"/>
        <v>-303850.57462693867</v>
      </c>
      <c r="EG113" s="181">
        <f t="shared" si="152"/>
        <v>0</v>
      </c>
      <c r="EH113" s="177">
        <f t="shared" si="150"/>
        <v>-303850.57462693867</v>
      </c>
    </row>
    <row r="114" spans="1:138" ht="12" customHeight="1" x14ac:dyDescent="0.25">
      <c r="A114" s="5">
        <f t="shared" si="151"/>
        <v>110</v>
      </c>
      <c r="B114" s="6" t="s">
        <v>194</v>
      </c>
      <c r="C114" s="7">
        <f t="shared" si="84"/>
        <v>3012.52</v>
      </c>
      <c r="D114" s="8">
        <v>2702.9</v>
      </c>
      <c r="E114" s="8">
        <v>309.62</v>
      </c>
      <c r="F114" s="8">
        <v>314.25</v>
      </c>
      <c r="G114" s="87">
        <f t="shared" si="85"/>
        <v>3012.52</v>
      </c>
      <c r="H114" s="87">
        <f t="shared" si="86"/>
        <v>3012.52</v>
      </c>
      <c r="I114" s="91">
        <v>1</v>
      </c>
      <c r="J114" s="112">
        <v>5.0049513225702601E-3</v>
      </c>
      <c r="K114" s="17">
        <v>1</v>
      </c>
      <c r="L114" s="112">
        <f t="shared" si="119"/>
        <v>2.4096385542168672E-3</v>
      </c>
      <c r="M114" s="117">
        <f>3.40641700535111/2</f>
        <v>1.703208502675555</v>
      </c>
      <c r="N114" s="120">
        <f t="shared" si="120"/>
        <v>3012.52</v>
      </c>
      <c r="O114" s="117">
        <f>3.08623205487059/2</f>
        <v>1.5431160274352951</v>
      </c>
      <c r="P114" s="120">
        <f t="shared" si="121"/>
        <v>3012.52</v>
      </c>
      <c r="Q114" s="117">
        <f>1.60092735807001/2</f>
        <v>0.80046367903500504</v>
      </c>
      <c r="R114" s="120">
        <f t="shared" si="122"/>
        <v>3012.52</v>
      </c>
      <c r="S114" s="5" t="s">
        <v>143</v>
      </c>
      <c r="T114" s="87">
        <v>41.34</v>
      </c>
      <c r="U114" s="88">
        <v>4.68</v>
      </c>
      <c r="V114" s="88">
        <v>7.92</v>
      </c>
      <c r="W114" s="88">
        <v>12.32</v>
      </c>
      <c r="X114" s="88">
        <v>6.34</v>
      </c>
      <c r="Y114" s="88">
        <v>2.89</v>
      </c>
      <c r="Z114" s="88">
        <v>1.66</v>
      </c>
      <c r="AA114" s="88">
        <v>5.29</v>
      </c>
      <c r="AB114" s="88">
        <v>0.24</v>
      </c>
      <c r="AC114" s="257"/>
      <c r="AD114" s="110">
        <f t="shared" si="123"/>
        <v>204935.90779153339</v>
      </c>
      <c r="AE114" s="110">
        <f t="shared" si="124"/>
        <v>143051.32730275151</v>
      </c>
      <c r="AF114" s="131">
        <f>SUMIF('20.01'!$I:$I,$B:$B,'20.01'!$D:$D)*1.2/(G114+G115)*G114</f>
        <v>91224.172787583841</v>
      </c>
      <c r="AG114" s="17">
        <f t="shared" si="83"/>
        <v>8036.2838672311391</v>
      </c>
      <c r="AH114" s="17">
        <f t="shared" si="125"/>
        <v>2300.3572498080393</v>
      </c>
      <c r="AI114" s="16">
        <f>SUMIF('20.01'!$J:$J,$B:$B,'20.01'!$D:$D)*1.2</f>
        <v>0</v>
      </c>
      <c r="AJ114" s="17">
        <f t="shared" si="126"/>
        <v>934.8134694120796</v>
      </c>
      <c r="AK114" s="17">
        <f t="shared" si="127"/>
        <v>2274.1934978660452</v>
      </c>
      <c r="AL114" s="17">
        <f t="shared" si="128"/>
        <v>38281.506430850386</v>
      </c>
      <c r="AM114" s="110">
        <f t="shared" si="129"/>
        <v>0</v>
      </c>
      <c r="AN114" s="17">
        <f>SUMIF('20.01'!$K:$K,$B:$B,'20.01'!$D:$D)*1.2</f>
        <v>0</v>
      </c>
      <c r="AO114" s="17">
        <f>SUMIF('20.01'!$L:$L,$B:$B,'20.01'!$D:$D)*1.2</f>
        <v>0</v>
      </c>
      <c r="AP114" s="17">
        <f>SUMIF('20.01'!$M:$M,$B:$B,'20.01'!$D:$D)*1.2</f>
        <v>0</v>
      </c>
      <c r="AQ114" s="110">
        <f t="shared" si="130"/>
        <v>846.25319692340781</v>
      </c>
      <c r="AR114" s="17">
        <f t="shared" si="131"/>
        <v>846.25319692340781</v>
      </c>
      <c r="AS114" s="17">
        <f>(SUMIF('20.01'!$N:$N,$B:$B,'20.01'!$D:$D)+SUMIF('20.01'!$O:$O,$B:$B,'20.01'!$D:$D))*1.2</f>
        <v>0</v>
      </c>
      <c r="AT114" s="110">
        <f>SUMIF('20.01'!$P:$P,$B:$B,'20.01'!$D:$D)*1.2</f>
        <v>0</v>
      </c>
      <c r="AU114" s="110">
        <f t="shared" si="132"/>
        <v>0</v>
      </c>
      <c r="AV114" s="17">
        <f>SUMIF('20.01'!$Q:$Q,$B:$B,'20.01'!$D:$D)*1.2</f>
        <v>0</v>
      </c>
      <c r="AW114" s="17">
        <f>SUMIF('20.01'!$R:$R,$B:$B,'20.01'!$D:$D)*1.2</f>
        <v>0</v>
      </c>
      <c r="AX114" s="110">
        <f t="shared" si="133"/>
        <v>0</v>
      </c>
      <c r="AY114" s="17">
        <f>SUMIF('20.01'!$S:$S,$B:$B,'20.01'!$D:$D)*1.2</f>
        <v>0</v>
      </c>
      <c r="AZ114" s="17">
        <f>SUMIF('20.01'!$T:$T,$B:$B,'20.01'!$D:$D)*1.2</f>
        <v>0</v>
      </c>
      <c r="BA114" s="110">
        <f t="shared" si="134"/>
        <v>0</v>
      </c>
      <c r="BB114" s="17">
        <f>SUMIF('20.01'!$U:$U,$B:$B,'20.01'!$D:$D)*1.2</f>
        <v>0</v>
      </c>
      <c r="BC114" s="17">
        <f>SUMIF('20.01'!$V:$V,$B:$B,'20.01'!$D:$D)*1.2</f>
        <v>0</v>
      </c>
      <c r="BD114" s="17">
        <f>SUMIF('20.01'!$W:$W,$B:$B,'20.01'!$D:$D)*1.2</f>
        <v>0</v>
      </c>
      <c r="BE114" s="110">
        <f>SUMIF('20.01'!$X:$X,$B:$B,'20.01'!$D:$D)*1.2</f>
        <v>0</v>
      </c>
      <c r="BF114" s="110">
        <f t="shared" si="135"/>
        <v>61038.32729185847</v>
      </c>
      <c r="BG114" s="17">
        <f>SUMIF('20.01'!$Y:$Y,$B:$B,'20.01'!$D:$D)*1.2</f>
        <v>0</v>
      </c>
      <c r="BH114" s="108">
        <f>SUMIF('20.01'!$Z:$Z,$B:$B,'20.01'!$D:$D)*1.2/(G114+G115)*G114</f>
        <v>61038.32729185847</v>
      </c>
      <c r="BI114" s="17">
        <f>SUMIF('20.01'!$AA:$AA,$B:$B,'20.01'!$D:$D)*1.2</f>
        <v>0</v>
      </c>
      <c r="BJ114" s="17">
        <f>SUMIF('20.01'!$AB:$AB,$B:$B,'20.01'!$D:$D)*1.2</f>
        <v>0</v>
      </c>
      <c r="BK114" s="17">
        <f>SUMIF('20.01'!$AC:$AC,$B:$B,'20.01'!$D:$D)*1.2</f>
        <v>0</v>
      </c>
      <c r="BL114" s="17">
        <f>SUMIF('20.01'!$AD:$AD,$B:$B,'20.01'!$D:$D)*1.2</f>
        <v>0</v>
      </c>
      <c r="BM114" s="110">
        <f t="shared" si="136"/>
        <v>0</v>
      </c>
      <c r="BN114" s="17">
        <f>SUMIF('20.01'!$AE:$AE,$B:$B,'20.01'!$D:$D)*1.2</f>
        <v>0</v>
      </c>
      <c r="BO114" s="17">
        <f>SUMIF('20.01'!$AF:$AF,$B:$B,'20.01'!$D:$D)*1.2</f>
        <v>0</v>
      </c>
      <c r="BP114" s="110">
        <f>SUMIF('20.01'!$AG:$AG,$B:$B,'20.01'!$D:$D)*1.2</f>
        <v>0</v>
      </c>
      <c r="BQ114" s="110">
        <f>SUMIF('20.01'!$AH:$AH,$B:$B,'20.01'!$D:$D)*1.2</f>
        <v>0</v>
      </c>
      <c r="BR114" s="110">
        <f>SUMIF('20.01'!$AI:$AI,$B:$B,'20.01'!$D:$D)*1.2</f>
        <v>0</v>
      </c>
      <c r="BS114" s="110">
        <f t="shared" si="137"/>
        <v>0</v>
      </c>
      <c r="BT114" s="17">
        <f>SUMIF('20.01'!$AJ:$AJ,$B:$B,'20.01'!$D:$D)*1.2</f>
        <v>0</v>
      </c>
      <c r="BU114" s="17">
        <f>SUMIF('20.01'!$AK:$AK,$B:$B,'20.01'!$D:$D)*1.2</f>
        <v>0</v>
      </c>
      <c r="BV114" s="110">
        <f>SUMIF('20.01'!$AL:$AL,$B:$B,'20.01'!$D:$D)*1.2</f>
        <v>0</v>
      </c>
      <c r="BW114" s="110">
        <f>SUMIF('20.01'!$AM:$AM,$B:$B,'20.01'!$D:$D)*1.2</f>
        <v>0</v>
      </c>
      <c r="BX114" s="110">
        <f>SUMIF('20.01'!$AN:$AN,$B:$B,'20.01'!$D:$D)*1.2</f>
        <v>0</v>
      </c>
      <c r="BY114" s="110">
        <f t="shared" si="87"/>
        <v>227898.62267596705</v>
      </c>
      <c r="BZ114" s="17">
        <f t="shared" si="82"/>
        <v>184619.92624504675</v>
      </c>
      <c r="CA114" s="17">
        <f t="shared" si="88"/>
        <v>18684.495006278208</v>
      </c>
      <c r="CB114" s="17">
        <f t="shared" si="89"/>
        <v>1242.0495331728309</v>
      </c>
      <c r="CC114" s="17">
        <f>SUMIF('20.01'!$AO:$AO,$B:$B,'20.01'!$D:$D)*1.2</f>
        <v>0</v>
      </c>
      <c r="CD114" s="17">
        <f t="shared" si="90"/>
        <v>19498.916182025379</v>
      </c>
      <c r="CE114" s="17">
        <f>SUMIF('20.01'!$AQ:$AQ,$B:$B,'20.01'!$D:$D)*1.2</f>
        <v>0</v>
      </c>
      <c r="CF114" s="17">
        <f t="shared" si="91"/>
        <v>1774.0931343415816</v>
      </c>
      <c r="CG114" s="17">
        <f>SUMIF('20.01'!$AR:$AR,$B:$B,'20.01'!$D:$D)*1.2</f>
        <v>0</v>
      </c>
      <c r="CH114" s="17">
        <f t="shared" si="92"/>
        <v>1044.8121257809785</v>
      </c>
      <c r="CI114" s="17">
        <f>SUMIF('20.01'!$AT:$AT,$B:$B,'20.01'!$D:$D)*1.2</f>
        <v>0</v>
      </c>
      <c r="CJ114" s="17">
        <f>SUMIF('20.01'!$AU:$AU,$B:$B,'20.01'!$D:$D)*1.2</f>
        <v>0</v>
      </c>
      <c r="CK114" s="17">
        <f>SUMIF('20.01'!$AV:$AV,$B:$B,'20.01'!$D:$D)*1.2</f>
        <v>0</v>
      </c>
      <c r="CL114" s="17">
        <f t="shared" si="93"/>
        <v>1034.3304493213011</v>
      </c>
      <c r="CM114" s="17">
        <f>SUMIF('20.01'!$AW:$AW,$B:$B,'20.01'!$D:$D)*1.2</f>
        <v>0</v>
      </c>
      <c r="CN114" s="17">
        <f>SUMIF('20.01'!$AX:$AX,$B:$B,'20.01'!$D:$D)*1.2</f>
        <v>0</v>
      </c>
      <c r="CO114" s="110">
        <f t="shared" si="138"/>
        <v>346977.96212032449</v>
      </c>
      <c r="CP114" s="17">
        <f t="shared" si="139"/>
        <v>273710.57367526437</v>
      </c>
      <c r="CQ114" s="17">
        <f t="shared" si="94"/>
        <v>84443.478138018618</v>
      </c>
      <c r="CR114" s="17">
        <f t="shared" si="95"/>
        <v>189267.09553724574</v>
      </c>
      <c r="CS114" s="17">
        <f t="shared" si="140"/>
        <v>73267.388445060118</v>
      </c>
      <c r="CT114" s="17">
        <f t="shared" si="96"/>
        <v>2669.1952330980466</v>
      </c>
      <c r="CU114" s="17">
        <f t="shared" si="97"/>
        <v>2581.735040804761</v>
      </c>
      <c r="CV114" s="17">
        <f t="shared" si="98"/>
        <v>2668.2795912029605</v>
      </c>
      <c r="CW114" s="17">
        <f t="shared" si="99"/>
        <v>27.979849408847755</v>
      </c>
      <c r="CX114" s="17">
        <f t="shared" si="100"/>
        <v>39398.440965956892</v>
      </c>
      <c r="CY114" s="17">
        <f t="shared" si="101"/>
        <v>25921.757764588609</v>
      </c>
      <c r="CZ114" s="110">
        <f t="shared" si="141"/>
        <v>86129.013790372846</v>
      </c>
      <c r="DA114" s="17">
        <f t="shared" si="142"/>
        <v>3253.4708614939254</v>
      </c>
      <c r="DB114" s="17">
        <f t="shared" si="102"/>
        <v>3087.4245017366597</v>
      </c>
      <c r="DC114" s="17">
        <f t="shared" si="103"/>
        <v>166.04635975726572</v>
      </c>
      <c r="DD114" s="17">
        <f t="shared" si="104"/>
        <v>5732.9888586768475</v>
      </c>
      <c r="DE114" s="17">
        <f t="shared" si="105"/>
        <v>1978.0322189372262</v>
      </c>
      <c r="DF114" s="17">
        <f t="shared" si="106"/>
        <v>2400.6176677000822</v>
      </c>
      <c r="DG114" s="17">
        <f t="shared" si="143"/>
        <v>72763.904183564766</v>
      </c>
      <c r="DH114" s="110">
        <f t="shared" si="144"/>
        <v>53751.232764945868</v>
      </c>
      <c r="DI114" s="17">
        <f t="shared" si="107"/>
        <v>48217.04734992233</v>
      </c>
      <c r="DJ114" s="17">
        <f t="shared" si="108"/>
        <v>5332.5221110983384</v>
      </c>
      <c r="DK114" s="17">
        <f t="shared" si="109"/>
        <v>201.66330392519922</v>
      </c>
      <c r="DL114" s="110">
        <f t="shared" si="145"/>
        <v>406743.10855073336</v>
      </c>
      <c r="DM114" s="17">
        <f t="shared" si="110"/>
        <v>169363.11217842525</v>
      </c>
      <c r="DN114" s="17">
        <f t="shared" si="111"/>
        <v>150189.92966766012</v>
      </c>
      <c r="DO114" s="17">
        <f t="shared" si="112"/>
        <v>87190.066704648023</v>
      </c>
      <c r="DP114" s="110">
        <f t="shared" si="146"/>
        <v>140686.26566175141</v>
      </c>
      <c r="DQ114" s="108">
        <f>SUMIF('20.01'!$BB:$BB,$B:$B,'20.01'!$D:$D)*1.2/2</f>
        <v>2459.424</v>
      </c>
      <c r="DR114" s="17">
        <f t="shared" si="113"/>
        <v>137209.69527422948</v>
      </c>
      <c r="DS114" s="17">
        <f t="shared" si="114"/>
        <v>1017.1463875219458</v>
      </c>
      <c r="DT114" s="110">
        <f t="shared" si="147"/>
        <v>6440.9829683019852</v>
      </c>
      <c r="DU114" s="108">
        <f>(SUMIF('20.01'!$BD:$BD,$B:$B,'20.01'!$D:$D)/(G114+G115)*G114)*1.2</f>
        <v>6440.9829683019852</v>
      </c>
      <c r="DV114" s="17">
        <f t="shared" si="115"/>
        <v>0</v>
      </c>
      <c r="DW114" s="17">
        <f t="shared" si="116"/>
        <v>0</v>
      </c>
      <c r="DX114" s="110">
        <f t="shared" si="117"/>
        <v>1473563.0963239304</v>
      </c>
      <c r="DY114" s="110"/>
      <c r="DZ114" s="110">
        <f t="shared" si="148"/>
        <v>1473563.0963239304</v>
      </c>
      <c r="EA114" s="257"/>
      <c r="EB114" s="110">
        <f t="shared" si="118"/>
        <v>886.55421686746979</v>
      </c>
      <c r="EC114" s="110">
        <f>SUMIF(еирц!$B:$B,$B:$B,еирц!$K:$K)</f>
        <v>1315081.1147386094</v>
      </c>
      <c r="ED114" s="110">
        <f>SUMIF(еирц!$B:$B,$B:$B,еирц!$P:$P)</f>
        <v>1328825.0969920349</v>
      </c>
      <c r="EE114" s="110">
        <f>SUMIF(еирц!$B:$B,$B:$B,еирц!$S:$S)</f>
        <v>168552.78116950431</v>
      </c>
      <c r="EF114" s="177">
        <f t="shared" si="149"/>
        <v>-157595.42736845347</v>
      </c>
      <c r="EG114" s="181">
        <f t="shared" si="152"/>
        <v>0</v>
      </c>
      <c r="EH114" s="177">
        <f t="shared" si="150"/>
        <v>-157595.42736845347</v>
      </c>
    </row>
    <row r="115" spans="1:138" ht="12" customHeight="1" x14ac:dyDescent="0.25">
      <c r="A115" s="5">
        <f t="shared" si="151"/>
        <v>111</v>
      </c>
      <c r="B115" s="6" t="s">
        <v>195</v>
      </c>
      <c r="C115" s="7">
        <f t="shared" si="84"/>
        <v>3374</v>
      </c>
      <c r="D115" s="8">
        <v>3027.22</v>
      </c>
      <c r="E115" s="8">
        <v>346.78</v>
      </c>
      <c r="F115" s="8">
        <v>351.95</v>
      </c>
      <c r="G115" s="87">
        <f t="shared" si="85"/>
        <v>3374</v>
      </c>
      <c r="H115" s="87">
        <f t="shared" si="86"/>
        <v>3374</v>
      </c>
      <c r="I115" s="91">
        <v>1</v>
      </c>
      <c r="J115" s="112">
        <v>5.0082881043783606E-3</v>
      </c>
      <c r="K115" s="17">
        <v>1</v>
      </c>
      <c r="L115" s="112">
        <f t="shared" si="119"/>
        <v>2.4096385542168672E-3</v>
      </c>
      <c r="M115" s="117">
        <f>M114</f>
        <v>1.703208502675555</v>
      </c>
      <c r="N115" s="120">
        <f t="shared" si="120"/>
        <v>3374</v>
      </c>
      <c r="O115" s="117">
        <f>O114</f>
        <v>1.5431160274352951</v>
      </c>
      <c r="P115" s="120">
        <f t="shared" si="121"/>
        <v>3374</v>
      </c>
      <c r="Q115" s="117">
        <f>Q114</f>
        <v>0.80046367903500504</v>
      </c>
      <c r="R115" s="120">
        <f t="shared" si="122"/>
        <v>3374</v>
      </c>
      <c r="S115" s="5" t="s">
        <v>143</v>
      </c>
      <c r="T115" s="87">
        <v>41.34</v>
      </c>
      <c r="U115" s="88">
        <v>4.68</v>
      </c>
      <c r="V115" s="88">
        <v>7.92</v>
      </c>
      <c r="W115" s="88">
        <v>12.32</v>
      </c>
      <c r="X115" s="88">
        <v>6.34</v>
      </c>
      <c r="Y115" s="88">
        <v>2.89</v>
      </c>
      <c r="Z115" s="88">
        <v>1.66</v>
      </c>
      <c r="AA115" s="88">
        <v>5.29</v>
      </c>
      <c r="AB115" s="88">
        <v>0.24</v>
      </c>
      <c r="AC115" s="257"/>
      <c r="AD115" s="110">
        <f t="shared" si="123"/>
        <v>229526.69289785088</v>
      </c>
      <c r="AE115" s="110">
        <f t="shared" si="124"/>
        <v>160216.42290158526</v>
      </c>
      <c r="AF115" s="131">
        <f>193394.568/(G114+G115)*G115</f>
        <v>102170.39521241614</v>
      </c>
      <c r="AG115" s="17">
        <f t="shared" si="83"/>
        <v>9000.578176423016</v>
      </c>
      <c r="AH115" s="17">
        <f t="shared" si="125"/>
        <v>2576.3830151674756</v>
      </c>
      <c r="AI115" s="16">
        <f>SUMIF('20.01'!$J:$J,$B:$B,'20.01'!$D:$D)*1.2</f>
        <v>0</v>
      </c>
      <c r="AJ115" s="17">
        <f t="shared" si="126"/>
        <v>1046.9841348095138</v>
      </c>
      <c r="AK115" s="17">
        <f t="shared" si="127"/>
        <v>2547.0798075365592</v>
      </c>
      <c r="AL115" s="17">
        <f t="shared" si="128"/>
        <v>42875.002555232561</v>
      </c>
      <c r="AM115" s="110">
        <f t="shared" si="129"/>
        <v>0</v>
      </c>
      <c r="AN115" s="17">
        <f>SUMIF('20.01'!$K:$K,$B:$B,'20.01'!$D:$D)*1.2</f>
        <v>0</v>
      </c>
      <c r="AO115" s="17">
        <f>SUMIF('20.01'!$L:$L,$B:$B,'20.01'!$D:$D)*1.2</f>
        <v>0</v>
      </c>
      <c r="AP115" s="17">
        <f>SUMIF('20.01'!$M:$M,$B:$B,'20.01'!$D:$D)*1.2</f>
        <v>0</v>
      </c>
      <c r="AQ115" s="110">
        <f t="shared" si="130"/>
        <v>947.79728812408814</v>
      </c>
      <c r="AR115" s="17">
        <f t="shared" si="131"/>
        <v>947.79728812408814</v>
      </c>
      <c r="AS115" s="17">
        <f>(SUMIF('20.01'!$N:$N,$B:$B,'20.01'!$D:$D)+SUMIF('20.01'!$O:$O,$B:$B,'20.01'!$D:$D))*1.2</f>
        <v>0</v>
      </c>
      <c r="AT115" s="110">
        <f>SUMIF('20.01'!$P:$P,$B:$B,'20.01'!$D:$D)*1.2</f>
        <v>0</v>
      </c>
      <c r="AU115" s="110">
        <f t="shared" si="132"/>
        <v>0</v>
      </c>
      <c r="AV115" s="17">
        <f>SUMIF('20.01'!$Q:$Q,$B:$B,'20.01'!$D:$D)*1.2</f>
        <v>0</v>
      </c>
      <c r="AW115" s="17">
        <f>SUMIF('20.01'!$R:$R,$B:$B,'20.01'!$D:$D)*1.2</f>
        <v>0</v>
      </c>
      <c r="AX115" s="110">
        <f t="shared" si="133"/>
        <v>0</v>
      </c>
      <c r="AY115" s="17">
        <f>SUMIF('20.01'!$S:$S,$B:$B,'20.01'!$D:$D)*1.2</f>
        <v>0</v>
      </c>
      <c r="AZ115" s="17">
        <f>SUMIF('20.01'!$T:$T,$B:$B,'20.01'!$D:$D)*1.2</f>
        <v>0</v>
      </c>
      <c r="BA115" s="110">
        <f t="shared" si="134"/>
        <v>0</v>
      </c>
      <c r="BB115" s="17">
        <f>SUMIF('20.01'!$U:$U,$B:$B,'20.01'!$D:$D)*1.2</f>
        <v>0</v>
      </c>
      <c r="BC115" s="17">
        <f>SUMIF('20.01'!$V:$V,$B:$B,'20.01'!$D:$D)*1.2</f>
        <v>0</v>
      </c>
      <c r="BD115" s="17">
        <f>SUMIF('20.01'!$W:$W,$B:$B,'20.01'!$D:$D)*1.2</f>
        <v>0</v>
      </c>
      <c r="BE115" s="110">
        <f>SUMIF('20.01'!$X:$X,$B:$B,'20.01'!$D:$D)*1.2</f>
        <v>0</v>
      </c>
      <c r="BF115" s="110">
        <f t="shared" si="135"/>
        <v>68362.472708141519</v>
      </c>
      <c r="BG115" s="17">
        <f>SUMIF('20.01'!$Y:$Y,$B:$B,'20.01'!$D:$D)*1.2</f>
        <v>0</v>
      </c>
      <c r="BH115" s="108">
        <f>129400.8/(G114+G115)*G115</f>
        <v>68362.472708141519</v>
      </c>
      <c r="BI115" s="17">
        <f>SUMIF('20.01'!$AA:$AA,$B:$B,'20.01'!$D:$D)*1.2</f>
        <v>0</v>
      </c>
      <c r="BJ115" s="17">
        <f>SUMIF('20.01'!$AB:$AB,$B:$B,'20.01'!$D:$D)*1.2</f>
        <v>0</v>
      </c>
      <c r="BK115" s="17">
        <f>SUMIF('20.01'!$AC:$AC,$B:$B,'20.01'!$D:$D)*1.2</f>
        <v>0</v>
      </c>
      <c r="BL115" s="17">
        <f>SUMIF('20.01'!$AD:$AD,$B:$B,'20.01'!$D:$D)*1.2</f>
        <v>0</v>
      </c>
      <c r="BM115" s="110">
        <f t="shared" si="136"/>
        <v>0</v>
      </c>
      <c r="BN115" s="17">
        <f>SUMIF('20.01'!$AE:$AE,$B:$B,'20.01'!$D:$D)*1.2</f>
        <v>0</v>
      </c>
      <c r="BO115" s="17">
        <f>SUMIF('20.01'!$AF:$AF,$B:$B,'20.01'!$D:$D)*1.2</f>
        <v>0</v>
      </c>
      <c r="BP115" s="110">
        <f>SUMIF('20.01'!$AG:$AG,$B:$B,'20.01'!$D:$D)*1.2</f>
        <v>0</v>
      </c>
      <c r="BQ115" s="110">
        <f>SUMIF('20.01'!$AH:$AH,$B:$B,'20.01'!$D:$D)*1.2</f>
        <v>0</v>
      </c>
      <c r="BR115" s="110">
        <f>SUMIF('20.01'!$AI:$AI,$B:$B,'20.01'!$D:$D)*1.2</f>
        <v>0</v>
      </c>
      <c r="BS115" s="110">
        <f t="shared" si="137"/>
        <v>0</v>
      </c>
      <c r="BT115" s="17">
        <f>SUMIF('20.01'!$AJ:$AJ,$B:$B,'20.01'!$D:$D)*1.2</f>
        <v>0</v>
      </c>
      <c r="BU115" s="17">
        <f>SUMIF('20.01'!$AK:$AK,$B:$B,'20.01'!$D:$D)*1.2</f>
        <v>0</v>
      </c>
      <c r="BV115" s="110">
        <f>SUMIF('20.01'!$AL:$AL,$B:$B,'20.01'!$D:$D)*1.2</f>
        <v>0</v>
      </c>
      <c r="BW115" s="110">
        <f>SUMIF('20.01'!$AM:$AM,$B:$B,'20.01'!$D:$D)*1.2</f>
        <v>0</v>
      </c>
      <c r="BX115" s="110">
        <f>SUMIF('20.01'!$AN:$AN,$B:$B,'20.01'!$D:$D)*1.2</f>
        <v>0</v>
      </c>
      <c r="BY115" s="110">
        <f t="shared" si="87"/>
        <v>255244.76282604356</v>
      </c>
      <c r="BZ115" s="17">
        <f t="shared" si="82"/>
        <v>206772.94462801499</v>
      </c>
      <c r="CA115" s="17">
        <f t="shared" si="88"/>
        <v>20926.495475941298</v>
      </c>
      <c r="CB115" s="17">
        <f t="shared" si="89"/>
        <v>1391.0862417262397</v>
      </c>
      <c r="CC115" s="17">
        <f>SUMIF('20.01'!$AO:$AO,$B:$B,'20.01'!$D:$D)*1.2</f>
        <v>0</v>
      </c>
      <c r="CD115" s="17">
        <f t="shared" si="90"/>
        <v>21838.6411370393</v>
      </c>
      <c r="CE115" s="17">
        <f>SUMIF('20.01'!$AQ:$AQ,$B:$B,'20.01'!$D:$D)*1.2</f>
        <v>0</v>
      </c>
      <c r="CF115" s="17">
        <f t="shared" si="91"/>
        <v>1986.9711189530681</v>
      </c>
      <c r="CG115" s="17">
        <f>SUMIF('20.01'!$AR:$AR,$B:$B,'20.01'!$D:$D)*1.2</f>
        <v>0</v>
      </c>
      <c r="CH115" s="17">
        <f t="shared" si="92"/>
        <v>1170.1818120327903</v>
      </c>
      <c r="CI115" s="17">
        <f>SUMIF('20.01'!$AT:$AT,$B:$B,'20.01'!$D:$D)*1.2</f>
        <v>0</v>
      </c>
      <c r="CJ115" s="17">
        <f>SUMIF('20.01'!$AU:$AU,$B:$B,'20.01'!$D:$D)*1.2</f>
        <v>0</v>
      </c>
      <c r="CK115" s="17">
        <f>SUMIF('20.01'!$AV:$AV,$B:$B,'20.01'!$D:$D)*1.2</f>
        <v>0</v>
      </c>
      <c r="CL115" s="17">
        <f t="shared" si="93"/>
        <v>1158.4424123358749</v>
      </c>
      <c r="CM115" s="17">
        <f>SUMIF('20.01'!$AW:$AW,$B:$B,'20.01'!$D:$D)*1.2</f>
        <v>0</v>
      </c>
      <c r="CN115" s="17">
        <f>SUMIF('20.01'!$AX:$AX,$B:$B,'20.01'!$D:$D)*1.2</f>
        <v>0</v>
      </c>
      <c r="CO115" s="110">
        <f t="shared" si="138"/>
        <v>388612.73757318617</v>
      </c>
      <c r="CP115" s="17">
        <f t="shared" si="139"/>
        <v>306553.8073042974</v>
      </c>
      <c r="CQ115" s="17">
        <f t="shared" si="94"/>
        <v>94576.067623675466</v>
      </c>
      <c r="CR115" s="17">
        <f t="shared" si="95"/>
        <v>211977.73968062192</v>
      </c>
      <c r="CS115" s="17">
        <f t="shared" si="140"/>
        <v>82058.930268888784</v>
      </c>
      <c r="CT115" s="17">
        <f t="shared" si="96"/>
        <v>2989.4788139075622</v>
      </c>
      <c r="CU115" s="17">
        <f t="shared" si="97"/>
        <v>2891.5240488611739</v>
      </c>
      <c r="CV115" s="17">
        <f t="shared" si="98"/>
        <v>2988.453301793445</v>
      </c>
      <c r="CW115" s="17">
        <f t="shared" si="99"/>
        <v>31.337223289954036</v>
      </c>
      <c r="CX115" s="17">
        <f t="shared" si="100"/>
        <v>44125.960929434012</v>
      </c>
      <c r="CY115" s="17">
        <f t="shared" si="101"/>
        <v>29032.175951602632</v>
      </c>
      <c r="CZ115" s="110">
        <f t="shared" si="141"/>
        <v>96463.855021283845</v>
      </c>
      <c r="DA115" s="17">
        <f t="shared" si="142"/>
        <v>3643.8631732504696</v>
      </c>
      <c r="DB115" s="17">
        <f t="shared" si="102"/>
        <v>3457.892484982503</v>
      </c>
      <c r="DC115" s="17">
        <f t="shared" si="103"/>
        <v>185.97068826796655</v>
      </c>
      <c r="DD115" s="17">
        <f t="shared" si="104"/>
        <v>6420.9048933038403</v>
      </c>
      <c r="DE115" s="17">
        <f t="shared" si="105"/>
        <v>2215.3813772835369</v>
      </c>
      <c r="DF115" s="17">
        <f t="shared" si="106"/>
        <v>2688.6739377066633</v>
      </c>
      <c r="DG115" s="17">
        <f t="shared" si="143"/>
        <v>81495.031639739333</v>
      </c>
      <c r="DH115" s="110">
        <f t="shared" si="144"/>
        <v>60200.981022176566</v>
      </c>
      <c r="DI115" s="17">
        <f t="shared" si="107"/>
        <v>54002.734507534537</v>
      </c>
      <c r="DJ115" s="17">
        <f t="shared" si="108"/>
        <v>5972.3851137405873</v>
      </c>
      <c r="DK115" s="17">
        <f t="shared" si="109"/>
        <v>225.86140090144534</v>
      </c>
      <c r="DL115" s="110">
        <f t="shared" si="145"/>
        <v>455549.25718341273</v>
      </c>
      <c r="DM115" s="17">
        <f t="shared" si="110"/>
        <v>189685.42631750388</v>
      </c>
      <c r="DN115" s="17">
        <f t="shared" si="111"/>
        <v>168211.60447023928</v>
      </c>
      <c r="DO115" s="17">
        <f t="shared" si="112"/>
        <v>97652.226395669553</v>
      </c>
      <c r="DP115" s="110">
        <f t="shared" si="146"/>
        <v>140778.4209657537</v>
      </c>
      <c r="DQ115" s="108">
        <f>DQ114</f>
        <v>2459.424</v>
      </c>
      <c r="DR115" s="17">
        <f t="shared" si="113"/>
        <v>137301.17245064504</v>
      </c>
      <c r="DS115" s="17">
        <f t="shared" si="114"/>
        <v>1017.8245151086724</v>
      </c>
      <c r="DT115" s="110">
        <f t="shared" si="147"/>
        <v>7213.8530316980132</v>
      </c>
      <c r="DU115" s="108">
        <f>(11379.03/(G114+G115)*G115)*1.2</f>
        <v>7213.8530316980132</v>
      </c>
      <c r="DV115" s="17">
        <f t="shared" si="115"/>
        <v>0</v>
      </c>
      <c r="DW115" s="17">
        <f t="shared" si="116"/>
        <v>0</v>
      </c>
      <c r="DX115" s="110">
        <f t="shared" si="117"/>
        <v>1633590.5605214054</v>
      </c>
      <c r="DY115" s="110"/>
      <c r="DZ115" s="110">
        <f t="shared" si="148"/>
        <v>1633590.5605214054</v>
      </c>
      <c r="EA115" s="257"/>
      <c r="EB115" s="110">
        <f t="shared" si="118"/>
        <v>886.55421686746979</v>
      </c>
      <c r="EC115" s="110">
        <f>SUMIF(еирц!$B:$B,$B:$B,еирц!$K:$K)</f>
        <v>1472877.2252613907</v>
      </c>
      <c r="ED115" s="110">
        <f>SUMIF(еирц!$B:$B,$B:$B,еирц!$P:$P)</f>
        <v>1488270.3430079648</v>
      </c>
      <c r="EE115" s="110">
        <f>SUMIF(еирц!$B:$B,$B:$B,еирц!$S:$S)</f>
        <v>188777.36883049566</v>
      </c>
      <c r="EF115" s="177">
        <f t="shared" si="149"/>
        <v>-159826.7810431472</v>
      </c>
      <c r="EG115" s="181">
        <f t="shared" si="152"/>
        <v>0</v>
      </c>
      <c r="EH115" s="177">
        <f t="shared" si="150"/>
        <v>-159826.7810431472</v>
      </c>
    </row>
    <row r="116" spans="1:138" ht="12" customHeight="1" x14ac:dyDescent="0.25">
      <c r="A116" s="5">
        <f t="shared" si="151"/>
        <v>112</v>
      </c>
      <c r="B116" s="6" t="s">
        <v>196</v>
      </c>
      <c r="C116" s="7">
        <f t="shared" si="84"/>
        <v>3025.3999999999996</v>
      </c>
      <c r="D116" s="8">
        <v>2989.7</v>
      </c>
      <c r="E116" s="8">
        <v>35.700000000000003</v>
      </c>
      <c r="F116" s="8">
        <v>325.35000000000002</v>
      </c>
      <c r="G116" s="87">
        <f t="shared" si="85"/>
        <v>3025.3999999999996</v>
      </c>
      <c r="H116" s="87">
        <f t="shared" si="86"/>
        <v>3025.3999999999996</v>
      </c>
      <c r="I116" s="91">
        <v>1</v>
      </c>
      <c r="J116" s="112">
        <v>4.7680931364222929E-3</v>
      </c>
      <c r="K116" s="17">
        <v>1</v>
      </c>
      <c r="L116" s="112">
        <f t="shared" si="119"/>
        <v>2.4096385542168672E-3</v>
      </c>
      <c r="M116" s="117">
        <f>3.40641700535111/2</f>
        <v>1.703208502675555</v>
      </c>
      <c r="N116" s="120">
        <f t="shared" si="120"/>
        <v>3025.3999999999996</v>
      </c>
      <c r="O116" s="117">
        <f>3.08623205487059/2</f>
        <v>1.5431160274352951</v>
      </c>
      <c r="P116" s="120">
        <f t="shared" si="121"/>
        <v>3025.3999999999996</v>
      </c>
      <c r="Q116" s="117">
        <f>1.60092735807001/2</f>
        <v>0.80046367903500504</v>
      </c>
      <c r="R116" s="120">
        <f t="shared" si="122"/>
        <v>3025.3999999999996</v>
      </c>
      <c r="S116" s="5" t="s">
        <v>143</v>
      </c>
      <c r="T116" s="87">
        <v>41.34</v>
      </c>
      <c r="U116" s="88">
        <v>4.68</v>
      </c>
      <c r="V116" s="88">
        <v>7.92</v>
      </c>
      <c r="W116" s="88">
        <v>12.32</v>
      </c>
      <c r="X116" s="88">
        <v>6.34</v>
      </c>
      <c r="Y116" s="88">
        <v>2.89</v>
      </c>
      <c r="Z116" s="88">
        <v>1.66</v>
      </c>
      <c r="AA116" s="88">
        <v>5.29</v>
      </c>
      <c r="AB116" s="88">
        <v>0.24</v>
      </c>
      <c r="AC116" s="257"/>
      <c r="AD116" s="110">
        <f t="shared" si="123"/>
        <v>61526.37220751906</v>
      </c>
      <c r="AE116" s="110">
        <f t="shared" si="124"/>
        <v>56307.092155210441</v>
      </c>
      <c r="AF116" s="131">
        <f>SUMIF('20.01'!$I:$I,$B:$B,'20.01'!$D:$D)*1.2/(G116+G117)*G116</f>
        <v>4258.3511442998824</v>
      </c>
      <c r="AG116" s="17">
        <f t="shared" si="83"/>
        <v>8070.6429208506779</v>
      </c>
      <c r="AH116" s="17">
        <f t="shared" si="125"/>
        <v>2310.1924048866863</v>
      </c>
      <c r="AI116" s="16">
        <f>SUMIF('20.01'!$J:$J,$B:$B,'20.01'!$D:$D)*1.2</f>
        <v>0</v>
      </c>
      <c r="AJ116" s="17">
        <f t="shared" si="126"/>
        <v>938.81025532089586</v>
      </c>
      <c r="AK116" s="17">
        <f t="shared" si="127"/>
        <v>2283.9167900773878</v>
      </c>
      <c r="AL116" s="17">
        <f t="shared" si="128"/>
        <v>38445.178639774917</v>
      </c>
      <c r="AM116" s="110">
        <f t="shared" si="129"/>
        <v>0</v>
      </c>
      <c r="AN116" s="17">
        <f>SUMIF('20.01'!$K:$K,$B:$B,'20.01'!$D:$D)*1.2</f>
        <v>0</v>
      </c>
      <c r="AO116" s="17">
        <f>SUMIF('20.01'!$L:$L,$B:$B,'20.01'!$D:$D)*1.2</f>
        <v>0</v>
      </c>
      <c r="AP116" s="17">
        <f>SUMIF('20.01'!$M:$M,$B:$B,'20.01'!$D:$D)*1.2</f>
        <v>0</v>
      </c>
      <c r="AQ116" s="110">
        <f t="shared" si="130"/>
        <v>849.87134424736689</v>
      </c>
      <c r="AR116" s="17">
        <f t="shared" si="131"/>
        <v>849.87134424736689</v>
      </c>
      <c r="AS116" s="17">
        <f>(SUMIF('20.01'!$N:$N,$B:$B,'20.01'!$D:$D)+SUMIF('20.01'!$O:$O,$B:$B,'20.01'!$D:$D))*1.2</f>
        <v>0</v>
      </c>
      <c r="AT116" s="110">
        <f>SUMIF('20.01'!$P:$P,$B:$B,'20.01'!$D:$D)*1.2</f>
        <v>0</v>
      </c>
      <c r="AU116" s="110">
        <f t="shared" si="132"/>
        <v>4369.4087080612526</v>
      </c>
      <c r="AV116" s="108">
        <f>SUMIF('20.01'!$Q:$Q,$B:$B,'20.01'!$D:$D)*1.2/(G116+G117)*G116</f>
        <v>4369.4087080612526</v>
      </c>
      <c r="AW116" s="17">
        <f>SUMIF('20.01'!$R:$R,$B:$B,'20.01'!$D:$D)*1.2</f>
        <v>0</v>
      </c>
      <c r="AX116" s="110">
        <f t="shared" si="133"/>
        <v>0</v>
      </c>
      <c r="AY116" s="17">
        <f>SUMIF('20.01'!$S:$S,$B:$B,'20.01'!$D:$D)*1.2</f>
        <v>0</v>
      </c>
      <c r="AZ116" s="17">
        <f>SUMIF('20.01'!$T:$T,$B:$B,'20.01'!$D:$D)*1.2</f>
        <v>0</v>
      </c>
      <c r="BA116" s="110">
        <f t="shared" si="134"/>
        <v>0</v>
      </c>
      <c r="BB116" s="17">
        <f>SUMIF('20.01'!$U:$U,$B:$B,'20.01'!$D:$D)*1.2</f>
        <v>0</v>
      </c>
      <c r="BC116" s="17">
        <f>SUMIF('20.01'!$V:$V,$B:$B,'20.01'!$D:$D)*1.2</f>
        <v>0</v>
      </c>
      <c r="BD116" s="17">
        <f>SUMIF('20.01'!$W:$W,$B:$B,'20.01'!$D:$D)*1.2</f>
        <v>0</v>
      </c>
      <c r="BE116" s="110">
        <f>SUMIF('20.01'!$X:$X,$B:$B,'20.01'!$D:$D)*1.2</f>
        <v>0</v>
      </c>
      <c r="BF116" s="110">
        <f t="shared" si="135"/>
        <v>0</v>
      </c>
      <c r="BG116" s="17">
        <f>SUMIF('20.01'!$Y:$Y,$B:$B,'20.01'!$D:$D)*1.2</f>
        <v>0</v>
      </c>
      <c r="BH116" s="17">
        <f>SUMIF('20.01'!$Z:$Z,$B:$B,'20.01'!$D:$D)*1.2</f>
        <v>0</v>
      </c>
      <c r="BI116" s="17">
        <f>SUMIF('20.01'!$AA:$AA,$B:$B,'20.01'!$D:$D)*1.2</f>
        <v>0</v>
      </c>
      <c r="BJ116" s="17">
        <f>SUMIF('20.01'!$AB:$AB,$B:$B,'20.01'!$D:$D)*1.2</f>
        <v>0</v>
      </c>
      <c r="BK116" s="17">
        <f>SUMIF('20.01'!$AC:$AC,$B:$B,'20.01'!$D:$D)*1.2</f>
        <v>0</v>
      </c>
      <c r="BL116" s="17">
        <f>SUMIF('20.01'!$AD:$AD,$B:$B,'20.01'!$D:$D)*1.2</f>
        <v>0</v>
      </c>
      <c r="BM116" s="110">
        <f t="shared" si="136"/>
        <v>0</v>
      </c>
      <c r="BN116" s="17">
        <f>SUMIF('20.01'!$AE:$AE,$B:$B,'20.01'!$D:$D)*1.2</f>
        <v>0</v>
      </c>
      <c r="BO116" s="17">
        <f>SUMIF('20.01'!$AF:$AF,$B:$B,'20.01'!$D:$D)*1.2</f>
        <v>0</v>
      </c>
      <c r="BP116" s="110">
        <f>SUMIF('20.01'!$AG:$AG,$B:$B,'20.01'!$D:$D)*1.2</f>
        <v>0</v>
      </c>
      <c r="BQ116" s="110">
        <f>SUMIF('20.01'!$AH:$AH,$B:$B,'20.01'!$D:$D)*1.2</f>
        <v>0</v>
      </c>
      <c r="BR116" s="110">
        <f>SUMIF('20.01'!$AI:$AI,$B:$B,'20.01'!$D:$D)*1.2</f>
        <v>0</v>
      </c>
      <c r="BS116" s="110">
        <f t="shared" si="137"/>
        <v>0</v>
      </c>
      <c r="BT116" s="17">
        <f>SUMIF('20.01'!$AJ:$AJ,$B:$B,'20.01'!$D:$D)*1.2</f>
        <v>0</v>
      </c>
      <c r="BU116" s="17">
        <f>SUMIF('20.01'!$AK:$AK,$B:$B,'20.01'!$D:$D)*1.2</f>
        <v>0</v>
      </c>
      <c r="BV116" s="110">
        <f>SUMIF('20.01'!$AL:$AL,$B:$B,'20.01'!$D:$D)*1.2</f>
        <v>0</v>
      </c>
      <c r="BW116" s="110">
        <f>SUMIF('20.01'!$AM:$AM,$B:$B,'20.01'!$D:$D)*1.2</f>
        <v>0</v>
      </c>
      <c r="BX116" s="110">
        <f>SUMIF('20.01'!$AN:$AN,$B:$B,'20.01'!$D:$D)*1.2</f>
        <v>0</v>
      </c>
      <c r="BY116" s="110">
        <f t="shared" si="87"/>
        <v>228873.00102368469</v>
      </c>
      <c r="BZ116" s="17">
        <f t="shared" si="82"/>
        <v>185409.26694653128</v>
      </c>
      <c r="CA116" s="17">
        <f t="shared" si="88"/>
        <v>18764.380383198812</v>
      </c>
      <c r="CB116" s="17">
        <f t="shared" si="89"/>
        <v>1247.3599038881343</v>
      </c>
      <c r="CC116" s="17">
        <f>SUMIF('20.01'!$AO:$AO,$B:$B,'20.01'!$D:$D)*1.2</f>
        <v>0</v>
      </c>
      <c r="CD116" s="17">
        <f t="shared" si="90"/>
        <v>19582.283608772581</v>
      </c>
      <c r="CE116" s="17">
        <f>SUMIF('20.01'!$AQ:$AQ,$B:$B,'20.01'!$D:$D)*1.2</f>
        <v>0</v>
      </c>
      <c r="CF116" s="17">
        <f t="shared" si="91"/>
        <v>1781.6782523060497</v>
      </c>
      <c r="CG116" s="17">
        <f>SUMIF('20.01'!$AR:$AR,$B:$B,'20.01'!$D:$D)*1.2</f>
        <v>0</v>
      </c>
      <c r="CH116" s="17">
        <f t="shared" si="92"/>
        <v>1049.2792098767052</v>
      </c>
      <c r="CI116" s="17">
        <f>SUMIF('20.01'!$AT:$AT,$B:$B,'20.01'!$D:$D)*1.2</f>
        <v>0</v>
      </c>
      <c r="CJ116" s="17">
        <f>SUMIF('20.01'!$AU:$AU,$B:$B,'20.01'!$D:$D)*1.2</f>
        <v>0</v>
      </c>
      <c r="CK116" s="17">
        <f>SUMIF('20.01'!$AV:$AV,$B:$B,'20.01'!$D:$D)*1.2</f>
        <v>0</v>
      </c>
      <c r="CL116" s="17">
        <f t="shared" si="93"/>
        <v>1038.7527191111308</v>
      </c>
      <c r="CM116" s="17">
        <f>SUMIF('20.01'!$AW:$AW,$B:$B,'20.01'!$D:$D)*1.2</f>
        <v>0</v>
      </c>
      <c r="CN116" s="17">
        <f>SUMIF('20.01'!$AX:$AX,$B:$B,'20.01'!$D:$D)*1.2</f>
        <v>0</v>
      </c>
      <c r="CO116" s="110">
        <f t="shared" si="138"/>
        <v>348461.4630272428</v>
      </c>
      <c r="CP116" s="17">
        <f t="shared" si="139"/>
        <v>274880.82057451725</v>
      </c>
      <c r="CQ116" s="17">
        <f t="shared" si="94"/>
        <v>84804.515408615218</v>
      </c>
      <c r="CR116" s="17">
        <f t="shared" si="95"/>
        <v>190076.30516590204</v>
      </c>
      <c r="CS116" s="17">
        <f t="shared" si="140"/>
        <v>73580.642452725573</v>
      </c>
      <c r="CT116" s="17">
        <f t="shared" si="96"/>
        <v>2680.6073513918013</v>
      </c>
      <c r="CU116" s="17">
        <f t="shared" si="97"/>
        <v>2592.7732238958488</v>
      </c>
      <c r="CV116" s="17">
        <f t="shared" si="98"/>
        <v>2679.6877946786863</v>
      </c>
      <c r="CW116" s="17">
        <f t="shared" si="99"/>
        <v>28.099476983232641</v>
      </c>
      <c r="CX116" s="17">
        <f t="shared" si="100"/>
        <v>39566.888617637713</v>
      </c>
      <c r="CY116" s="17">
        <f t="shared" si="101"/>
        <v>26032.585988138293</v>
      </c>
      <c r="CZ116" s="110">
        <f t="shared" si="141"/>
        <v>86497.257552279814</v>
      </c>
      <c r="DA116" s="17">
        <f t="shared" si="142"/>
        <v>3267.3810445619356</v>
      </c>
      <c r="DB116" s="17">
        <f t="shared" si="102"/>
        <v>3100.6247552063023</v>
      </c>
      <c r="DC116" s="17">
        <f t="shared" si="103"/>
        <v>166.75628935563304</v>
      </c>
      <c r="DD116" s="17">
        <f t="shared" si="104"/>
        <v>5757.500196858754</v>
      </c>
      <c r="DE116" s="17">
        <f t="shared" si="105"/>
        <v>1986.4892764770634</v>
      </c>
      <c r="DF116" s="17">
        <f t="shared" si="106"/>
        <v>2410.8814852216178</v>
      </c>
      <c r="DG116" s="17">
        <f t="shared" si="143"/>
        <v>73075.005549160443</v>
      </c>
      <c r="DH116" s="110">
        <f t="shared" si="144"/>
        <v>53981.04563855748</v>
      </c>
      <c r="DI116" s="17">
        <f t="shared" si="107"/>
        <v>48423.198867544445</v>
      </c>
      <c r="DJ116" s="17">
        <f t="shared" si="108"/>
        <v>5355.3212575906255</v>
      </c>
      <c r="DK116" s="17">
        <f t="shared" si="109"/>
        <v>202.52551342241631</v>
      </c>
      <c r="DL116" s="110">
        <f t="shared" si="145"/>
        <v>408482.13476072816</v>
      </c>
      <c r="DM116" s="17">
        <f t="shared" si="110"/>
        <v>170087.22251955429</v>
      </c>
      <c r="DN116" s="17">
        <f t="shared" si="111"/>
        <v>150832.06525318965</v>
      </c>
      <c r="DO116" s="17">
        <f t="shared" si="112"/>
        <v>87562.846987984187</v>
      </c>
      <c r="DP116" s="110">
        <f t="shared" si="146"/>
        <v>134144.71173188198</v>
      </c>
      <c r="DQ116" s="108">
        <f>SUMIF('20.01'!$BB:$BB,$B:$B,'20.01'!$D:$D)*1.2/2</f>
        <v>2459.424</v>
      </c>
      <c r="DR116" s="17">
        <f t="shared" si="113"/>
        <v>130716.27756644654</v>
      </c>
      <c r="DS116" s="17">
        <f t="shared" si="114"/>
        <v>969.01016543543756</v>
      </c>
      <c r="DT116" s="110">
        <f t="shared" si="147"/>
        <v>6794.9637045248937</v>
      </c>
      <c r="DU116" s="108">
        <f>(SUMIF('20.01'!$BD:$BD,$B:$B,'20.01'!$D:$D)/(G116+G117)*G116)*1.2</f>
        <v>6794.9637045248937</v>
      </c>
      <c r="DV116" s="17">
        <f t="shared" si="115"/>
        <v>0</v>
      </c>
      <c r="DW116" s="17">
        <f t="shared" si="116"/>
        <v>0</v>
      </c>
      <c r="DX116" s="110">
        <f t="shared" si="117"/>
        <v>1328760.9496464189</v>
      </c>
      <c r="DY116" s="110">
        <f>EC116*EG116</f>
        <v>189100.19876702351</v>
      </c>
      <c r="DZ116" s="110">
        <f t="shared" si="148"/>
        <v>1517861.1484134425</v>
      </c>
      <c r="EA116" s="257"/>
      <c r="EB116" s="110">
        <f t="shared" si="118"/>
        <v>886.55421686746979</v>
      </c>
      <c r="EC116" s="110">
        <f>SUMIF(еирц!$B:$B,$B:$B,еирц!$K:$K)</f>
        <v>1454616.9135924885</v>
      </c>
      <c r="ED116" s="110">
        <f>SUMIF(еирц!$B:$B,$B:$B,еирц!$P:$P)</f>
        <v>1468857.0020999336</v>
      </c>
      <c r="EE116" s="110">
        <f>SUMIF(еирц!$B:$B,$B:$B,еирц!$S:$S)</f>
        <v>296760.80263716076</v>
      </c>
      <c r="EF116" s="177">
        <f t="shared" si="149"/>
        <v>126742.51816293714</v>
      </c>
      <c r="EG116" s="183">
        <v>0.13</v>
      </c>
      <c r="EH116" s="177">
        <f t="shared" si="150"/>
        <v>-62357.68060408649</v>
      </c>
    </row>
    <row r="117" spans="1:138" ht="12" customHeight="1" x14ac:dyDescent="0.25">
      <c r="A117" s="5">
        <f t="shared" si="151"/>
        <v>113</v>
      </c>
      <c r="B117" s="6" t="s">
        <v>197</v>
      </c>
      <c r="C117" s="7">
        <f t="shared" si="84"/>
        <v>3054.3</v>
      </c>
      <c r="D117" s="8">
        <v>3054.3</v>
      </c>
      <c r="E117" s="8">
        <v>0</v>
      </c>
      <c r="F117" s="8">
        <v>328.45</v>
      </c>
      <c r="G117" s="87">
        <f t="shared" si="85"/>
        <v>3054.3</v>
      </c>
      <c r="H117" s="87">
        <f t="shared" si="86"/>
        <v>3054.3</v>
      </c>
      <c r="I117" s="91">
        <v>1</v>
      </c>
      <c r="J117" s="112">
        <v>4.7683599091185806E-3</v>
      </c>
      <c r="K117" s="17">
        <v>1</v>
      </c>
      <c r="L117" s="112">
        <f t="shared" si="119"/>
        <v>2.4096385542168672E-3</v>
      </c>
      <c r="M117" s="117">
        <f>M116</f>
        <v>1.703208502675555</v>
      </c>
      <c r="N117" s="120">
        <f t="shared" si="120"/>
        <v>3054.3</v>
      </c>
      <c r="O117" s="117">
        <f>O116</f>
        <v>1.5431160274352951</v>
      </c>
      <c r="P117" s="120">
        <f t="shared" si="121"/>
        <v>3054.3</v>
      </c>
      <c r="Q117" s="117">
        <f>Q116</f>
        <v>0.80046367903500504</v>
      </c>
      <c r="R117" s="120">
        <f t="shared" si="122"/>
        <v>3054.3</v>
      </c>
      <c r="S117" s="5" t="s">
        <v>143</v>
      </c>
      <c r="T117" s="87">
        <v>41.34</v>
      </c>
      <c r="U117" s="88">
        <v>4.68</v>
      </c>
      <c r="V117" s="88">
        <v>7.92</v>
      </c>
      <c r="W117" s="88">
        <v>12.32</v>
      </c>
      <c r="X117" s="88">
        <v>6.34</v>
      </c>
      <c r="Y117" s="88">
        <v>2.89</v>
      </c>
      <c r="Z117" s="88">
        <v>1.66</v>
      </c>
      <c r="AA117" s="88">
        <v>5.29</v>
      </c>
      <c r="AB117" s="88">
        <v>0.24</v>
      </c>
      <c r="AC117" s="257"/>
      <c r="AD117" s="110">
        <f t="shared" si="123"/>
        <v>62114.100163094314</v>
      </c>
      <c r="AE117" s="110">
        <f t="shared" si="124"/>
        <v>56844.963168394039</v>
      </c>
      <c r="AF117" s="131">
        <f>8557.38/(G116+G117)*G117</f>
        <v>4299.0288557001168</v>
      </c>
      <c r="AG117" s="17">
        <f t="shared" si="83"/>
        <v>8147.7373812237156</v>
      </c>
      <c r="AH117" s="17">
        <f t="shared" si="125"/>
        <v>2332.2604158939007</v>
      </c>
      <c r="AI117" s="16">
        <f>SUMIF('20.01'!$J:$J,$B:$B,'20.01'!$D:$D)*1.2</f>
        <v>0</v>
      </c>
      <c r="AJ117" s="17">
        <f t="shared" si="126"/>
        <v>947.77819885853535</v>
      </c>
      <c r="AK117" s="17">
        <f t="shared" si="127"/>
        <v>2305.7338044335843</v>
      </c>
      <c r="AL117" s="17">
        <f t="shared" si="128"/>
        <v>38812.424512284182</v>
      </c>
      <c r="AM117" s="110">
        <f t="shared" si="129"/>
        <v>0</v>
      </c>
      <c r="AN117" s="17">
        <f>SUMIF('20.01'!$K:$K,$B:$B,'20.01'!$D:$D)*1.2</f>
        <v>0</v>
      </c>
      <c r="AO117" s="17">
        <f>SUMIF('20.01'!$L:$L,$B:$B,'20.01'!$D:$D)*1.2</f>
        <v>0</v>
      </c>
      <c r="AP117" s="17">
        <f>SUMIF('20.01'!$M:$M,$B:$B,'20.01'!$D:$D)*1.2</f>
        <v>0</v>
      </c>
      <c r="AQ117" s="110">
        <f t="shared" si="130"/>
        <v>857.98970276153011</v>
      </c>
      <c r="AR117" s="17">
        <f t="shared" si="131"/>
        <v>857.98970276153011</v>
      </c>
      <c r="AS117" s="17">
        <f>(SUMIF('20.01'!$N:$N,$B:$B,'20.01'!$D:$D)+SUMIF('20.01'!$O:$O,$B:$B,'20.01'!$D:$D))*1.2</f>
        <v>0</v>
      </c>
      <c r="AT117" s="110">
        <f>SUMIF('20.01'!$P:$P,$B:$B,'20.01'!$D:$D)*1.2</f>
        <v>0</v>
      </c>
      <c r="AU117" s="110">
        <f t="shared" si="132"/>
        <v>4411.1472919387479</v>
      </c>
      <c r="AV117" s="108">
        <f>8780.556/(G116+G117)*G117</f>
        <v>4411.1472919387479</v>
      </c>
      <c r="AW117" s="17">
        <f>SUMIF('20.01'!$R:$R,$B:$B,'20.01'!$D:$D)*1.2</f>
        <v>0</v>
      </c>
      <c r="AX117" s="110">
        <f t="shared" si="133"/>
        <v>0</v>
      </c>
      <c r="AY117" s="17">
        <f>SUMIF('20.01'!$S:$S,$B:$B,'20.01'!$D:$D)*1.2</f>
        <v>0</v>
      </c>
      <c r="AZ117" s="17">
        <f>SUMIF('20.01'!$T:$T,$B:$B,'20.01'!$D:$D)*1.2</f>
        <v>0</v>
      </c>
      <c r="BA117" s="110">
        <f t="shared" si="134"/>
        <v>0</v>
      </c>
      <c r="BB117" s="17">
        <f>SUMIF('20.01'!$U:$U,$B:$B,'20.01'!$D:$D)*1.2</f>
        <v>0</v>
      </c>
      <c r="BC117" s="17">
        <f>SUMIF('20.01'!$V:$V,$B:$B,'20.01'!$D:$D)*1.2</f>
        <v>0</v>
      </c>
      <c r="BD117" s="17">
        <f>SUMIF('20.01'!$W:$W,$B:$B,'20.01'!$D:$D)*1.2</f>
        <v>0</v>
      </c>
      <c r="BE117" s="110">
        <f>SUMIF('20.01'!$X:$X,$B:$B,'20.01'!$D:$D)*1.2</f>
        <v>0</v>
      </c>
      <c r="BF117" s="110">
        <f t="shared" si="135"/>
        <v>0</v>
      </c>
      <c r="BG117" s="17">
        <f>SUMIF('20.01'!$Y:$Y,$B:$B,'20.01'!$D:$D)*1.2</f>
        <v>0</v>
      </c>
      <c r="BH117" s="17">
        <f>SUMIF('20.01'!$Z:$Z,$B:$B,'20.01'!$D:$D)*1.2</f>
        <v>0</v>
      </c>
      <c r="BI117" s="17">
        <f>SUMIF('20.01'!$AA:$AA,$B:$B,'20.01'!$D:$D)*1.2</f>
        <v>0</v>
      </c>
      <c r="BJ117" s="17">
        <f>SUMIF('20.01'!$AB:$AB,$B:$B,'20.01'!$D:$D)*1.2</f>
        <v>0</v>
      </c>
      <c r="BK117" s="17">
        <f>SUMIF('20.01'!$AC:$AC,$B:$B,'20.01'!$D:$D)*1.2</f>
        <v>0</v>
      </c>
      <c r="BL117" s="17">
        <f>SUMIF('20.01'!$AD:$AD,$B:$B,'20.01'!$D:$D)*1.2</f>
        <v>0</v>
      </c>
      <c r="BM117" s="110">
        <f t="shared" si="136"/>
        <v>0</v>
      </c>
      <c r="BN117" s="17">
        <f>SUMIF('20.01'!$AE:$AE,$B:$B,'20.01'!$D:$D)*1.2</f>
        <v>0</v>
      </c>
      <c r="BO117" s="17">
        <f>SUMIF('20.01'!$AF:$AF,$B:$B,'20.01'!$D:$D)*1.2</f>
        <v>0</v>
      </c>
      <c r="BP117" s="110">
        <f>SUMIF('20.01'!$AG:$AG,$B:$B,'20.01'!$D:$D)*1.2</f>
        <v>0</v>
      </c>
      <c r="BQ117" s="110">
        <f>SUMIF('20.01'!$AH:$AH,$B:$B,'20.01'!$D:$D)*1.2</f>
        <v>0</v>
      </c>
      <c r="BR117" s="110">
        <f>SUMIF('20.01'!$AI:$AI,$B:$B,'20.01'!$D:$D)*1.2</f>
        <v>0</v>
      </c>
      <c r="BS117" s="110">
        <f t="shared" si="137"/>
        <v>0</v>
      </c>
      <c r="BT117" s="17">
        <f>SUMIF('20.01'!$AJ:$AJ,$B:$B,'20.01'!$D:$D)*1.2</f>
        <v>0</v>
      </c>
      <c r="BU117" s="17">
        <f>SUMIF('20.01'!$AK:$AK,$B:$B,'20.01'!$D:$D)*1.2</f>
        <v>0</v>
      </c>
      <c r="BV117" s="110">
        <f>SUMIF('20.01'!$AL:$AL,$B:$B,'20.01'!$D:$D)*1.2</f>
        <v>0</v>
      </c>
      <c r="BW117" s="110">
        <f>SUMIF('20.01'!$AM:$AM,$B:$B,'20.01'!$D:$D)*1.2</f>
        <v>0</v>
      </c>
      <c r="BX117" s="110">
        <f>SUMIF('20.01'!$AN:$AN,$B:$B,'20.01'!$D:$D)*1.2</f>
        <v>0</v>
      </c>
      <c r="BY117" s="110">
        <f t="shared" si="87"/>
        <v>231059.30026662268</v>
      </c>
      <c r="BZ117" s="17">
        <f t="shared" si="82"/>
        <v>187180.3807875952</v>
      </c>
      <c r="CA117" s="17">
        <f t="shared" si="88"/>
        <v>18943.626298804833</v>
      </c>
      <c r="CB117" s="17">
        <f t="shared" si="89"/>
        <v>1259.2752543285283</v>
      </c>
      <c r="CC117" s="17">
        <f>SUMIF('20.01'!$AO:$AO,$B:$B,'20.01'!$D:$D)*1.2</f>
        <v>0</v>
      </c>
      <c r="CD117" s="17">
        <f t="shared" si="90"/>
        <v>19769.342508849772</v>
      </c>
      <c r="CE117" s="17">
        <f>SUMIF('20.01'!$AQ:$AQ,$B:$B,'20.01'!$D:$D)*1.2</f>
        <v>0</v>
      </c>
      <c r="CF117" s="17">
        <f t="shared" si="91"/>
        <v>1798.6976551921625</v>
      </c>
      <c r="CG117" s="17">
        <f>SUMIF('20.01'!$AR:$AR,$B:$B,'20.01'!$D:$D)*1.2</f>
        <v>0</v>
      </c>
      <c r="CH117" s="17">
        <f t="shared" si="92"/>
        <v>1059.3024032281421</v>
      </c>
      <c r="CI117" s="17">
        <f>SUMIF('20.01'!$AT:$AT,$B:$B,'20.01'!$D:$D)*1.2</f>
        <v>0</v>
      </c>
      <c r="CJ117" s="17">
        <f>SUMIF('20.01'!$AU:$AU,$B:$B,'20.01'!$D:$D)*1.2</f>
        <v>0</v>
      </c>
      <c r="CK117" s="17">
        <f>SUMIF('20.01'!$AV:$AV,$B:$B,'20.01'!$D:$D)*1.2</f>
        <v>0</v>
      </c>
      <c r="CL117" s="17">
        <f t="shared" si="93"/>
        <v>1048.6753586240256</v>
      </c>
      <c r="CM117" s="17">
        <f>SUMIF('20.01'!$AW:$AW,$B:$B,'20.01'!$D:$D)*1.2</f>
        <v>0</v>
      </c>
      <c r="CN117" s="17">
        <f>SUMIF('20.01'!$AX:$AX,$B:$B,'20.01'!$D:$D)*1.2</f>
        <v>0</v>
      </c>
      <c r="CO117" s="110">
        <f t="shared" si="138"/>
        <v>351790.12577646197</v>
      </c>
      <c r="CP117" s="17">
        <f t="shared" si="139"/>
        <v>277506.60748355533</v>
      </c>
      <c r="CQ117" s="17">
        <f t="shared" si="94"/>
        <v>85614.606799938352</v>
      </c>
      <c r="CR117" s="17">
        <f t="shared" si="95"/>
        <v>191892.00068361696</v>
      </c>
      <c r="CS117" s="17">
        <f t="shared" si="140"/>
        <v>74283.518292906636</v>
      </c>
      <c r="CT117" s="17">
        <f t="shared" si="96"/>
        <v>2706.2137348304291</v>
      </c>
      <c r="CU117" s="17">
        <f t="shared" si="97"/>
        <v>2617.540575707375</v>
      </c>
      <c r="CV117" s="17">
        <f t="shared" si="98"/>
        <v>2705.2853940923887</v>
      </c>
      <c r="CW117" s="17">
        <f t="shared" si="99"/>
        <v>28.367895997186313</v>
      </c>
      <c r="CX117" s="17">
        <f t="shared" si="100"/>
        <v>39944.849575213484</v>
      </c>
      <c r="CY117" s="17">
        <f t="shared" si="101"/>
        <v>26281.261117065776</v>
      </c>
      <c r="CZ117" s="110">
        <f t="shared" si="141"/>
        <v>87323.518788235699</v>
      </c>
      <c r="DA117" s="17">
        <f t="shared" si="142"/>
        <v>3298.592557812362</v>
      </c>
      <c r="DB117" s="17">
        <f t="shared" si="102"/>
        <v>3130.2433363610135</v>
      </c>
      <c r="DC117" s="17">
        <f t="shared" si="103"/>
        <v>168.34922145134863</v>
      </c>
      <c r="DD117" s="17">
        <f t="shared" si="104"/>
        <v>5812.4984634315115</v>
      </c>
      <c r="DE117" s="17">
        <f t="shared" si="105"/>
        <v>2005.4651276339976</v>
      </c>
      <c r="DF117" s="17">
        <f t="shared" si="106"/>
        <v>2433.9113242256853</v>
      </c>
      <c r="DG117" s="17">
        <f t="shared" si="143"/>
        <v>73773.051315132136</v>
      </c>
      <c r="DH117" s="110">
        <f t="shared" si="144"/>
        <v>54496.6971950308</v>
      </c>
      <c r="DI117" s="17">
        <f t="shared" si="107"/>
        <v>48885.759337985401</v>
      </c>
      <c r="DJ117" s="17">
        <f t="shared" si="108"/>
        <v>5406.4777275927318</v>
      </c>
      <c r="DK117" s="17">
        <f t="shared" si="109"/>
        <v>204.46012945266287</v>
      </c>
      <c r="DL117" s="110">
        <f t="shared" si="145"/>
        <v>412384.14232818538</v>
      </c>
      <c r="DM117" s="17">
        <f t="shared" si="110"/>
        <v>171711.97320733612</v>
      </c>
      <c r="DN117" s="17">
        <f t="shared" si="111"/>
        <v>152272.88190084524</v>
      </c>
      <c r="DO117" s="17">
        <f t="shared" si="112"/>
        <v>88399.287220004015</v>
      </c>
      <c r="DP117" s="110">
        <f t="shared" si="146"/>
        <v>134152.07946532688</v>
      </c>
      <c r="DQ117" s="108">
        <f>DQ116</f>
        <v>2459.424</v>
      </c>
      <c r="DR117" s="17">
        <f t="shared" si="113"/>
        <v>130723.59108420246</v>
      </c>
      <c r="DS117" s="17">
        <f t="shared" si="114"/>
        <v>969.06438112442834</v>
      </c>
      <c r="DT117" s="110">
        <f t="shared" si="147"/>
        <v>6859.8722954751065</v>
      </c>
      <c r="DU117" s="108">
        <f>(11379.03/(G116+G117)*G117)*1.2</f>
        <v>6859.8722954751065</v>
      </c>
      <c r="DV117" s="17">
        <f t="shared" si="115"/>
        <v>0</v>
      </c>
      <c r="DW117" s="17">
        <f t="shared" si="116"/>
        <v>0</v>
      </c>
      <c r="DX117" s="110">
        <f t="shared" si="117"/>
        <v>1340179.8362784327</v>
      </c>
      <c r="DY117" s="110">
        <f>EC117*EG117</f>
        <v>193186.18493297652</v>
      </c>
      <c r="DZ117" s="110">
        <f t="shared" si="148"/>
        <v>1533366.0212114092</v>
      </c>
      <c r="EA117" s="257"/>
      <c r="EB117" s="110">
        <f t="shared" si="118"/>
        <v>886.55421686746979</v>
      </c>
      <c r="EC117" s="110">
        <f>SUMIF(еирц!$B:$B,$B:$B,еирц!$K:$K)</f>
        <v>1486047.5764075117</v>
      </c>
      <c r="ED117" s="110">
        <f>SUMIF(еирц!$B:$B,$B:$B,еирц!$P:$P)</f>
        <v>1500595.3579000663</v>
      </c>
      <c r="EE117" s="110">
        <f>SUMIF(еирц!$B:$B,$B:$B,еирц!$S:$S)</f>
        <v>303173.06736283912</v>
      </c>
      <c r="EF117" s="177">
        <f t="shared" si="149"/>
        <v>146754.29434594652</v>
      </c>
      <c r="EG117" s="183">
        <v>0.13</v>
      </c>
      <c r="EH117" s="177">
        <f t="shared" si="150"/>
        <v>-46431.890587029979</v>
      </c>
    </row>
    <row r="118" spans="1:138" ht="12" customHeight="1" x14ac:dyDescent="0.25">
      <c r="A118" s="5">
        <f t="shared" si="151"/>
        <v>114</v>
      </c>
      <c r="B118" s="6" t="s">
        <v>198</v>
      </c>
      <c r="C118" s="7">
        <f t="shared" si="84"/>
        <v>7564.7</v>
      </c>
      <c r="D118" s="8">
        <v>6815.8</v>
      </c>
      <c r="E118" s="8">
        <v>748.9</v>
      </c>
      <c r="F118" s="8">
        <v>613.20000000000005</v>
      </c>
      <c r="G118" s="87">
        <f t="shared" si="85"/>
        <v>7564.7</v>
      </c>
      <c r="H118" s="87">
        <f t="shared" si="86"/>
        <v>7564.7</v>
      </c>
      <c r="I118" s="91">
        <v>4</v>
      </c>
      <c r="J118" s="112">
        <v>1.1887150484910122E-2</v>
      </c>
      <c r="K118" s="17">
        <v>4</v>
      </c>
      <c r="L118" s="112">
        <f t="shared" si="119"/>
        <v>9.638554216867469E-3</v>
      </c>
      <c r="M118" s="116">
        <v>3.4064175252692084</v>
      </c>
      <c r="N118" s="120">
        <f t="shared" si="120"/>
        <v>7564.7</v>
      </c>
      <c r="O118" s="116">
        <v>3.0862323155182665</v>
      </c>
      <c r="P118" s="120">
        <f t="shared" si="121"/>
        <v>7564.7</v>
      </c>
      <c r="Q118" s="116">
        <v>1.6009274968619938</v>
      </c>
      <c r="R118" s="120">
        <f t="shared" si="122"/>
        <v>7564.7</v>
      </c>
      <c r="S118" s="5" t="s">
        <v>143</v>
      </c>
      <c r="T118" s="87">
        <v>41.34</v>
      </c>
      <c r="U118" s="88">
        <v>4.68</v>
      </c>
      <c r="V118" s="88">
        <v>7.92</v>
      </c>
      <c r="W118" s="88">
        <v>12.32</v>
      </c>
      <c r="X118" s="88">
        <v>6.34</v>
      </c>
      <c r="Y118" s="88">
        <v>2.89</v>
      </c>
      <c r="Z118" s="88">
        <v>1.66</v>
      </c>
      <c r="AA118" s="88">
        <v>5.29</v>
      </c>
      <c r="AB118" s="88">
        <v>0.24</v>
      </c>
      <c r="AC118" s="257"/>
      <c r="AD118" s="110">
        <f t="shared" si="123"/>
        <v>2945586.932686938</v>
      </c>
      <c r="AE118" s="110">
        <f t="shared" si="124"/>
        <v>270254.59323184873</v>
      </c>
      <c r="AF118" s="16">
        <f>SUMIF('20.01'!$I:$I,$B:$B,'20.01'!$D:$D)*1.2</f>
        <v>140112.09599999999</v>
      </c>
      <c r="AG118" s="17">
        <f t="shared" si="83"/>
        <v>20179.808456190629</v>
      </c>
      <c r="AH118" s="17">
        <f t="shared" si="125"/>
        <v>5776.397331012864</v>
      </c>
      <c r="AI118" s="16">
        <f>SUMIF('20.01'!$J:$J,$B:$B,'20.01'!$D:$D)*1.2</f>
        <v>0</v>
      </c>
      <c r="AJ118" s="17">
        <f t="shared" si="126"/>
        <v>2347.398009660204</v>
      </c>
      <c r="AK118" s="17">
        <f t="shared" si="127"/>
        <v>5710.697871983346</v>
      </c>
      <c r="AL118" s="17">
        <f t="shared" si="128"/>
        <v>96128.195563001704</v>
      </c>
      <c r="AM118" s="110">
        <f t="shared" si="129"/>
        <v>0</v>
      </c>
      <c r="AN118" s="17">
        <f>SUMIF('20.01'!$K:$K,$B:$B,'20.01'!$D:$D)*1.2</f>
        <v>0</v>
      </c>
      <c r="AO118" s="17">
        <f>SUMIF('20.01'!$L:$L,$B:$B,'20.01'!$D:$D)*1.2</f>
        <v>0</v>
      </c>
      <c r="AP118" s="17">
        <f>SUMIF('20.01'!$M:$M,$B:$B,'20.01'!$D:$D)*1.2</f>
        <v>0</v>
      </c>
      <c r="AQ118" s="110">
        <f t="shared" si="130"/>
        <v>2125.0154550895941</v>
      </c>
      <c r="AR118" s="17">
        <f t="shared" si="131"/>
        <v>2125.0154550895941</v>
      </c>
      <c r="AS118" s="17">
        <f>(SUMIF('20.01'!$N:$N,$B:$B,'20.01'!$D:$D)+SUMIF('20.01'!$O:$O,$B:$B,'20.01'!$D:$D))*1.2</f>
        <v>0</v>
      </c>
      <c r="AT118" s="110">
        <f>SUMIF('20.01'!$P:$P,$B:$B,'20.01'!$D:$D)*1.2</f>
        <v>0</v>
      </c>
      <c r="AU118" s="110">
        <f t="shared" si="132"/>
        <v>0</v>
      </c>
      <c r="AV118" s="17">
        <f>SUMIF('20.01'!$Q:$Q,$B:$B,'20.01'!$D:$D)*1.2</f>
        <v>0</v>
      </c>
      <c r="AW118" s="17">
        <f>SUMIF('20.01'!$R:$R,$B:$B,'20.01'!$D:$D)*1.2</f>
        <v>0</v>
      </c>
      <c r="AX118" s="110">
        <f t="shared" si="133"/>
        <v>56443.631999999998</v>
      </c>
      <c r="AY118" s="17">
        <f>SUMIF('20.01'!$S:$S,$B:$B,'20.01'!$D:$D)*1.2</f>
        <v>56443.631999999998</v>
      </c>
      <c r="AZ118" s="17">
        <f>SUMIF('20.01'!$T:$T,$B:$B,'20.01'!$D:$D)*1.2</f>
        <v>0</v>
      </c>
      <c r="BA118" s="110">
        <f t="shared" si="134"/>
        <v>0</v>
      </c>
      <c r="BB118" s="17">
        <f>SUMIF('20.01'!$U:$U,$B:$B,'20.01'!$D:$D)*1.2</f>
        <v>0</v>
      </c>
      <c r="BC118" s="17">
        <f>SUMIF('20.01'!$V:$V,$B:$B,'20.01'!$D:$D)*1.2</f>
        <v>0</v>
      </c>
      <c r="BD118" s="17">
        <f>SUMIF('20.01'!$W:$W,$B:$B,'20.01'!$D:$D)*1.2</f>
        <v>0</v>
      </c>
      <c r="BE118" s="110">
        <f>SUMIF('20.01'!$X:$X,$B:$B,'20.01'!$D:$D)*1.2</f>
        <v>126700.00799999999</v>
      </c>
      <c r="BF118" s="110">
        <f t="shared" si="135"/>
        <v>2490063.6839999999</v>
      </c>
      <c r="BG118" s="17">
        <f>SUMIF('20.01'!$Y:$Y,$B:$B,'20.01'!$D:$D)*1.2</f>
        <v>0</v>
      </c>
      <c r="BH118" s="17">
        <f>SUMIF('20.01'!$Z:$Z,$B:$B,'20.01'!$D:$D)*1.2</f>
        <v>2488863.6839999999</v>
      </c>
      <c r="BI118" s="17">
        <f>SUMIF('20.01'!$AA:$AA,$B:$B,'20.01'!$D:$D)*1.2</f>
        <v>0</v>
      </c>
      <c r="BJ118" s="17">
        <f>SUMIF('20.01'!$AB:$AB,$B:$B,'20.01'!$D:$D)*1.2</f>
        <v>0</v>
      </c>
      <c r="BK118" s="17">
        <f>SUMIF('20.01'!$AC:$AC,$B:$B,'20.01'!$D:$D)*1.2</f>
        <v>0</v>
      </c>
      <c r="BL118" s="17">
        <f>SUMIF('20.01'!$AD:$AD,$B:$B,'20.01'!$D:$D)*1.2</f>
        <v>1200</v>
      </c>
      <c r="BM118" s="110">
        <f t="shared" si="136"/>
        <v>0</v>
      </c>
      <c r="BN118" s="17">
        <f>SUMIF('20.01'!$AE:$AE,$B:$B,'20.01'!$D:$D)*1.2</f>
        <v>0</v>
      </c>
      <c r="BO118" s="17">
        <f>SUMIF('20.01'!$AF:$AF,$B:$B,'20.01'!$D:$D)*1.2</f>
        <v>0</v>
      </c>
      <c r="BP118" s="110">
        <f>SUMIF('20.01'!$AG:$AG,$B:$B,'20.01'!$D:$D)*1.2</f>
        <v>0</v>
      </c>
      <c r="BQ118" s="110">
        <f>SUMIF('20.01'!$AH:$AH,$B:$B,'20.01'!$D:$D)*1.2</f>
        <v>0</v>
      </c>
      <c r="BR118" s="110">
        <f>SUMIF('20.01'!$AI:$AI,$B:$B,'20.01'!$D:$D)*1.2</f>
        <v>0</v>
      </c>
      <c r="BS118" s="110">
        <f t="shared" si="137"/>
        <v>0</v>
      </c>
      <c r="BT118" s="17">
        <f>SUMIF('20.01'!$AJ:$AJ,$B:$B,'20.01'!$D:$D)*1.2</f>
        <v>0</v>
      </c>
      <c r="BU118" s="17">
        <f>SUMIF('20.01'!$AK:$AK,$B:$B,'20.01'!$D:$D)*1.2</f>
        <v>0</v>
      </c>
      <c r="BV118" s="110">
        <f>SUMIF('20.01'!$AL:$AL,$B:$B,'20.01'!$D:$D)*1.2</f>
        <v>0</v>
      </c>
      <c r="BW118" s="110">
        <f>SUMIF('20.01'!$AM:$AM,$B:$B,'20.01'!$D:$D)*1.2</f>
        <v>0</v>
      </c>
      <c r="BX118" s="110">
        <f>SUMIF('20.01'!$AN:$AN,$B:$B,'20.01'!$D:$D)*1.2</f>
        <v>0</v>
      </c>
      <c r="BY118" s="110">
        <f t="shared" si="87"/>
        <v>587873.28315061412</v>
      </c>
      <c r="BZ118" s="17">
        <f t="shared" si="82"/>
        <v>463596.70842547272</v>
      </c>
      <c r="CA118" s="17">
        <f t="shared" si="88"/>
        <v>46918.393694977218</v>
      </c>
      <c r="CB118" s="17">
        <f t="shared" si="89"/>
        <v>3118.8945147559234</v>
      </c>
      <c r="CC118" s="17">
        <f>SUMIF('20.01'!$AO:$AO,$B:$B,'20.01'!$D:$D)*1.2</f>
        <v>0</v>
      </c>
      <c r="CD118" s="17">
        <f t="shared" si="90"/>
        <v>48963.476173491756</v>
      </c>
      <c r="CE118" s="17">
        <f>SUMIF('20.01'!$AQ:$AQ,$B:$B,'20.01'!$D:$D)*1.2</f>
        <v>0</v>
      </c>
      <c r="CF118" s="17">
        <f t="shared" si="91"/>
        <v>4454.9023187742359</v>
      </c>
      <c r="CG118" s="17">
        <f>SUMIF('20.01'!$AR:$AR,$B:$B,'20.01'!$D:$D)*1.2</f>
        <v>0</v>
      </c>
      <c r="CH118" s="17">
        <f t="shared" si="92"/>
        <v>2623.6142126509926</v>
      </c>
      <c r="CI118" s="17">
        <f>SUMIF('20.01'!$AT:$AT,$B:$B,'20.01'!$D:$D)*1.2</f>
        <v>15600</v>
      </c>
      <c r="CJ118" s="17">
        <f>SUMIF('20.01'!$AU:$AU,$B:$B,'20.01'!$D:$D)*1.2</f>
        <v>0</v>
      </c>
      <c r="CK118" s="17">
        <f>SUMIF('20.01'!$AV:$AV,$B:$B,'20.01'!$D:$D)*1.2</f>
        <v>0</v>
      </c>
      <c r="CL118" s="17">
        <f t="shared" si="93"/>
        <v>2597.2938104911655</v>
      </c>
      <c r="CM118" s="17">
        <f>SUMIF('20.01'!$AW:$AW,$B:$B,'20.01'!$D:$D)*1.2</f>
        <v>0</v>
      </c>
      <c r="CN118" s="17">
        <f>SUMIF('20.01'!$AX:$AX,$B:$B,'20.01'!$D:$D)*1.2</f>
        <v>0</v>
      </c>
      <c r="CO118" s="110">
        <f t="shared" si="138"/>
        <v>871291.87193831697</v>
      </c>
      <c r="CP118" s="17">
        <f t="shared" si="139"/>
        <v>687311.08065050934</v>
      </c>
      <c r="CQ118" s="17">
        <f t="shared" si="94"/>
        <v>212044.92553432655</v>
      </c>
      <c r="CR118" s="17">
        <f t="shared" si="95"/>
        <v>475266.15511618275</v>
      </c>
      <c r="CS118" s="17">
        <f t="shared" si="140"/>
        <v>183980.79128780763</v>
      </c>
      <c r="CT118" s="17">
        <f t="shared" si="96"/>
        <v>6702.5816193143255</v>
      </c>
      <c r="CU118" s="17">
        <f t="shared" si="97"/>
        <v>6482.9614618909663</v>
      </c>
      <c r="CV118" s="17">
        <f t="shared" si="98"/>
        <v>6700.2823627969392</v>
      </c>
      <c r="CW118" s="17">
        <f t="shared" si="99"/>
        <v>70.259837884266531</v>
      </c>
      <c r="CX118" s="17">
        <f t="shared" si="100"/>
        <v>98932.915424685663</v>
      </c>
      <c r="CY118" s="17">
        <f t="shared" si="101"/>
        <v>65091.790581235458</v>
      </c>
      <c r="CZ118" s="110">
        <f t="shared" si="141"/>
        <v>216277.45230572193</v>
      </c>
      <c r="DA118" s="17">
        <f t="shared" si="142"/>
        <v>8169.7485911937838</v>
      </c>
      <c r="DB118" s="17">
        <f t="shared" si="102"/>
        <v>7752.7917252955367</v>
      </c>
      <c r="DC118" s="17">
        <f t="shared" si="103"/>
        <v>416.95686589824732</v>
      </c>
      <c r="DD118" s="17">
        <f t="shared" si="104"/>
        <v>14396.03415719489</v>
      </c>
      <c r="DE118" s="17">
        <f t="shared" si="105"/>
        <v>4967.0111158081718</v>
      </c>
      <c r="DF118" s="17">
        <f t="shared" si="106"/>
        <v>6028.1599693448716</v>
      </c>
      <c r="DG118" s="17">
        <f t="shared" si="143"/>
        <v>182716.49847218022</v>
      </c>
      <c r="DH118" s="110">
        <f t="shared" si="144"/>
        <v>134974.02523368676</v>
      </c>
      <c r="DI118" s="17">
        <f t="shared" si="107"/>
        <v>121077.20383199363</v>
      </c>
      <c r="DJ118" s="17">
        <f t="shared" si="108"/>
        <v>13390.427288059698</v>
      </c>
      <c r="DK118" s="17">
        <f t="shared" si="109"/>
        <v>506.39411363342134</v>
      </c>
      <c r="DL118" s="110">
        <f t="shared" si="145"/>
        <v>1021367.3579772857</v>
      </c>
      <c r="DM118" s="17">
        <f t="shared" si="110"/>
        <v>425285.51999526424</v>
      </c>
      <c r="DN118" s="17">
        <f t="shared" si="111"/>
        <v>377139.98942976265</v>
      </c>
      <c r="DO118" s="17">
        <f t="shared" si="112"/>
        <v>218941.84855225889</v>
      </c>
      <c r="DP118" s="110">
        <f t="shared" si="146"/>
        <v>338684.11018289119</v>
      </c>
      <c r="DQ118" s="17">
        <f>SUMIF('20.01'!$BB:$BB,$B:$B,'20.01'!$D:$D)*1.2</f>
        <v>10384.56</v>
      </c>
      <c r="DR118" s="17">
        <f t="shared" si="113"/>
        <v>325883.74803130369</v>
      </c>
      <c r="DS118" s="17">
        <f t="shared" si="114"/>
        <v>2415.8021515875275</v>
      </c>
      <c r="DT118" s="110">
        <f t="shared" si="147"/>
        <v>12327.276</v>
      </c>
      <c r="DU118" s="17">
        <f>SUMIF('20.01'!$BD:$BD,$B:$B,'20.01'!$D:$D)*1.2</f>
        <v>12327.276</v>
      </c>
      <c r="DV118" s="17">
        <f t="shared" si="115"/>
        <v>0</v>
      </c>
      <c r="DW118" s="17">
        <f t="shared" si="116"/>
        <v>0</v>
      </c>
      <c r="DX118" s="110">
        <f t="shared" si="117"/>
        <v>6128382.3094754554</v>
      </c>
      <c r="DY118" s="110"/>
      <c r="DZ118" s="110">
        <f t="shared" si="148"/>
        <v>6128382.3094754554</v>
      </c>
      <c r="EA118" s="257"/>
      <c r="EB118" s="110">
        <f t="shared" si="118"/>
        <v>3546.2168674698792</v>
      </c>
      <c r="EC118" s="110">
        <f>SUMIF(еирц!$B:$B,$B:$B,еирц!$K:$K)</f>
        <v>3316309.5300000003</v>
      </c>
      <c r="ED118" s="110">
        <f>SUMIF(еирц!$B:$B,$B:$B,еирц!$P:$P)</f>
        <v>3279325.02</v>
      </c>
      <c r="EE118" s="110">
        <f>SUMIF(еирц!$B:$B,$B:$B,еирц!$S:$S)</f>
        <v>600544.65</v>
      </c>
      <c r="EF118" s="177">
        <f t="shared" si="149"/>
        <v>-2808526.5626079855</v>
      </c>
      <c r="EG118" s="181">
        <f t="shared" si="152"/>
        <v>0</v>
      </c>
      <c r="EH118" s="177">
        <f t="shared" si="150"/>
        <v>-2808526.5626079855</v>
      </c>
    </row>
    <row r="119" spans="1:138" ht="12" customHeight="1" x14ac:dyDescent="0.25">
      <c r="A119" s="5">
        <f t="shared" si="151"/>
        <v>115</v>
      </c>
      <c r="B119" s="6" t="s">
        <v>199</v>
      </c>
      <c r="C119" s="7">
        <f t="shared" si="84"/>
        <v>3463.8</v>
      </c>
      <c r="D119" s="8">
        <v>3463.8</v>
      </c>
      <c r="E119" s="8">
        <v>0</v>
      </c>
      <c r="F119" s="8">
        <v>299.2</v>
      </c>
      <c r="G119" s="87">
        <f t="shared" si="85"/>
        <v>3463.8</v>
      </c>
      <c r="H119" s="87">
        <f t="shared" si="86"/>
        <v>3463.8</v>
      </c>
      <c r="I119" s="91">
        <v>0</v>
      </c>
      <c r="J119" s="112">
        <v>0</v>
      </c>
      <c r="K119" s="17">
        <v>4</v>
      </c>
      <c r="L119" s="112">
        <f t="shared" si="119"/>
        <v>9.638554216867469E-3</v>
      </c>
      <c r="M119" s="116">
        <v>3.4064171561986569</v>
      </c>
      <c r="N119" s="120">
        <f t="shared" si="120"/>
        <v>3463.8</v>
      </c>
      <c r="O119" s="116">
        <v>3.0862321275185201</v>
      </c>
      <c r="P119" s="120">
        <f t="shared" si="121"/>
        <v>3463.8</v>
      </c>
      <c r="Q119" s="116">
        <v>0</v>
      </c>
      <c r="R119" s="120">
        <f t="shared" si="122"/>
        <v>0</v>
      </c>
      <c r="S119" s="5" t="s">
        <v>143</v>
      </c>
      <c r="T119" s="87">
        <v>28.44</v>
      </c>
      <c r="U119" s="88">
        <v>4.68</v>
      </c>
      <c r="V119" s="88">
        <v>6.05</v>
      </c>
      <c r="W119" s="88">
        <v>8.24</v>
      </c>
      <c r="X119" s="88">
        <v>6.34</v>
      </c>
      <c r="Y119" s="88">
        <v>2.89</v>
      </c>
      <c r="Z119" s="88">
        <v>0</v>
      </c>
      <c r="AA119" s="88">
        <v>0</v>
      </c>
      <c r="AB119" s="88">
        <v>0.24</v>
      </c>
      <c r="AC119" s="257"/>
      <c r="AD119" s="110">
        <f t="shared" si="123"/>
        <v>631644.40693904809</v>
      </c>
      <c r="AE119" s="110">
        <f t="shared" si="124"/>
        <v>105059.21574799764</v>
      </c>
      <c r="AF119" s="16">
        <f>SUMIF('20.01'!$I:$I,$B:$B,'20.01'!$D:$D)*1.2</f>
        <v>45468.276000000005</v>
      </c>
      <c r="AG119" s="17">
        <f t="shared" si="83"/>
        <v>9240.1312055406179</v>
      </c>
      <c r="AH119" s="17">
        <f t="shared" si="125"/>
        <v>2644.9542050791651</v>
      </c>
      <c r="AI119" s="16">
        <f>SUMIF('20.01'!$J:$J,$B:$B,'20.01'!$D:$D)*1.2</f>
        <v>0</v>
      </c>
      <c r="AJ119" s="17">
        <f t="shared" si="126"/>
        <v>1074.8499247638395</v>
      </c>
      <c r="AK119" s="17">
        <f t="shared" si="127"/>
        <v>2614.8710839789969</v>
      </c>
      <c r="AL119" s="17">
        <f t="shared" si="128"/>
        <v>44016.13332863502</v>
      </c>
      <c r="AM119" s="110">
        <f t="shared" si="129"/>
        <v>0</v>
      </c>
      <c r="AN119" s="17">
        <f>SUMIF('20.01'!$K:$K,$B:$B,'20.01'!$D:$D)*1.2</f>
        <v>0</v>
      </c>
      <c r="AO119" s="17">
        <f>SUMIF('20.01'!$L:$L,$B:$B,'20.01'!$D:$D)*1.2</f>
        <v>0</v>
      </c>
      <c r="AP119" s="17">
        <f>SUMIF('20.01'!$M:$M,$B:$B,'20.01'!$D:$D)*1.2</f>
        <v>0</v>
      </c>
      <c r="AQ119" s="110">
        <f t="shared" si="130"/>
        <v>973.02319105044955</v>
      </c>
      <c r="AR119" s="17">
        <f t="shared" si="131"/>
        <v>973.02319105044955</v>
      </c>
      <c r="AS119" s="17">
        <f>(SUMIF('20.01'!$N:$N,$B:$B,'20.01'!$D:$D)+SUMIF('20.01'!$O:$O,$B:$B,'20.01'!$D:$D))*1.2</f>
        <v>0</v>
      </c>
      <c r="AT119" s="110">
        <f>SUMIF('20.01'!$P:$P,$B:$B,'20.01'!$D:$D)*1.2</f>
        <v>0</v>
      </c>
      <c r="AU119" s="110">
        <f t="shared" si="132"/>
        <v>0</v>
      </c>
      <c r="AV119" s="17">
        <f>SUMIF('20.01'!$Q:$Q,$B:$B,'20.01'!$D:$D)*1.2</f>
        <v>0</v>
      </c>
      <c r="AW119" s="17">
        <f>SUMIF('20.01'!$R:$R,$B:$B,'20.01'!$D:$D)*1.2</f>
        <v>0</v>
      </c>
      <c r="AX119" s="110">
        <f t="shared" si="133"/>
        <v>199856.29199999999</v>
      </c>
      <c r="AY119" s="17">
        <f>SUMIF('20.01'!$S:$S,$B:$B,'20.01'!$D:$D)*1.2</f>
        <v>199856.29199999999</v>
      </c>
      <c r="AZ119" s="17">
        <f>SUMIF('20.01'!$T:$T,$B:$B,'20.01'!$D:$D)*1.2</f>
        <v>0</v>
      </c>
      <c r="BA119" s="110">
        <f t="shared" si="134"/>
        <v>0</v>
      </c>
      <c r="BB119" s="17">
        <f>SUMIF('20.01'!$U:$U,$B:$B,'20.01'!$D:$D)*1.2</f>
        <v>0</v>
      </c>
      <c r="BC119" s="17">
        <f>SUMIF('20.01'!$V:$V,$B:$B,'20.01'!$D:$D)*1.2</f>
        <v>0</v>
      </c>
      <c r="BD119" s="17">
        <f>SUMIF('20.01'!$W:$W,$B:$B,'20.01'!$D:$D)*1.2</f>
        <v>0</v>
      </c>
      <c r="BE119" s="110">
        <f>SUMIF('20.01'!$X:$X,$B:$B,'20.01'!$D:$D)*1.2</f>
        <v>0</v>
      </c>
      <c r="BF119" s="110">
        <f t="shared" si="135"/>
        <v>0</v>
      </c>
      <c r="BG119" s="17">
        <f>SUMIF('20.01'!$Y:$Y,$B:$B,'20.01'!$D:$D)*1.2</f>
        <v>0</v>
      </c>
      <c r="BH119" s="17">
        <f>SUMIF('20.01'!$Z:$Z,$B:$B,'20.01'!$D:$D)*1.2</f>
        <v>0</v>
      </c>
      <c r="BI119" s="17">
        <f>SUMIF('20.01'!$AA:$AA,$B:$B,'20.01'!$D:$D)*1.2</f>
        <v>0</v>
      </c>
      <c r="BJ119" s="17">
        <f>SUMIF('20.01'!$AB:$AB,$B:$B,'20.01'!$D:$D)*1.2</f>
        <v>0</v>
      </c>
      <c r="BK119" s="17">
        <f>SUMIF('20.01'!$AC:$AC,$B:$B,'20.01'!$D:$D)*1.2</f>
        <v>0</v>
      </c>
      <c r="BL119" s="17">
        <f>SUMIF('20.01'!$AD:$AD,$B:$B,'20.01'!$D:$D)*1.2</f>
        <v>0</v>
      </c>
      <c r="BM119" s="110">
        <f t="shared" si="136"/>
        <v>0</v>
      </c>
      <c r="BN119" s="17">
        <f>SUMIF('20.01'!$AE:$AE,$B:$B,'20.01'!$D:$D)*1.2</f>
        <v>0</v>
      </c>
      <c r="BO119" s="17">
        <f>SUMIF('20.01'!$AF:$AF,$B:$B,'20.01'!$D:$D)*1.2</f>
        <v>0</v>
      </c>
      <c r="BP119" s="110">
        <f>SUMIF('20.01'!$AG:$AG,$B:$B,'20.01'!$D:$D)*1.2</f>
        <v>0</v>
      </c>
      <c r="BQ119" s="110">
        <f>SUMIF('20.01'!$AH:$AH,$B:$B,'20.01'!$D:$D)*1.2</f>
        <v>0</v>
      </c>
      <c r="BR119" s="110">
        <f>SUMIF('20.01'!$AI:$AI,$B:$B,'20.01'!$D:$D)*1.2</f>
        <v>0</v>
      </c>
      <c r="BS119" s="110">
        <f t="shared" si="137"/>
        <v>0</v>
      </c>
      <c r="BT119" s="17">
        <f>SUMIF('20.01'!$AJ:$AJ,$B:$B,'20.01'!$D:$D)*1.2</f>
        <v>0</v>
      </c>
      <c r="BU119" s="17">
        <f>SUMIF('20.01'!$AK:$AK,$B:$B,'20.01'!$D:$D)*1.2</f>
        <v>0</v>
      </c>
      <c r="BV119" s="110">
        <f>SUMIF('20.01'!$AL:$AL,$B:$B,'20.01'!$D:$D)*1.2</f>
        <v>325755.87599999999</v>
      </c>
      <c r="BW119" s="110">
        <f>SUMIF('20.01'!$AM:$AM,$B:$B,'20.01'!$D:$D)*1.2</f>
        <v>0</v>
      </c>
      <c r="BX119" s="110">
        <f>SUMIF('20.01'!$AN:$AN,$B:$B,'20.01'!$D:$D)*1.2</f>
        <v>0</v>
      </c>
      <c r="BY119" s="110">
        <f t="shared" si="87"/>
        <v>262038.17708264667</v>
      </c>
      <c r="BZ119" s="17">
        <f t="shared" si="82"/>
        <v>212276.26722066343</v>
      </c>
      <c r="CA119" s="17">
        <f t="shared" si="88"/>
        <v>21483.460293291486</v>
      </c>
      <c r="CB119" s="17">
        <f t="shared" si="89"/>
        <v>1428.1104102226882</v>
      </c>
      <c r="CC119" s="17">
        <f>SUMIF('20.01'!$AO:$AO,$B:$B,'20.01'!$D:$D)*1.2</f>
        <v>0</v>
      </c>
      <c r="CD119" s="17">
        <f t="shared" si="90"/>
        <v>22419.882978801637</v>
      </c>
      <c r="CE119" s="17">
        <f>SUMIF('20.01'!$AQ:$AQ,$B:$B,'20.01'!$D:$D)*1.2</f>
        <v>0</v>
      </c>
      <c r="CF119" s="17">
        <f t="shared" si="91"/>
        <v>2039.8549383016116</v>
      </c>
      <c r="CG119" s="17">
        <f>SUMIF('20.01'!$AR:$AR,$B:$B,'20.01'!$D:$D)*1.2</f>
        <v>0</v>
      </c>
      <c r="CH119" s="17">
        <f t="shared" si="92"/>
        <v>1201.3265443151095</v>
      </c>
      <c r="CI119" s="17">
        <f>SUMIF('20.01'!$AT:$AT,$B:$B,'20.01'!$D:$D)*1.2</f>
        <v>0</v>
      </c>
      <c r="CJ119" s="17">
        <f>SUMIF('20.01'!$AU:$AU,$B:$B,'20.01'!$D:$D)*1.2</f>
        <v>0</v>
      </c>
      <c r="CK119" s="17">
        <f>SUMIF('20.01'!$AV:$AV,$B:$B,'20.01'!$D:$D)*1.2</f>
        <v>0</v>
      </c>
      <c r="CL119" s="17">
        <f t="shared" si="93"/>
        <v>1189.2746970506828</v>
      </c>
      <c r="CM119" s="17">
        <f>SUMIF('20.01'!$AW:$AW,$B:$B,'20.01'!$D:$D)*1.2</f>
        <v>0</v>
      </c>
      <c r="CN119" s="17">
        <f>SUMIF('20.01'!$AX:$AX,$B:$B,'20.01'!$D:$D)*1.2</f>
        <v>0</v>
      </c>
      <c r="CO119" s="110">
        <f t="shared" si="138"/>
        <v>398955.77961055201</v>
      </c>
      <c r="CP119" s="17">
        <f t="shared" si="139"/>
        <v>314712.82683480304</v>
      </c>
      <c r="CQ119" s="17">
        <f t="shared" si="94"/>
        <v>97093.237414015151</v>
      </c>
      <c r="CR119" s="17">
        <f t="shared" si="95"/>
        <v>217619.58942078787</v>
      </c>
      <c r="CS119" s="17">
        <f t="shared" si="140"/>
        <v>84242.952775748956</v>
      </c>
      <c r="CT119" s="17">
        <f t="shared" si="96"/>
        <v>3069.0446697134007</v>
      </c>
      <c r="CU119" s="17">
        <f t="shared" si="97"/>
        <v>2968.482809853389</v>
      </c>
      <c r="CV119" s="17">
        <f t="shared" si="98"/>
        <v>3067.99186329346</v>
      </c>
      <c r="CW119" s="17">
        <f t="shared" si="99"/>
        <v>32.171272682792768</v>
      </c>
      <c r="CX119" s="17">
        <f t="shared" si="100"/>
        <v>45300.386327022388</v>
      </c>
      <c r="CY119" s="17">
        <f t="shared" si="101"/>
        <v>29804.875833183523</v>
      </c>
      <c r="CZ119" s="110">
        <f t="shared" si="141"/>
        <v>99031.268827125954</v>
      </c>
      <c r="DA119" s="17">
        <f t="shared" si="142"/>
        <v>3740.845660789857</v>
      </c>
      <c r="DB119" s="17">
        <f t="shared" si="102"/>
        <v>3549.9253080860685</v>
      </c>
      <c r="DC119" s="17">
        <f t="shared" si="103"/>
        <v>190.92035270378855</v>
      </c>
      <c r="DD119" s="17">
        <f t="shared" si="104"/>
        <v>6591.7991610627869</v>
      </c>
      <c r="DE119" s="17">
        <f t="shared" si="105"/>
        <v>2274.3444026777461</v>
      </c>
      <c r="DF119" s="17">
        <f t="shared" si="106"/>
        <v>2760.2337834701661</v>
      </c>
      <c r="DG119" s="17">
        <f t="shared" si="143"/>
        <v>83664.0458191254</v>
      </c>
      <c r="DH119" s="110">
        <f t="shared" si="144"/>
        <v>61803.247796270065</v>
      </c>
      <c r="DI119" s="17">
        <f t="shared" si="107"/>
        <v>55440.033131949654</v>
      </c>
      <c r="DJ119" s="17">
        <f t="shared" si="108"/>
        <v>6131.341895961662</v>
      </c>
      <c r="DK119" s="17">
        <f t="shared" si="109"/>
        <v>231.87276835875116</v>
      </c>
      <c r="DL119" s="110">
        <f t="shared" si="145"/>
        <v>367422.56527640333</v>
      </c>
      <c r="DM119" s="17">
        <f t="shared" si="110"/>
        <v>194733.95959649375</v>
      </c>
      <c r="DN119" s="17">
        <f t="shared" si="111"/>
        <v>172688.60567990955</v>
      </c>
      <c r="DO119" s="17">
        <f t="shared" si="112"/>
        <v>0</v>
      </c>
      <c r="DP119" s="110">
        <f t="shared" si="146"/>
        <v>0</v>
      </c>
      <c r="DQ119" s="17">
        <f>SUMIF('20.01'!$BB:$BB,$B:$B,'20.01'!$D:$D)*1.2</f>
        <v>0</v>
      </c>
      <c r="DR119" s="17">
        <f t="shared" si="113"/>
        <v>0</v>
      </c>
      <c r="DS119" s="17">
        <f t="shared" si="114"/>
        <v>0</v>
      </c>
      <c r="DT119" s="110">
        <f t="shared" si="147"/>
        <v>7586.0159999999996</v>
      </c>
      <c r="DU119" s="17">
        <f>SUMIF('20.01'!$BD:$BD,$B:$B,'20.01'!$D:$D)*1.2</f>
        <v>7586.0159999999996</v>
      </c>
      <c r="DV119" s="17">
        <f t="shared" si="115"/>
        <v>0</v>
      </c>
      <c r="DW119" s="17">
        <f t="shared" si="116"/>
        <v>0</v>
      </c>
      <c r="DX119" s="110">
        <f t="shared" si="117"/>
        <v>1828481.4615320463</v>
      </c>
      <c r="DY119" s="110"/>
      <c r="DZ119" s="110">
        <f t="shared" si="148"/>
        <v>1828481.4615320463</v>
      </c>
      <c r="EA119" s="257"/>
      <c r="EB119" s="110">
        <f t="shared" si="118"/>
        <v>3546.2168674698792</v>
      </c>
      <c r="EC119" s="110">
        <f>SUMIF(еирц!$B:$B,$B:$B,еирц!$K:$K)</f>
        <v>1159473.54</v>
      </c>
      <c r="ED119" s="110">
        <f>SUMIF(еирц!$B:$B,$B:$B,еирц!$P:$P)</f>
        <v>1132508.27</v>
      </c>
      <c r="EE119" s="110">
        <f>SUMIF(еирц!$B:$B,$B:$B,еирц!$S:$S)</f>
        <v>266897.98</v>
      </c>
      <c r="EF119" s="177">
        <f t="shared" si="149"/>
        <v>-665461.70466457633</v>
      </c>
      <c r="EG119" s="181">
        <f t="shared" si="152"/>
        <v>0</v>
      </c>
      <c r="EH119" s="177">
        <f t="shared" si="150"/>
        <v>-665461.70466457633</v>
      </c>
    </row>
    <row r="120" spans="1:138" ht="12" customHeight="1" x14ac:dyDescent="0.25">
      <c r="A120" s="5">
        <f t="shared" si="151"/>
        <v>116</v>
      </c>
      <c r="B120" s="6" t="s">
        <v>200</v>
      </c>
      <c r="C120" s="7">
        <f t="shared" si="84"/>
        <v>3497.98</v>
      </c>
      <c r="D120" s="8">
        <v>3497.98</v>
      </c>
      <c r="E120" s="8">
        <v>0</v>
      </c>
      <c r="F120" s="8">
        <v>483</v>
      </c>
      <c r="G120" s="87">
        <f t="shared" si="85"/>
        <v>3497.98</v>
      </c>
      <c r="H120" s="87">
        <f t="shared" si="86"/>
        <v>3497.98</v>
      </c>
      <c r="I120" s="91">
        <v>0</v>
      </c>
      <c r="J120" s="112">
        <v>0</v>
      </c>
      <c r="K120" s="17">
        <v>0</v>
      </c>
      <c r="L120" s="112">
        <f t="shared" si="119"/>
        <v>0</v>
      </c>
      <c r="M120" s="116">
        <v>3.4064180237009616</v>
      </c>
      <c r="N120" s="120">
        <f t="shared" si="120"/>
        <v>3497.98</v>
      </c>
      <c r="O120" s="116">
        <v>3.0862331470625208</v>
      </c>
      <c r="P120" s="120">
        <f t="shared" si="121"/>
        <v>3497.98</v>
      </c>
      <c r="Q120" s="116">
        <v>0</v>
      </c>
      <c r="R120" s="120">
        <f t="shared" si="122"/>
        <v>0</v>
      </c>
      <c r="S120" s="5" t="s">
        <v>143</v>
      </c>
      <c r="T120" s="87">
        <v>28.44</v>
      </c>
      <c r="U120" s="88">
        <v>4.68</v>
      </c>
      <c r="V120" s="88">
        <v>6.05</v>
      </c>
      <c r="W120" s="88">
        <v>8.24</v>
      </c>
      <c r="X120" s="88">
        <v>6.34</v>
      </c>
      <c r="Y120" s="88">
        <v>2.89</v>
      </c>
      <c r="Z120" s="88">
        <v>0</v>
      </c>
      <c r="AA120" s="88">
        <v>0</v>
      </c>
      <c r="AB120" s="88">
        <v>0.24</v>
      </c>
      <c r="AC120" s="257"/>
      <c r="AD120" s="110">
        <f t="shared" si="123"/>
        <v>409385.57451513695</v>
      </c>
      <c r="AE120" s="110">
        <f t="shared" si="124"/>
        <v>88705.405749899175</v>
      </c>
      <c r="AF120" s="16">
        <f>SUMIF('20.01'!$I:$I,$B:$B,'20.01'!$D:$D)*1.2</f>
        <v>28526.435999999998</v>
      </c>
      <c r="AG120" s="17">
        <f t="shared" si="83"/>
        <v>9331.3107437949548</v>
      </c>
      <c r="AH120" s="17">
        <f t="shared" si="125"/>
        <v>2671.0540187894271</v>
      </c>
      <c r="AI120" s="16">
        <f>SUMIF('20.01'!$J:$J,$B:$B,'20.01'!$D:$D)*1.2</f>
        <v>0</v>
      </c>
      <c r="AJ120" s="17">
        <f t="shared" si="126"/>
        <v>1085.4563022765215</v>
      </c>
      <c r="AK120" s="17">
        <f t="shared" si="127"/>
        <v>2640.6740442106502</v>
      </c>
      <c r="AL120" s="17">
        <f t="shared" si="128"/>
        <v>44450.474640827619</v>
      </c>
      <c r="AM120" s="110">
        <f t="shared" si="129"/>
        <v>0</v>
      </c>
      <c r="AN120" s="17">
        <f>SUMIF('20.01'!$K:$K,$B:$B,'20.01'!$D:$D)*1.2</f>
        <v>0</v>
      </c>
      <c r="AO120" s="17">
        <f>SUMIF('20.01'!$L:$L,$B:$B,'20.01'!$D:$D)*1.2</f>
        <v>0</v>
      </c>
      <c r="AP120" s="17">
        <f>SUMIF('20.01'!$M:$M,$B:$B,'20.01'!$D:$D)*1.2</f>
        <v>0</v>
      </c>
      <c r="AQ120" s="110">
        <f t="shared" si="130"/>
        <v>982.62476523778832</v>
      </c>
      <c r="AR120" s="17">
        <f t="shared" si="131"/>
        <v>982.62476523778832</v>
      </c>
      <c r="AS120" s="17">
        <f>(SUMIF('20.01'!$N:$N,$B:$B,'20.01'!$D:$D)+SUMIF('20.01'!$O:$O,$B:$B,'20.01'!$D:$D))*1.2</f>
        <v>0</v>
      </c>
      <c r="AT120" s="110">
        <f>SUMIF('20.01'!$P:$P,$B:$B,'20.01'!$D:$D)*1.2</f>
        <v>0</v>
      </c>
      <c r="AU120" s="110">
        <f t="shared" si="132"/>
        <v>0</v>
      </c>
      <c r="AV120" s="17">
        <f>SUMIF('20.01'!$Q:$Q,$B:$B,'20.01'!$D:$D)*1.2</f>
        <v>0</v>
      </c>
      <c r="AW120" s="17">
        <f>SUMIF('20.01'!$R:$R,$B:$B,'20.01'!$D:$D)*1.2</f>
        <v>0</v>
      </c>
      <c r="AX120" s="110">
        <f t="shared" si="133"/>
        <v>0</v>
      </c>
      <c r="AY120" s="17">
        <f>SUMIF('20.01'!$S:$S,$B:$B,'20.01'!$D:$D)*1.2</f>
        <v>0</v>
      </c>
      <c r="AZ120" s="17">
        <f>SUMIF('20.01'!$T:$T,$B:$B,'20.01'!$D:$D)*1.2</f>
        <v>0</v>
      </c>
      <c r="BA120" s="110">
        <f t="shared" si="134"/>
        <v>0</v>
      </c>
      <c r="BB120" s="17">
        <f>SUMIF('20.01'!$U:$U,$B:$B,'20.01'!$D:$D)*1.2</f>
        <v>0</v>
      </c>
      <c r="BC120" s="17">
        <f>SUMIF('20.01'!$V:$V,$B:$B,'20.01'!$D:$D)*1.2</f>
        <v>0</v>
      </c>
      <c r="BD120" s="17">
        <f>SUMIF('20.01'!$W:$W,$B:$B,'20.01'!$D:$D)*1.2</f>
        <v>0</v>
      </c>
      <c r="BE120" s="110">
        <f>SUMIF('20.01'!$X:$X,$B:$B,'20.01'!$D:$D)*1.2</f>
        <v>0</v>
      </c>
      <c r="BF120" s="110">
        <f t="shared" si="135"/>
        <v>0</v>
      </c>
      <c r="BG120" s="17">
        <f>SUMIF('20.01'!$Y:$Y,$B:$B,'20.01'!$D:$D)*1.2</f>
        <v>0</v>
      </c>
      <c r="BH120" s="17">
        <f>SUMIF('20.01'!$Z:$Z,$B:$B,'20.01'!$D:$D)*1.2</f>
        <v>0</v>
      </c>
      <c r="BI120" s="17">
        <f>SUMIF('20.01'!$AA:$AA,$B:$B,'20.01'!$D:$D)*1.2</f>
        <v>0</v>
      </c>
      <c r="BJ120" s="17">
        <f>SUMIF('20.01'!$AB:$AB,$B:$B,'20.01'!$D:$D)*1.2</f>
        <v>0</v>
      </c>
      <c r="BK120" s="17">
        <f>SUMIF('20.01'!$AC:$AC,$B:$B,'20.01'!$D:$D)*1.2</f>
        <v>0</v>
      </c>
      <c r="BL120" s="17">
        <f>SUMIF('20.01'!$AD:$AD,$B:$B,'20.01'!$D:$D)*1.2</f>
        <v>0</v>
      </c>
      <c r="BM120" s="110">
        <f t="shared" si="136"/>
        <v>0</v>
      </c>
      <c r="BN120" s="17">
        <f>SUMIF('20.01'!$AE:$AE,$B:$B,'20.01'!$D:$D)*1.2</f>
        <v>0</v>
      </c>
      <c r="BO120" s="17">
        <f>SUMIF('20.01'!$AF:$AF,$B:$B,'20.01'!$D:$D)*1.2</f>
        <v>0</v>
      </c>
      <c r="BP120" s="110">
        <f>SUMIF('20.01'!$AG:$AG,$B:$B,'20.01'!$D:$D)*1.2</f>
        <v>0</v>
      </c>
      <c r="BQ120" s="110">
        <f>SUMIF('20.01'!$AH:$AH,$B:$B,'20.01'!$D:$D)*1.2</f>
        <v>0</v>
      </c>
      <c r="BR120" s="110">
        <f>SUMIF('20.01'!$AI:$AI,$B:$B,'20.01'!$D:$D)*1.2</f>
        <v>0</v>
      </c>
      <c r="BS120" s="110">
        <f t="shared" si="137"/>
        <v>0</v>
      </c>
      <c r="BT120" s="17">
        <f>SUMIF('20.01'!$AJ:$AJ,$B:$B,'20.01'!$D:$D)*1.2</f>
        <v>0</v>
      </c>
      <c r="BU120" s="17">
        <f>SUMIF('20.01'!$AK:$AK,$B:$B,'20.01'!$D:$D)*1.2</f>
        <v>0</v>
      </c>
      <c r="BV120" s="110">
        <f>SUMIF('20.01'!$AL:$AL,$B:$B,'20.01'!$D:$D)*1.2</f>
        <v>319697.54399999999</v>
      </c>
      <c r="BW120" s="110">
        <f>SUMIF('20.01'!$AM:$AM,$B:$B,'20.01'!$D:$D)*1.2</f>
        <v>0</v>
      </c>
      <c r="BX120" s="110">
        <f>SUMIF('20.01'!$AN:$AN,$B:$B,'20.01'!$D:$D)*1.2</f>
        <v>0</v>
      </c>
      <c r="BY120" s="110">
        <f t="shared" si="87"/>
        <v>277473.05492775457</v>
      </c>
      <c r="BZ120" s="17">
        <f t="shared" si="82"/>
        <v>214370.96172196322</v>
      </c>
      <c r="CA120" s="17">
        <f t="shared" si="88"/>
        <v>21695.454251610296</v>
      </c>
      <c r="CB120" s="17">
        <f t="shared" si="89"/>
        <v>1442.2026828196658</v>
      </c>
      <c r="CC120" s="17">
        <f>SUMIF('20.01'!$AO:$AO,$B:$B,'20.01'!$D:$D)*1.2</f>
        <v>0</v>
      </c>
      <c r="CD120" s="17">
        <f t="shared" si="90"/>
        <v>22641.11734574414</v>
      </c>
      <c r="CE120" s="17">
        <f>SUMIF('20.01'!$AQ:$AQ,$B:$B,'20.01'!$D:$D)*1.2</f>
        <v>0</v>
      </c>
      <c r="CF120" s="17">
        <f t="shared" si="91"/>
        <v>2059.9837684278164</v>
      </c>
      <c r="CG120" s="17">
        <f>SUMIF('20.01'!$AR:$AR,$B:$B,'20.01'!$D:$D)*1.2</f>
        <v>12849.144</v>
      </c>
      <c r="CH120" s="17">
        <f t="shared" si="92"/>
        <v>1213.1809646871548</v>
      </c>
      <c r="CI120" s="17">
        <f>SUMIF('20.01'!$AT:$AT,$B:$B,'20.01'!$D:$D)*1.2</f>
        <v>0</v>
      </c>
      <c r="CJ120" s="17">
        <f>SUMIF('20.01'!$AU:$AU,$B:$B,'20.01'!$D:$D)*1.2</f>
        <v>0</v>
      </c>
      <c r="CK120" s="17">
        <f>SUMIF('20.01'!$AV:$AV,$B:$B,'20.01'!$D:$D)*1.2</f>
        <v>0</v>
      </c>
      <c r="CL120" s="17">
        <f t="shared" si="93"/>
        <v>1201.0101925022655</v>
      </c>
      <c r="CM120" s="17">
        <f>SUMIF('20.01'!$AW:$AW,$B:$B,'20.01'!$D:$D)*1.2</f>
        <v>0</v>
      </c>
      <c r="CN120" s="17">
        <f>SUMIF('20.01'!$AX:$AX,$B:$B,'20.01'!$D:$D)*1.2</f>
        <v>0</v>
      </c>
      <c r="CO120" s="110">
        <f t="shared" si="138"/>
        <v>402892.58558869408</v>
      </c>
      <c r="CP120" s="17">
        <f t="shared" si="139"/>
        <v>317818.34228639188</v>
      </c>
      <c r="CQ120" s="17">
        <f t="shared" si="94"/>
        <v>98051.331661607677</v>
      </c>
      <c r="CR120" s="17">
        <f t="shared" si="95"/>
        <v>219767.01062478419</v>
      </c>
      <c r="CS120" s="17">
        <f t="shared" si="140"/>
        <v>85074.243302302188</v>
      </c>
      <c r="CT120" s="17">
        <f t="shared" si="96"/>
        <v>3099.3293128252444</v>
      </c>
      <c r="CU120" s="17">
        <f t="shared" si="97"/>
        <v>2997.7751311308266</v>
      </c>
      <c r="CV120" s="17">
        <f t="shared" si="98"/>
        <v>3098.266117548143</v>
      </c>
      <c r="CW120" s="17">
        <f t="shared" si="99"/>
        <v>32.488731571960109</v>
      </c>
      <c r="CX120" s="17">
        <f t="shared" si="100"/>
        <v>45747.400359200234</v>
      </c>
      <c r="CY120" s="17">
        <f t="shared" si="101"/>
        <v>30098.983650025781</v>
      </c>
      <c r="CZ120" s="110">
        <f t="shared" si="141"/>
        <v>100008.48713318033</v>
      </c>
      <c r="DA120" s="17">
        <f t="shared" si="142"/>
        <v>3777.7594851116414</v>
      </c>
      <c r="DB120" s="17">
        <f t="shared" si="102"/>
        <v>3584.9551732718128</v>
      </c>
      <c r="DC120" s="17">
        <f t="shared" si="103"/>
        <v>192.80431183982859</v>
      </c>
      <c r="DD120" s="17">
        <f t="shared" si="104"/>
        <v>6656.8455538467597</v>
      </c>
      <c r="DE120" s="17">
        <f t="shared" si="105"/>
        <v>2296.7871221429364</v>
      </c>
      <c r="DF120" s="17">
        <f t="shared" si="106"/>
        <v>2787.4711501538691</v>
      </c>
      <c r="DG120" s="17">
        <f t="shared" si="143"/>
        <v>84489.623821925125</v>
      </c>
      <c r="DH120" s="110">
        <f t="shared" si="144"/>
        <v>62413.108356832599</v>
      </c>
      <c r="DI120" s="17">
        <f t="shared" si="107"/>
        <v>55987.10292017358</v>
      </c>
      <c r="DJ120" s="17">
        <f t="shared" si="108"/>
        <v>6191.84459992955</v>
      </c>
      <c r="DK120" s="17">
        <f t="shared" si="109"/>
        <v>234.16083672947178</v>
      </c>
      <c r="DL120" s="110">
        <f t="shared" si="145"/>
        <v>371048.20858177531</v>
      </c>
      <c r="DM120" s="17">
        <f t="shared" si="110"/>
        <v>196655.55054834089</v>
      </c>
      <c r="DN120" s="17">
        <f t="shared" si="111"/>
        <v>174392.65803343439</v>
      </c>
      <c r="DO120" s="17">
        <f t="shared" si="112"/>
        <v>0</v>
      </c>
      <c r="DP120" s="110">
        <f t="shared" si="146"/>
        <v>0</v>
      </c>
      <c r="DQ120" s="17">
        <f>SUMIF('20.01'!$BB:$BB,$B:$B,'20.01'!$D:$D)*1.2</f>
        <v>0</v>
      </c>
      <c r="DR120" s="17">
        <f t="shared" si="113"/>
        <v>0</v>
      </c>
      <c r="DS120" s="17">
        <f t="shared" si="114"/>
        <v>0</v>
      </c>
      <c r="DT120" s="110">
        <f t="shared" si="147"/>
        <v>7586.0159999999996</v>
      </c>
      <c r="DU120" s="17">
        <f>SUMIF('20.01'!$BD:$BD,$B:$B,'20.01'!$D:$D)*1.2</f>
        <v>7586.0159999999996</v>
      </c>
      <c r="DV120" s="17">
        <f t="shared" si="115"/>
        <v>0</v>
      </c>
      <c r="DW120" s="17">
        <f t="shared" si="116"/>
        <v>0</v>
      </c>
      <c r="DX120" s="110">
        <f t="shared" si="117"/>
        <v>1630807.0351033739</v>
      </c>
      <c r="DY120" s="110"/>
      <c r="DZ120" s="110">
        <f t="shared" si="148"/>
        <v>1630807.0351033739</v>
      </c>
      <c r="EA120" s="257"/>
      <c r="EB120" s="110">
        <f t="shared" si="118"/>
        <v>0</v>
      </c>
      <c r="EC120" s="110">
        <f>SUMIF(еирц!$B:$B,$B:$B,еирц!$K:$K)</f>
        <v>1170914.6400000001</v>
      </c>
      <c r="ED120" s="110">
        <f>SUMIF(еирц!$B:$B,$B:$B,еирц!$P:$P)</f>
        <v>1155550.8899999999</v>
      </c>
      <c r="EE120" s="110">
        <f>SUMIF(еирц!$B:$B,$B:$B,еирц!$S:$S)</f>
        <v>375822.55</v>
      </c>
      <c r="EF120" s="177">
        <f t="shared" si="149"/>
        <v>-459892.3951033738</v>
      </c>
      <c r="EG120" s="181">
        <f t="shared" si="152"/>
        <v>0</v>
      </c>
      <c r="EH120" s="177">
        <f t="shared" si="150"/>
        <v>-459892.3951033738</v>
      </c>
    </row>
    <row r="121" spans="1:138" ht="12" customHeight="1" x14ac:dyDescent="0.25">
      <c r="A121" s="5">
        <f t="shared" si="151"/>
        <v>117</v>
      </c>
      <c r="B121" s="6" t="s">
        <v>201</v>
      </c>
      <c r="C121" s="7">
        <f t="shared" si="84"/>
        <v>7018.23</v>
      </c>
      <c r="D121" s="8">
        <v>7018.23</v>
      </c>
      <c r="E121" s="8">
        <v>0</v>
      </c>
      <c r="F121" s="8">
        <v>983.6</v>
      </c>
      <c r="G121" s="87">
        <f t="shared" si="85"/>
        <v>7018.23</v>
      </c>
      <c r="H121" s="87">
        <f t="shared" si="86"/>
        <v>7018.23</v>
      </c>
      <c r="I121" s="91">
        <v>0</v>
      </c>
      <c r="J121" s="112">
        <v>0</v>
      </c>
      <c r="K121" s="17">
        <v>0</v>
      </c>
      <c r="L121" s="112">
        <f t="shared" si="119"/>
        <v>0</v>
      </c>
      <c r="M121" s="116">
        <v>3.4064172028551774</v>
      </c>
      <c r="N121" s="120">
        <f t="shared" si="120"/>
        <v>7018.23</v>
      </c>
      <c r="O121" s="116">
        <v>3.086230200435029</v>
      </c>
      <c r="P121" s="120">
        <f t="shared" si="121"/>
        <v>7018.23</v>
      </c>
      <c r="Q121" s="116">
        <v>0</v>
      </c>
      <c r="R121" s="120">
        <f t="shared" si="122"/>
        <v>0</v>
      </c>
      <c r="S121" s="5" t="s">
        <v>143</v>
      </c>
      <c r="T121" s="87">
        <v>28.44</v>
      </c>
      <c r="U121" s="88">
        <v>4.68</v>
      </c>
      <c r="V121" s="88">
        <v>6.05</v>
      </c>
      <c r="W121" s="88">
        <v>8.24</v>
      </c>
      <c r="X121" s="88">
        <v>6.34</v>
      </c>
      <c r="Y121" s="88">
        <v>2.89</v>
      </c>
      <c r="Z121" s="88">
        <v>0</v>
      </c>
      <c r="AA121" s="88">
        <v>0</v>
      </c>
      <c r="AB121" s="88">
        <v>0.24</v>
      </c>
      <c r="AC121" s="257"/>
      <c r="AD121" s="110">
        <f t="shared" si="123"/>
        <v>588939.90025085607</v>
      </c>
      <c r="AE121" s="110">
        <f t="shared" si="124"/>
        <v>186988.82280881959</v>
      </c>
      <c r="AF121" s="16">
        <f>SUMIF('20.01'!$I:$I,$B:$B,'20.01'!$D:$D)*1.2</f>
        <v>66247.751999999993</v>
      </c>
      <c r="AG121" s="17">
        <f t="shared" si="83"/>
        <v>18722.029571759722</v>
      </c>
      <c r="AH121" s="17">
        <f t="shared" si="125"/>
        <v>5359.1133872373539</v>
      </c>
      <c r="AI121" s="16">
        <f>SUMIF('20.01'!$J:$J,$B:$B,'20.01'!$D:$D)*1.2</f>
        <v>0</v>
      </c>
      <c r="AJ121" s="17">
        <f t="shared" si="126"/>
        <v>2177.8231963379294</v>
      </c>
      <c r="AK121" s="17">
        <f t="shared" si="127"/>
        <v>5298.1600230134281</v>
      </c>
      <c r="AL121" s="17">
        <f t="shared" si="128"/>
        <v>89183.944630471189</v>
      </c>
      <c r="AM121" s="110">
        <f t="shared" si="129"/>
        <v>0</v>
      </c>
      <c r="AN121" s="17">
        <f>SUMIF('20.01'!$K:$K,$B:$B,'20.01'!$D:$D)*1.2</f>
        <v>0</v>
      </c>
      <c r="AO121" s="17">
        <f>SUMIF('20.01'!$L:$L,$B:$B,'20.01'!$D:$D)*1.2</f>
        <v>0</v>
      </c>
      <c r="AP121" s="17">
        <f>SUMIF('20.01'!$M:$M,$B:$B,'20.01'!$D:$D)*1.2</f>
        <v>0</v>
      </c>
      <c r="AQ121" s="110">
        <f t="shared" si="130"/>
        <v>1971.5054420364904</v>
      </c>
      <c r="AR121" s="17">
        <f t="shared" si="131"/>
        <v>1971.5054420364904</v>
      </c>
      <c r="AS121" s="17">
        <f>(SUMIF('20.01'!$N:$N,$B:$B,'20.01'!$D:$D)+SUMIF('20.01'!$O:$O,$B:$B,'20.01'!$D:$D))*1.2</f>
        <v>0</v>
      </c>
      <c r="AT121" s="110">
        <f>SUMIF('20.01'!$P:$P,$B:$B,'20.01'!$D:$D)*1.2</f>
        <v>0</v>
      </c>
      <c r="AU121" s="110">
        <f t="shared" si="132"/>
        <v>0</v>
      </c>
      <c r="AV121" s="17">
        <f>SUMIF('20.01'!$Q:$Q,$B:$B,'20.01'!$D:$D)*1.2</f>
        <v>0</v>
      </c>
      <c r="AW121" s="17">
        <f>SUMIF('20.01'!$R:$R,$B:$B,'20.01'!$D:$D)*1.2</f>
        <v>0</v>
      </c>
      <c r="AX121" s="110">
        <f t="shared" si="133"/>
        <v>0</v>
      </c>
      <c r="AY121" s="17">
        <f>SUMIF('20.01'!$S:$S,$B:$B,'20.01'!$D:$D)*1.2</f>
        <v>0</v>
      </c>
      <c r="AZ121" s="17">
        <f>SUMIF('20.01'!$T:$T,$B:$B,'20.01'!$D:$D)*1.2</f>
        <v>0</v>
      </c>
      <c r="BA121" s="110">
        <f t="shared" si="134"/>
        <v>0</v>
      </c>
      <c r="BB121" s="17">
        <f>SUMIF('20.01'!$U:$U,$B:$B,'20.01'!$D:$D)*1.2</f>
        <v>0</v>
      </c>
      <c r="BC121" s="17">
        <f>SUMIF('20.01'!$V:$V,$B:$B,'20.01'!$D:$D)*1.2</f>
        <v>0</v>
      </c>
      <c r="BD121" s="17">
        <f>SUMIF('20.01'!$W:$W,$B:$B,'20.01'!$D:$D)*1.2</f>
        <v>0</v>
      </c>
      <c r="BE121" s="110">
        <f>SUMIF('20.01'!$X:$X,$B:$B,'20.01'!$D:$D)*1.2</f>
        <v>0</v>
      </c>
      <c r="BF121" s="110">
        <f t="shared" si="135"/>
        <v>0</v>
      </c>
      <c r="BG121" s="17">
        <f>SUMIF('20.01'!$Y:$Y,$B:$B,'20.01'!$D:$D)*1.2</f>
        <v>0</v>
      </c>
      <c r="BH121" s="17">
        <f>SUMIF('20.01'!$Z:$Z,$B:$B,'20.01'!$D:$D)*1.2</f>
        <v>0</v>
      </c>
      <c r="BI121" s="17">
        <f>SUMIF('20.01'!$AA:$AA,$B:$B,'20.01'!$D:$D)*1.2</f>
        <v>0</v>
      </c>
      <c r="BJ121" s="17">
        <f>SUMIF('20.01'!$AB:$AB,$B:$B,'20.01'!$D:$D)*1.2</f>
        <v>0</v>
      </c>
      <c r="BK121" s="17">
        <f>SUMIF('20.01'!$AC:$AC,$B:$B,'20.01'!$D:$D)*1.2</f>
        <v>0</v>
      </c>
      <c r="BL121" s="17">
        <f>SUMIF('20.01'!$AD:$AD,$B:$B,'20.01'!$D:$D)*1.2</f>
        <v>0</v>
      </c>
      <c r="BM121" s="110">
        <f t="shared" si="136"/>
        <v>0</v>
      </c>
      <c r="BN121" s="17">
        <f>SUMIF('20.01'!$AE:$AE,$B:$B,'20.01'!$D:$D)*1.2</f>
        <v>0</v>
      </c>
      <c r="BO121" s="17">
        <f>SUMIF('20.01'!$AF:$AF,$B:$B,'20.01'!$D:$D)*1.2</f>
        <v>0</v>
      </c>
      <c r="BP121" s="110">
        <f>SUMIF('20.01'!$AG:$AG,$B:$B,'20.01'!$D:$D)*1.2</f>
        <v>0</v>
      </c>
      <c r="BQ121" s="110">
        <f>SUMIF('20.01'!$AH:$AH,$B:$B,'20.01'!$D:$D)*1.2</f>
        <v>0</v>
      </c>
      <c r="BR121" s="110">
        <f>SUMIF('20.01'!$AI:$AI,$B:$B,'20.01'!$D:$D)*1.2</f>
        <v>0</v>
      </c>
      <c r="BS121" s="110">
        <f t="shared" si="137"/>
        <v>5356.8</v>
      </c>
      <c r="BT121" s="17">
        <f>SUMIF('20.01'!$AJ:$AJ,$B:$B,'20.01'!$D:$D)*1.2</f>
        <v>5356.8</v>
      </c>
      <c r="BU121" s="17">
        <f>SUMIF('20.01'!$AK:$AK,$B:$B,'20.01'!$D:$D)*1.2</f>
        <v>0</v>
      </c>
      <c r="BV121" s="110">
        <f>SUMIF('20.01'!$AL:$AL,$B:$B,'20.01'!$D:$D)*1.2</f>
        <v>394622.772</v>
      </c>
      <c r="BW121" s="110">
        <f>SUMIF('20.01'!$AM:$AM,$B:$B,'20.01'!$D:$D)*1.2</f>
        <v>0</v>
      </c>
      <c r="BX121" s="110">
        <f>SUMIF('20.01'!$AN:$AN,$B:$B,'20.01'!$D:$D)*1.2</f>
        <v>0</v>
      </c>
      <c r="BY121" s="110">
        <f t="shared" si="87"/>
        <v>557287.6903309495</v>
      </c>
      <c r="BZ121" s="17">
        <f t="shared" si="82"/>
        <v>430106.72293321684</v>
      </c>
      <c r="CA121" s="17">
        <f t="shared" si="88"/>
        <v>43529.033297011112</v>
      </c>
      <c r="CB121" s="17">
        <f t="shared" si="89"/>
        <v>2893.5871945081053</v>
      </c>
      <c r="CC121" s="17">
        <f>SUMIF('20.01'!$AO:$AO,$B:$B,'20.01'!$D:$D)*1.2</f>
        <v>0</v>
      </c>
      <c r="CD121" s="17">
        <f t="shared" si="90"/>
        <v>45426.380079194816</v>
      </c>
      <c r="CE121" s="17">
        <f>SUMIF('20.01'!$AQ:$AQ,$B:$B,'20.01'!$D:$D)*1.2</f>
        <v>0</v>
      </c>
      <c r="CF121" s="17">
        <f t="shared" si="91"/>
        <v>4133.0824884914018</v>
      </c>
      <c r="CG121" s="17">
        <f>SUMIF('20.01'!$AR:$AR,$B:$B,'20.01'!$D:$D)*1.2</f>
        <v>26355.132000000001</v>
      </c>
      <c r="CH121" s="17">
        <f t="shared" si="92"/>
        <v>2434.0856842510047</v>
      </c>
      <c r="CI121" s="17">
        <f>SUMIF('20.01'!$AT:$AT,$B:$B,'20.01'!$D:$D)*1.2</f>
        <v>0</v>
      </c>
      <c r="CJ121" s="17">
        <f>SUMIF('20.01'!$AU:$AU,$B:$B,'20.01'!$D:$D)*1.2</f>
        <v>0</v>
      </c>
      <c r="CK121" s="17">
        <f>SUMIF('20.01'!$AV:$AV,$B:$B,'20.01'!$D:$D)*1.2</f>
        <v>0</v>
      </c>
      <c r="CL121" s="17">
        <f t="shared" si="93"/>
        <v>2409.6666542762318</v>
      </c>
      <c r="CM121" s="17">
        <f>SUMIF('20.01'!$AW:$AW,$B:$B,'20.01'!$D:$D)*1.2</f>
        <v>0</v>
      </c>
      <c r="CN121" s="17">
        <f>SUMIF('20.01'!$AX:$AX,$B:$B,'20.01'!$D:$D)*1.2</f>
        <v>0</v>
      </c>
      <c r="CO121" s="110">
        <f t="shared" si="138"/>
        <v>808350.19953119801</v>
      </c>
      <c r="CP121" s="17">
        <f t="shared" si="139"/>
        <v>637660.0850732777</v>
      </c>
      <c r="CQ121" s="17">
        <f t="shared" si="94"/>
        <v>196726.910218882</v>
      </c>
      <c r="CR121" s="17">
        <f t="shared" si="95"/>
        <v>440933.17485439574</v>
      </c>
      <c r="CS121" s="17">
        <f t="shared" si="140"/>
        <v>170690.11445792034</v>
      </c>
      <c r="CT121" s="17">
        <f t="shared" si="96"/>
        <v>6218.3906034767242</v>
      </c>
      <c r="CU121" s="17">
        <f t="shared" si="97"/>
        <v>6014.6356921870047</v>
      </c>
      <c r="CV121" s="17">
        <f t="shared" si="98"/>
        <v>6216.2574440562557</v>
      </c>
      <c r="CW121" s="17">
        <f t="shared" si="99"/>
        <v>65.18430367820217</v>
      </c>
      <c r="CX121" s="17">
        <f t="shared" si="100"/>
        <v>91786.05298570884</v>
      </c>
      <c r="CY121" s="17">
        <f t="shared" si="101"/>
        <v>60389.593428813321</v>
      </c>
      <c r="CZ121" s="110">
        <f t="shared" si="141"/>
        <v>200653.68145406782</v>
      </c>
      <c r="DA121" s="17">
        <f t="shared" si="142"/>
        <v>7579.5701951397868</v>
      </c>
      <c r="DB121" s="17">
        <f t="shared" si="102"/>
        <v>7192.7340767275491</v>
      </c>
      <c r="DC121" s="17">
        <f t="shared" si="103"/>
        <v>386.83611841223791</v>
      </c>
      <c r="DD121" s="17">
        <f t="shared" si="104"/>
        <v>13356.072124876055</v>
      </c>
      <c r="DE121" s="17">
        <f t="shared" si="105"/>
        <v>4608.1968119420972</v>
      </c>
      <c r="DF121" s="17">
        <f t="shared" si="106"/>
        <v>5592.6888233049895</v>
      </c>
      <c r="DG121" s="17">
        <f t="shared" si="143"/>
        <v>169517.1534988049</v>
      </c>
      <c r="DH121" s="110">
        <f t="shared" si="144"/>
        <v>125223.57173659462</v>
      </c>
      <c r="DI121" s="17">
        <f t="shared" si="107"/>
        <v>112330.64949698106</v>
      </c>
      <c r="DJ121" s="17">
        <f t="shared" si="108"/>
        <v>12423.109773801898</v>
      </c>
      <c r="DK121" s="17">
        <f t="shared" si="109"/>
        <v>469.81246581166289</v>
      </c>
      <c r="DL121" s="110">
        <f t="shared" si="145"/>
        <v>744458.70728674054</v>
      </c>
      <c r="DM121" s="17">
        <f t="shared" si="110"/>
        <v>394563.11486197246</v>
      </c>
      <c r="DN121" s="17">
        <f t="shared" si="111"/>
        <v>349895.59242476808</v>
      </c>
      <c r="DO121" s="17">
        <f t="shared" si="112"/>
        <v>0</v>
      </c>
      <c r="DP121" s="110">
        <f t="shared" si="146"/>
        <v>0</v>
      </c>
      <c r="DQ121" s="17">
        <f>SUMIF('20.01'!$BB:$BB,$B:$B,'20.01'!$D:$D)*1.2</f>
        <v>0</v>
      </c>
      <c r="DR121" s="17">
        <f t="shared" si="113"/>
        <v>0</v>
      </c>
      <c r="DS121" s="17">
        <f t="shared" si="114"/>
        <v>0</v>
      </c>
      <c r="DT121" s="110">
        <f t="shared" si="147"/>
        <v>15172.044</v>
      </c>
      <c r="DU121" s="17">
        <f>SUMIF('20.01'!$BD:$BD,$B:$B,'20.01'!$D:$D)*1.2</f>
        <v>15172.044</v>
      </c>
      <c r="DV121" s="17">
        <f t="shared" si="115"/>
        <v>0</v>
      </c>
      <c r="DW121" s="17">
        <f t="shared" si="116"/>
        <v>0</v>
      </c>
      <c r="DX121" s="110">
        <f t="shared" si="117"/>
        <v>3040085.7945904066</v>
      </c>
      <c r="DY121" s="110"/>
      <c r="DZ121" s="110">
        <f t="shared" si="148"/>
        <v>3040085.7945904066</v>
      </c>
      <c r="EA121" s="257"/>
      <c r="EB121" s="110">
        <f t="shared" si="118"/>
        <v>0</v>
      </c>
      <c r="EC121" s="110">
        <f>SUMIF(еирц!$B:$B,$B:$B,еирц!$K:$K)</f>
        <v>2349285.2400000002</v>
      </c>
      <c r="ED121" s="110">
        <f>SUMIF(еирц!$B:$B,$B:$B,еирц!$P:$P)</f>
        <v>2316673.84</v>
      </c>
      <c r="EE121" s="110">
        <f>SUMIF(еирц!$B:$B,$B:$B,еирц!$S:$S)</f>
        <v>262935.38999999996</v>
      </c>
      <c r="EF121" s="177">
        <f t="shared" si="149"/>
        <v>-690800.55459040636</v>
      </c>
      <c r="EG121" s="181">
        <f t="shared" si="152"/>
        <v>0</v>
      </c>
      <c r="EH121" s="177">
        <f t="shared" si="150"/>
        <v>-690800.55459040636</v>
      </c>
    </row>
    <row r="122" spans="1:138" ht="12" customHeight="1" x14ac:dyDescent="0.25">
      <c r="A122" s="5">
        <f t="shared" si="151"/>
        <v>118</v>
      </c>
      <c r="B122" s="6" t="s">
        <v>202</v>
      </c>
      <c r="C122" s="7">
        <f t="shared" si="84"/>
        <v>3521.8</v>
      </c>
      <c r="D122" s="8">
        <v>3521.8</v>
      </c>
      <c r="E122" s="8">
        <v>0</v>
      </c>
      <c r="F122" s="8">
        <v>491.8</v>
      </c>
      <c r="G122" s="87">
        <f t="shared" si="85"/>
        <v>3521.8</v>
      </c>
      <c r="H122" s="87">
        <f t="shared" si="86"/>
        <v>3521.8</v>
      </c>
      <c r="I122" s="91">
        <v>0</v>
      </c>
      <c r="J122" s="112">
        <v>0</v>
      </c>
      <c r="K122" s="17">
        <v>0</v>
      </c>
      <c r="L122" s="112">
        <f t="shared" si="119"/>
        <v>0</v>
      </c>
      <c r="M122" s="116">
        <v>3.406416781628772</v>
      </c>
      <c r="N122" s="120">
        <f t="shared" si="120"/>
        <v>3521.8</v>
      </c>
      <c r="O122" s="116">
        <v>3.0862313434954158</v>
      </c>
      <c r="P122" s="120">
        <f t="shared" si="121"/>
        <v>3521.8</v>
      </c>
      <c r="Q122" s="116">
        <v>0</v>
      </c>
      <c r="R122" s="120">
        <f t="shared" si="122"/>
        <v>0</v>
      </c>
      <c r="S122" s="5" t="s">
        <v>143</v>
      </c>
      <c r="T122" s="87">
        <v>28.44</v>
      </c>
      <c r="U122" s="88">
        <v>4.68</v>
      </c>
      <c r="V122" s="88">
        <v>6.05</v>
      </c>
      <c r="W122" s="88">
        <v>8.24</v>
      </c>
      <c r="X122" s="88">
        <v>6.34</v>
      </c>
      <c r="Y122" s="88">
        <v>2.89</v>
      </c>
      <c r="Z122" s="88">
        <v>0</v>
      </c>
      <c r="AA122" s="88">
        <v>0</v>
      </c>
      <c r="AB122" s="88">
        <v>0.24</v>
      </c>
      <c r="AC122" s="257"/>
      <c r="AD122" s="110">
        <f t="shared" si="123"/>
        <v>261416.24322615034</v>
      </c>
      <c r="AE122" s="110">
        <f t="shared" si="124"/>
        <v>94725.3471356597</v>
      </c>
      <c r="AF122" s="16">
        <f>SUMIF('20.01'!$I:$I,$B:$B,'20.01'!$D:$D)*1.2</f>
        <v>34136.58</v>
      </c>
      <c r="AG122" s="17">
        <f t="shared" si="83"/>
        <v>9394.8536519640129</v>
      </c>
      <c r="AH122" s="17">
        <f t="shared" si="125"/>
        <v>2689.2429468929508</v>
      </c>
      <c r="AI122" s="16">
        <f>SUMIF('20.01'!$J:$J,$B:$B,'20.01'!$D:$D)*1.2</f>
        <v>0</v>
      </c>
      <c r="AJ122" s="17">
        <f t="shared" si="126"/>
        <v>1092.847873732112</v>
      </c>
      <c r="AK122" s="17">
        <f t="shared" si="127"/>
        <v>2658.6560954897022</v>
      </c>
      <c r="AL122" s="17">
        <f t="shared" si="128"/>
        <v>44753.166567580927</v>
      </c>
      <c r="AM122" s="110">
        <f t="shared" si="129"/>
        <v>57714.923999999992</v>
      </c>
      <c r="AN122" s="17">
        <f>SUMIF('20.01'!$K:$K,$B:$B,'20.01'!$D:$D)*1.2</f>
        <v>57714.923999999992</v>
      </c>
      <c r="AO122" s="17">
        <f>SUMIF('20.01'!$L:$L,$B:$B,'20.01'!$D:$D)*1.2</f>
        <v>0</v>
      </c>
      <c r="AP122" s="17">
        <f>SUMIF('20.01'!$M:$M,$B:$B,'20.01'!$D:$D)*1.2</f>
        <v>0</v>
      </c>
      <c r="AQ122" s="110">
        <f t="shared" si="130"/>
        <v>989.31609049063843</v>
      </c>
      <c r="AR122" s="17">
        <f t="shared" si="131"/>
        <v>989.31609049063843</v>
      </c>
      <c r="AS122" s="17">
        <f>(SUMIF('20.01'!$N:$N,$B:$B,'20.01'!$D:$D)+SUMIF('20.01'!$O:$O,$B:$B,'20.01'!$D:$D))*1.2</f>
        <v>0</v>
      </c>
      <c r="AT122" s="110">
        <f>SUMIF('20.01'!$P:$P,$B:$B,'20.01'!$D:$D)*1.2</f>
        <v>0</v>
      </c>
      <c r="AU122" s="110">
        <f t="shared" si="132"/>
        <v>0</v>
      </c>
      <c r="AV122" s="17">
        <f>SUMIF('20.01'!$Q:$Q,$B:$B,'20.01'!$D:$D)*1.2</f>
        <v>0</v>
      </c>
      <c r="AW122" s="17">
        <f>SUMIF('20.01'!$R:$R,$B:$B,'20.01'!$D:$D)*1.2</f>
        <v>0</v>
      </c>
      <c r="AX122" s="110">
        <f t="shared" si="133"/>
        <v>107986.656</v>
      </c>
      <c r="AY122" s="17">
        <f>SUMIF('20.01'!$S:$S,$B:$B,'20.01'!$D:$D)*1.2</f>
        <v>107986.656</v>
      </c>
      <c r="AZ122" s="17">
        <f>SUMIF('20.01'!$T:$T,$B:$B,'20.01'!$D:$D)*1.2</f>
        <v>0</v>
      </c>
      <c r="BA122" s="110">
        <f t="shared" si="134"/>
        <v>0</v>
      </c>
      <c r="BB122" s="17">
        <f>SUMIF('20.01'!$U:$U,$B:$B,'20.01'!$D:$D)*1.2</f>
        <v>0</v>
      </c>
      <c r="BC122" s="17">
        <f>SUMIF('20.01'!$V:$V,$B:$B,'20.01'!$D:$D)*1.2</f>
        <v>0</v>
      </c>
      <c r="BD122" s="17">
        <f>SUMIF('20.01'!$W:$W,$B:$B,'20.01'!$D:$D)*1.2</f>
        <v>0</v>
      </c>
      <c r="BE122" s="110">
        <f>SUMIF('20.01'!$X:$X,$B:$B,'20.01'!$D:$D)*1.2</f>
        <v>0</v>
      </c>
      <c r="BF122" s="110">
        <f t="shared" si="135"/>
        <v>0</v>
      </c>
      <c r="BG122" s="17">
        <f>SUMIF('20.01'!$Y:$Y,$B:$B,'20.01'!$D:$D)*1.2</f>
        <v>0</v>
      </c>
      <c r="BH122" s="17">
        <f>SUMIF('20.01'!$Z:$Z,$B:$B,'20.01'!$D:$D)*1.2</f>
        <v>0</v>
      </c>
      <c r="BI122" s="17">
        <f>SUMIF('20.01'!$AA:$AA,$B:$B,'20.01'!$D:$D)*1.2</f>
        <v>0</v>
      </c>
      <c r="BJ122" s="17">
        <f>SUMIF('20.01'!$AB:$AB,$B:$B,'20.01'!$D:$D)*1.2</f>
        <v>0</v>
      </c>
      <c r="BK122" s="17">
        <f>SUMIF('20.01'!$AC:$AC,$B:$B,'20.01'!$D:$D)*1.2</f>
        <v>0</v>
      </c>
      <c r="BL122" s="17">
        <f>SUMIF('20.01'!$AD:$AD,$B:$B,'20.01'!$D:$D)*1.2</f>
        <v>0</v>
      </c>
      <c r="BM122" s="110">
        <f t="shared" si="136"/>
        <v>0</v>
      </c>
      <c r="BN122" s="17">
        <f>SUMIF('20.01'!$AE:$AE,$B:$B,'20.01'!$D:$D)*1.2</f>
        <v>0</v>
      </c>
      <c r="BO122" s="17">
        <f>SUMIF('20.01'!$AF:$AF,$B:$B,'20.01'!$D:$D)*1.2</f>
        <v>0</v>
      </c>
      <c r="BP122" s="110">
        <f>SUMIF('20.01'!$AG:$AG,$B:$B,'20.01'!$D:$D)*1.2</f>
        <v>0</v>
      </c>
      <c r="BQ122" s="110">
        <f>SUMIF('20.01'!$AH:$AH,$B:$B,'20.01'!$D:$D)*1.2</f>
        <v>0</v>
      </c>
      <c r="BR122" s="110">
        <f>SUMIF('20.01'!$AI:$AI,$B:$B,'20.01'!$D:$D)*1.2</f>
        <v>0</v>
      </c>
      <c r="BS122" s="110">
        <f t="shared" si="137"/>
        <v>0</v>
      </c>
      <c r="BT122" s="17">
        <f>SUMIF('20.01'!$AJ:$AJ,$B:$B,'20.01'!$D:$D)*1.2</f>
        <v>0</v>
      </c>
      <c r="BU122" s="17">
        <f>SUMIF('20.01'!$AK:$AK,$B:$B,'20.01'!$D:$D)*1.2</f>
        <v>0</v>
      </c>
      <c r="BV122" s="110">
        <f>SUMIF('20.01'!$AL:$AL,$B:$B,'20.01'!$D:$D)*1.2</f>
        <v>0</v>
      </c>
      <c r="BW122" s="110">
        <f>SUMIF('20.01'!$AM:$AM,$B:$B,'20.01'!$D:$D)*1.2</f>
        <v>0</v>
      </c>
      <c r="BX122" s="110">
        <f>SUMIF('20.01'!$AN:$AN,$B:$B,'20.01'!$D:$D)*1.2</f>
        <v>0</v>
      </c>
      <c r="BY122" s="110">
        <f t="shared" si="87"/>
        <v>266425.90566708962</v>
      </c>
      <c r="BZ122" s="17">
        <f t="shared" si="82"/>
        <v>215830.75174598201</v>
      </c>
      <c r="CA122" s="17">
        <f t="shared" si="88"/>
        <v>21843.192580666884</v>
      </c>
      <c r="CB122" s="17">
        <f t="shared" si="89"/>
        <v>1452.0235702760733</v>
      </c>
      <c r="CC122" s="17">
        <f>SUMIF('20.01'!$AO:$AO,$B:$B,'20.01'!$D:$D)*1.2</f>
        <v>0</v>
      </c>
      <c r="CD122" s="17">
        <f t="shared" si="90"/>
        <v>22795.295304216066</v>
      </c>
      <c r="CE122" s="17">
        <f>SUMIF('20.01'!$AQ:$AQ,$B:$B,'20.01'!$D:$D)*1.2</f>
        <v>0</v>
      </c>
      <c r="CF122" s="17">
        <f t="shared" si="91"/>
        <v>2074.0115254086886</v>
      </c>
      <c r="CG122" s="17">
        <f>SUMIF('20.01'!$AR:$AR,$B:$B,'20.01'!$D:$D)*1.2</f>
        <v>0</v>
      </c>
      <c r="CH122" s="17">
        <f t="shared" si="92"/>
        <v>1221.4422956778544</v>
      </c>
      <c r="CI122" s="17">
        <f>SUMIF('20.01'!$AT:$AT,$B:$B,'20.01'!$D:$D)*1.2</f>
        <v>0</v>
      </c>
      <c r="CJ122" s="17">
        <f>SUMIF('20.01'!$AU:$AU,$B:$B,'20.01'!$D:$D)*1.2</f>
        <v>0</v>
      </c>
      <c r="CK122" s="17">
        <f>SUMIF('20.01'!$AV:$AV,$B:$B,'20.01'!$D:$D)*1.2</f>
        <v>0</v>
      </c>
      <c r="CL122" s="17">
        <f t="shared" si="93"/>
        <v>1209.1886448620285</v>
      </c>
      <c r="CM122" s="17">
        <f>SUMIF('20.01'!$AW:$AW,$B:$B,'20.01'!$D:$D)*1.2</f>
        <v>0</v>
      </c>
      <c r="CN122" s="17">
        <f>SUMIF('20.01'!$AX:$AX,$B:$B,'20.01'!$D:$D)*1.2</f>
        <v>0</v>
      </c>
      <c r="CO122" s="110">
        <f t="shared" si="138"/>
        <v>405636.14083735837</v>
      </c>
      <c r="CP122" s="17">
        <f t="shared" si="139"/>
        <v>319982.57218858169</v>
      </c>
      <c r="CQ122" s="17">
        <f t="shared" si="94"/>
        <v>98719.026365459489</v>
      </c>
      <c r="CR122" s="17">
        <f t="shared" si="95"/>
        <v>221263.5458231222</v>
      </c>
      <c r="CS122" s="17">
        <f t="shared" si="140"/>
        <v>85653.56864877668</v>
      </c>
      <c r="CT122" s="17">
        <f t="shared" si="96"/>
        <v>3120.4346433964588</v>
      </c>
      <c r="CU122" s="17">
        <f t="shared" si="97"/>
        <v>3018.1889138349979</v>
      </c>
      <c r="CV122" s="17">
        <f t="shared" si="98"/>
        <v>3119.3642081375679</v>
      </c>
      <c r="CW122" s="17">
        <f t="shared" si="99"/>
        <v>32.709968281730923</v>
      </c>
      <c r="CX122" s="17">
        <f t="shared" si="100"/>
        <v>46058.923888939156</v>
      </c>
      <c r="CY122" s="17">
        <f t="shared" si="101"/>
        <v>30303.947026186768</v>
      </c>
      <c r="CZ122" s="110">
        <f t="shared" si="141"/>
        <v>100689.50936987475</v>
      </c>
      <c r="DA122" s="17">
        <f t="shared" si="142"/>
        <v>3803.4846839222005</v>
      </c>
      <c r="DB122" s="17">
        <f t="shared" si="102"/>
        <v>3609.3674432754533</v>
      </c>
      <c r="DC122" s="17">
        <f t="shared" si="103"/>
        <v>194.11724064674706</v>
      </c>
      <c r="DD122" s="17">
        <f t="shared" si="104"/>
        <v>6702.1763050496338</v>
      </c>
      <c r="DE122" s="17">
        <f t="shared" si="105"/>
        <v>2312.4274257608658</v>
      </c>
      <c r="DF122" s="17">
        <f t="shared" si="106"/>
        <v>2806.4528375267714</v>
      </c>
      <c r="DG122" s="17">
        <f t="shared" si="143"/>
        <v>85064.968117615281</v>
      </c>
      <c r="DH122" s="110">
        <f t="shared" si="144"/>
        <v>62838.119432098829</v>
      </c>
      <c r="DI122" s="17">
        <f t="shared" si="107"/>
        <v>56368.355183353626</v>
      </c>
      <c r="DJ122" s="17">
        <f t="shared" si="108"/>
        <v>6234.0088599797282</v>
      </c>
      <c r="DK122" s="17">
        <f t="shared" si="109"/>
        <v>235.75538876547429</v>
      </c>
      <c r="DL122" s="110">
        <f t="shared" si="145"/>
        <v>373574.91494613927</v>
      </c>
      <c r="DM122" s="17">
        <f t="shared" si="110"/>
        <v>197994.70492145381</v>
      </c>
      <c r="DN122" s="17">
        <f t="shared" si="111"/>
        <v>175580.21002468545</v>
      </c>
      <c r="DO122" s="17">
        <f t="shared" si="112"/>
        <v>0</v>
      </c>
      <c r="DP122" s="110">
        <f t="shared" si="146"/>
        <v>0</v>
      </c>
      <c r="DQ122" s="17">
        <f>SUMIF('20.01'!$BB:$BB,$B:$B,'20.01'!$D:$D)*1.2</f>
        <v>0</v>
      </c>
      <c r="DR122" s="17">
        <f t="shared" si="113"/>
        <v>0</v>
      </c>
      <c r="DS122" s="17">
        <f t="shared" si="114"/>
        <v>0</v>
      </c>
      <c r="DT122" s="110">
        <f t="shared" si="147"/>
        <v>7586.0159999999996</v>
      </c>
      <c r="DU122" s="17">
        <f>SUMIF('20.01'!$BD:$BD,$B:$B,'20.01'!$D:$D)*1.2</f>
        <v>7586.0159999999996</v>
      </c>
      <c r="DV122" s="17">
        <f t="shared" si="115"/>
        <v>0</v>
      </c>
      <c r="DW122" s="17">
        <f t="shared" si="116"/>
        <v>0</v>
      </c>
      <c r="DX122" s="110">
        <f t="shared" si="117"/>
        <v>1478166.8494787111</v>
      </c>
      <c r="DY122" s="110"/>
      <c r="DZ122" s="110">
        <f t="shared" si="148"/>
        <v>1478166.8494787111</v>
      </c>
      <c r="EA122" s="257"/>
      <c r="EB122" s="110">
        <f t="shared" si="118"/>
        <v>0</v>
      </c>
      <c r="EC122" s="110">
        <f>SUMIF(еирц!$B:$B,$B:$B,еирц!$K:$K)</f>
        <v>1178888.58</v>
      </c>
      <c r="ED122" s="110">
        <f>SUMIF(еирц!$B:$B,$B:$B,еирц!$P:$P)</f>
        <v>1135652.75</v>
      </c>
      <c r="EE122" s="110">
        <f>SUMIF(еирц!$B:$B,$B:$B,еирц!$S:$S)</f>
        <v>437682.08</v>
      </c>
      <c r="EF122" s="177">
        <f t="shared" si="149"/>
        <v>-299278.26947871107</v>
      </c>
      <c r="EG122" s="181">
        <f t="shared" si="152"/>
        <v>0</v>
      </c>
      <c r="EH122" s="177">
        <f t="shared" si="150"/>
        <v>-299278.26947871107</v>
      </c>
    </row>
    <row r="123" spans="1:138" ht="12" customHeight="1" x14ac:dyDescent="0.25">
      <c r="A123" s="5">
        <f t="shared" si="151"/>
        <v>119</v>
      </c>
      <c r="B123" s="6" t="s">
        <v>203</v>
      </c>
      <c r="C123" s="7">
        <f t="shared" si="84"/>
        <v>3540.1</v>
      </c>
      <c r="D123" s="8">
        <v>3540.1</v>
      </c>
      <c r="E123" s="8">
        <v>0</v>
      </c>
      <c r="F123" s="8">
        <v>317.60000000000002</v>
      </c>
      <c r="G123" s="87">
        <f t="shared" si="85"/>
        <v>3540.1</v>
      </c>
      <c r="H123" s="87">
        <f t="shared" si="86"/>
        <v>3540.1</v>
      </c>
      <c r="I123" s="91">
        <v>0</v>
      </c>
      <c r="J123" s="112">
        <v>0</v>
      </c>
      <c r="K123" s="17">
        <v>4</v>
      </c>
      <c r="L123" s="112">
        <f t="shared" si="119"/>
        <v>9.638554216867469E-3</v>
      </c>
      <c r="M123" s="116">
        <v>3.4064161839911842</v>
      </c>
      <c r="N123" s="120">
        <f t="shared" si="120"/>
        <v>3540.1</v>
      </c>
      <c r="O123" s="116">
        <v>3.0862341819003758</v>
      </c>
      <c r="P123" s="120">
        <f t="shared" si="121"/>
        <v>3540.1</v>
      </c>
      <c r="Q123" s="116">
        <v>0</v>
      </c>
      <c r="R123" s="120">
        <f t="shared" si="122"/>
        <v>0</v>
      </c>
      <c r="S123" s="5" t="s">
        <v>143</v>
      </c>
      <c r="T123" s="87">
        <v>28.44</v>
      </c>
      <c r="U123" s="88">
        <v>4.68</v>
      </c>
      <c r="V123" s="88">
        <v>6.05</v>
      </c>
      <c r="W123" s="88">
        <v>8.24</v>
      </c>
      <c r="X123" s="88">
        <v>6.34</v>
      </c>
      <c r="Y123" s="88">
        <v>2.89</v>
      </c>
      <c r="Z123" s="88">
        <v>0</v>
      </c>
      <c r="AA123" s="88">
        <v>0</v>
      </c>
      <c r="AB123" s="88">
        <v>0.24</v>
      </c>
      <c r="AC123" s="257"/>
      <c r="AD123" s="110">
        <f t="shared" si="123"/>
        <v>183195.90366156364</v>
      </c>
      <c r="AE123" s="110">
        <f t="shared" si="124"/>
        <v>67671.754880387554</v>
      </c>
      <c r="AF123" s="16">
        <f>SUMIF('20.01'!$I:$I,$B:$B,'20.01'!$D:$D)*1.2</f>
        <v>6768.1559999999999</v>
      </c>
      <c r="AG123" s="17">
        <f t="shared" si="83"/>
        <v>9443.6712514389801</v>
      </c>
      <c r="AH123" s="17">
        <f t="shared" si="125"/>
        <v>2703.2168085341968</v>
      </c>
      <c r="AI123" s="16">
        <f>SUMIF('20.01'!$J:$J,$B:$B,'20.01'!$D:$D)*1.2</f>
        <v>0</v>
      </c>
      <c r="AJ123" s="17">
        <f t="shared" si="126"/>
        <v>1098.526536941067</v>
      </c>
      <c r="AK123" s="17">
        <f t="shared" si="127"/>
        <v>2672.4710215353211</v>
      </c>
      <c r="AL123" s="17">
        <f t="shared" si="128"/>
        <v>44985.713261937992</v>
      </c>
      <c r="AM123" s="110">
        <f t="shared" si="129"/>
        <v>21173.291999999998</v>
      </c>
      <c r="AN123" s="17">
        <f>SUMIF('20.01'!$K:$K,$B:$B,'20.01'!$D:$D)*1.2</f>
        <v>21173.291999999998</v>
      </c>
      <c r="AO123" s="17">
        <f>SUMIF('20.01'!$L:$L,$B:$B,'20.01'!$D:$D)*1.2</f>
        <v>0</v>
      </c>
      <c r="AP123" s="17">
        <f>SUMIF('20.01'!$M:$M,$B:$B,'20.01'!$D:$D)*1.2</f>
        <v>0</v>
      </c>
      <c r="AQ123" s="110">
        <f t="shared" si="130"/>
        <v>994.45678117607724</v>
      </c>
      <c r="AR123" s="17">
        <f t="shared" si="131"/>
        <v>994.45678117607724</v>
      </c>
      <c r="AS123" s="17">
        <f>(SUMIF('20.01'!$N:$N,$B:$B,'20.01'!$D:$D)+SUMIF('20.01'!$O:$O,$B:$B,'20.01'!$D:$D))*1.2</f>
        <v>0</v>
      </c>
      <c r="AT123" s="110">
        <f>SUMIF('20.01'!$P:$P,$B:$B,'20.01'!$D:$D)*1.2</f>
        <v>0</v>
      </c>
      <c r="AU123" s="110">
        <f t="shared" si="132"/>
        <v>0</v>
      </c>
      <c r="AV123" s="17">
        <f>SUMIF('20.01'!$Q:$Q,$B:$B,'20.01'!$D:$D)*1.2</f>
        <v>0</v>
      </c>
      <c r="AW123" s="17">
        <f>SUMIF('20.01'!$R:$R,$B:$B,'20.01'!$D:$D)*1.2</f>
        <v>0</v>
      </c>
      <c r="AX123" s="110">
        <f t="shared" si="133"/>
        <v>93356.4</v>
      </c>
      <c r="AY123" s="17">
        <f>SUMIF('20.01'!$S:$S,$B:$B,'20.01'!$D:$D)*1.2</f>
        <v>93356.4</v>
      </c>
      <c r="AZ123" s="17">
        <f>SUMIF('20.01'!$T:$T,$B:$B,'20.01'!$D:$D)*1.2</f>
        <v>0</v>
      </c>
      <c r="BA123" s="110">
        <f t="shared" si="134"/>
        <v>0</v>
      </c>
      <c r="BB123" s="17">
        <f>SUMIF('20.01'!$U:$U,$B:$B,'20.01'!$D:$D)*1.2</f>
        <v>0</v>
      </c>
      <c r="BC123" s="17">
        <f>SUMIF('20.01'!$V:$V,$B:$B,'20.01'!$D:$D)*1.2</f>
        <v>0</v>
      </c>
      <c r="BD123" s="17">
        <f>SUMIF('20.01'!$W:$W,$B:$B,'20.01'!$D:$D)*1.2</f>
        <v>0</v>
      </c>
      <c r="BE123" s="110">
        <f>SUMIF('20.01'!$X:$X,$B:$B,'20.01'!$D:$D)*1.2</f>
        <v>0</v>
      </c>
      <c r="BF123" s="110">
        <f t="shared" si="135"/>
        <v>0</v>
      </c>
      <c r="BG123" s="17">
        <f>SUMIF('20.01'!$Y:$Y,$B:$B,'20.01'!$D:$D)*1.2</f>
        <v>0</v>
      </c>
      <c r="BH123" s="17">
        <f>SUMIF('20.01'!$Z:$Z,$B:$B,'20.01'!$D:$D)*1.2</f>
        <v>0</v>
      </c>
      <c r="BI123" s="17">
        <f>SUMIF('20.01'!$AA:$AA,$B:$B,'20.01'!$D:$D)*1.2</f>
        <v>0</v>
      </c>
      <c r="BJ123" s="17">
        <f>SUMIF('20.01'!$AB:$AB,$B:$B,'20.01'!$D:$D)*1.2</f>
        <v>0</v>
      </c>
      <c r="BK123" s="17">
        <f>SUMIF('20.01'!$AC:$AC,$B:$B,'20.01'!$D:$D)*1.2</f>
        <v>0</v>
      </c>
      <c r="BL123" s="17">
        <f>SUMIF('20.01'!$AD:$AD,$B:$B,'20.01'!$D:$D)*1.2</f>
        <v>0</v>
      </c>
      <c r="BM123" s="110">
        <f t="shared" si="136"/>
        <v>0</v>
      </c>
      <c r="BN123" s="17">
        <f>SUMIF('20.01'!$AE:$AE,$B:$B,'20.01'!$D:$D)*1.2</f>
        <v>0</v>
      </c>
      <c r="BO123" s="17">
        <f>SUMIF('20.01'!$AF:$AF,$B:$B,'20.01'!$D:$D)*1.2</f>
        <v>0</v>
      </c>
      <c r="BP123" s="110">
        <f>SUMIF('20.01'!$AG:$AG,$B:$B,'20.01'!$D:$D)*1.2</f>
        <v>0</v>
      </c>
      <c r="BQ123" s="110">
        <f>SUMIF('20.01'!$AH:$AH,$B:$B,'20.01'!$D:$D)*1.2</f>
        <v>0</v>
      </c>
      <c r="BR123" s="110">
        <f>SUMIF('20.01'!$AI:$AI,$B:$B,'20.01'!$D:$D)*1.2</f>
        <v>0</v>
      </c>
      <c r="BS123" s="110">
        <f t="shared" si="137"/>
        <v>0</v>
      </c>
      <c r="BT123" s="17">
        <f>SUMIF('20.01'!$AJ:$AJ,$B:$B,'20.01'!$D:$D)*1.2</f>
        <v>0</v>
      </c>
      <c r="BU123" s="17">
        <f>SUMIF('20.01'!$AK:$AK,$B:$B,'20.01'!$D:$D)*1.2</f>
        <v>0</v>
      </c>
      <c r="BV123" s="110">
        <f>SUMIF('20.01'!$AL:$AL,$B:$B,'20.01'!$D:$D)*1.2</f>
        <v>0</v>
      </c>
      <c r="BW123" s="110">
        <f>SUMIF('20.01'!$AM:$AM,$B:$B,'20.01'!$D:$D)*1.2</f>
        <v>0</v>
      </c>
      <c r="BX123" s="110">
        <f>SUMIF('20.01'!$AN:$AN,$B:$B,'20.01'!$D:$D)*1.2</f>
        <v>0</v>
      </c>
      <c r="BY123" s="110">
        <f t="shared" si="87"/>
        <v>323687.08568597422</v>
      </c>
      <c r="BZ123" s="17">
        <f t="shared" si="82"/>
        <v>216952.25289793595</v>
      </c>
      <c r="CA123" s="17">
        <f t="shared" si="88"/>
        <v>21956.694319614639</v>
      </c>
      <c r="CB123" s="17">
        <f t="shared" si="89"/>
        <v>1459.5685845687792</v>
      </c>
      <c r="CC123" s="17">
        <f>SUMIF('20.01'!$AO:$AO,$B:$B,'20.01'!$D:$D)*1.2</f>
        <v>0</v>
      </c>
      <c r="CD123" s="17">
        <f t="shared" si="90"/>
        <v>22913.744365510614</v>
      </c>
      <c r="CE123" s="17">
        <f>SUMIF('20.01'!$AQ:$AQ,$B:$B,'20.01'!$D:$D)*1.2</f>
        <v>0</v>
      </c>
      <c r="CF123" s="17">
        <f t="shared" si="91"/>
        <v>2084.7885175476454</v>
      </c>
      <c r="CG123" s="17">
        <f>SUMIF('20.01'!$AR:$AR,$B:$B,'20.01'!$D:$D)*1.2</f>
        <v>55876.776000000005</v>
      </c>
      <c r="CH123" s="17">
        <f t="shared" si="92"/>
        <v>1227.7891620560999</v>
      </c>
      <c r="CI123" s="17">
        <f>SUMIF('20.01'!$AT:$AT,$B:$B,'20.01'!$D:$D)*1.2</f>
        <v>0</v>
      </c>
      <c r="CJ123" s="17">
        <f>SUMIF('20.01'!$AU:$AU,$B:$B,'20.01'!$D:$D)*1.2</f>
        <v>0</v>
      </c>
      <c r="CK123" s="17">
        <f>SUMIF('20.01'!$AV:$AV,$B:$B,'20.01'!$D:$D)*1.2</f>
        <v>0</v>
      </c>
      <c r="CL123" s="17">
        <f t="shared" si="93"/>
        <v>1215.4718387404359</v>
      </c>
      <c r="CM123" s="17">
        <f>SUMIF('20.01'!$AW:$AW,$B:$B,'20.01'!$D:$D)*1.2</f>
        <v>0</v>
      </c>
      <c r="CN123" s="17">
        <f>SUMIF('20.01'!$AX:$AX,$B:$B,'20.01'!$D:$D)*1.2</f>
        <v>0</v>
      </c>
      <c r="CO123" s="110">
        <f t="shared" si="138"/>
        <v>407743.90998305765</v>
      </c>
      <c r="CP123" s="17">
        <f t="shared" si="139"/>
        <v>321645.26770537737</v>
      </c>
      <c r="CQ123" s="17">
        <f t="shared" si="94"/>
        <v>99231.990810484145</v>
      </c>
      <c r="CR123" s="17">
        <f t="shared" si="95"/>
        <v>222413.27689489321</v>
      </c>
      <c r="CS123" s="17">
        <f t="shared" si="140"/>
        <v>86098.64227768025</v>
      </c>
      <c r="CT123" s="17">
        <f t="shared" si="96"/>
        <v>3136.6490661274925</v>
      </c>
      <c r="CU123" s="17">
        <f t="shared" si="97"/>
        <v>3033.8720466429877</v>
      </c>
      <c r="CV123" s="17">
        <f t="shared" si="98"/>
        <v>3135.5730686659672</v>
      </c>
      <c r="CW123" s="17">
        <f t="shared" si="99"/>
        <v>32.879936031051059</v>
      </c>
      <c r="CX123" s="17">
        <f t="shared" si="100"/>
        <v>46298.25556795772</v>
      </c>
      <c r="CY123" s="17">
        <f t="shared" si="101"/>
        <v>30461.412592255034</v>
      </c>
      <c r="CZ123" s="110">
        <f t="shared" si="141"/>
        <v>101212.71285146619</v>
      </c>
      <c r="DA123" s="17">
        <f t="shared" si="142"/>
        <v>3823.2483757036121</v>
      </c>
      <c r="DB123" s="17">
        <f t="shared" si="102"/>
        <v>3628.1224617921039</v>
      </c>
      <c r="DC123" s="17">
        <f t="shared" si="103"/>
        <v>195.12591391150812</v>
      </c>
      <c r="DD123" s="17">
        <f t="shared" si="104"/>
        <v>6737.0021970316902</v>
      </c>
      <c r="DE123" s="17">
        <f t="shared" si="105"/>
        <v>2324.4432761474359</v>
      </c>
      <c r="DF123" s="17">
        <f t="shared" si="106"/>
        <v>2821.0357459618726</v>
      </c>
      <c r="DG123" s="17">
        <f t="shared" si="143"/>
        <v>85506.983256621577</v>
      </c>
      <c r="DH123" s="110">
        <f t="shared" si="144"/>
        <v>63164.639275817215</v>
      </c>
      <c r="DI123" s="17">
        <f t="shared" si="107"/>
        <v>56661.256796124188</v>
      </c>
      <c r="DJ123" s="17">
        <f t="shared" si="108"/>
        <v>6266.4020572474965</v>
      </c>
      <c r="DK123" s="17">
        <f t="shared" si="109"/>
        <v>236.98042244552659</v>
      </c>
      <c r="DL123" s="110">
        <f t="shared" si="145"/>
        <v>375516.08734193526</v>
      </c>
      <c r="DM123" s="17">
        <f t="shared" si="110"/>
        <v>199023.52629122566</v>
      </c>
      <c r="DN123" s="17">
        <f t="shared" si="111"/>
        <v>176492.56105070957</v>
      </c>
      <c r="DO123" s="17">
        <f t="shared" si="112"/>
        <v>0</v>
      </c>
      <c r="DP123" s="110">
        <f t="shared" si="146"/>
        <v>0</v>
      </c>
      <c r="DQ123" s="17">
        <f>SUMIF('20.01'!$BB:$BB,$B:$B,'20.01'!$D:$D)*1.2</f>
        <v>0</v>
      </c>
      <c r="DR123" s="17">
        <f t="shared" si="113"/>
        <v>0</v>
      </c>
      <c r="DS123" s="17">
        <f t="shared" si="114"/>
        <v>0</v>
      </c>
      <c r="DT123" s="110">
        <f t="shared" si="147"/>
        <v>7586.0159999999996</v>
      </c>
      <c r="DU123" s="17">
        <f>SUMIF('20.01'!$BD:$BD,$B:$B,'20.01'!$D:$D)*1.2</f>
        <v>7586.0159999999996</v>
      </c>
      <c r="DV123" s="17">
        <f t="shared" si="115"/>
        <v>0</v>
      </c>
      <c r="DW123" s="17">
        <f t="shared" si="116"/>
        <v>0</v>
      </c>
      <c r="DX123" s="110">
        <f t="shared" si="117"/>
        <v>1462106.3547998143</v>
      </c>
      <c r="DY123" s="110"/>
      <c r="DZ123" s="110">
        <f t="shared" si="148"/>
        <v>1462106.3547998143</v>
      </c>
      <c r="EA123" s="257"/>
      <c r="EB123" s="110">
        <f t="shared" si="118"/>
        <v>3546.2168674698792</v>
      </c>
      <c r="EC123" s="110">
        <f>SUMIF(еирц!$B:$B,$B:$B,еирц!$K:$K)</f>
        <v>1185014.7600000002</v>
      </c>
      <c r="ED123" s="110">
        <f>SUMIF(еирц!$B:$B,$B:$B,еирц!$P:$P)</f>
        <v>1171017.76</v>
      </c>
      <c r="EE123" s="110">
        <f>SUMIF(еирц!$B:$B,$B:$B,еирц!$S:$S)</f>
        <v>390726.16</v>
      </c>
      <c r="EF123" s="177">
        <f t="shared" si="149"/>
        <v>-273545.3779323441</v>
      </c>
      <c r="EG123" s="181">
        <f t="shared" si="152"/>
        <v>0</v>
      </c>
      <c r="EH123" s="177">
        <f t="shared" si="150"/>
        <v>-273545.3779323441</v>
      </c>
    </row>
    <row r="124" spans="1:138" ht="12" customHeight="1" x14ac:dyDescent="0.25">
      <c r="A124" s="5">
        <f t="shared" si="151"/>
        <v>120</v>
      </c>
      <c r="B124" s="6" t="s">
        <v>204</v>
      </c>
      <c r="C124" s="7">
        <f t="shared" si="84"/>
        <v>3334.9</v>
      </c>
      <c r="D124" s="8">
        <v>3334.9</v>
      </c>
      <c r="E124" s="8">
        <v>0</v>
      </c>
      <c r="F124" s="8">
        <v>327.10000000000002</v>
      </c>
      <c r="G124" s="87">
        <f t="shared" si="85"/>
        <v>3334.9</v>
      </c>
      <c r="H124" s="87">
        <f t="shared" si="86"/>
        <v>3334.9</v>
      </c>
      <c r="I124" s="91">
        <v>0</v>
      </c>
      <c r="J124" s="112">
        <v>0</v>
      </c>
      <c r="K124" s="17">
        <v>4</v>
      </c>
      <c r="L124" s="112">
        <f t="shared" si="119"/>
        <v>9.638554216867469E-3</v>
      </c>
      <c r="M124" s="116">
        <v>3.4064151015875876</v>
      </c>
      <c r="N124" s="120">
        <f t="shared" si="120"/>
        <v>3334.9</v>
      </c>
      <c r="O124" s="116">
        <v>3.0862328501545577</v>
      </c>
      <c r="P124" s="120">
        <f t="shared" si="121"/>
        <v>3334.9</v>
      </c>
      <c r="Q124" s="116">
        <v>0</v>
      </c>
      <c r="R124" s="120">
        <f t="shared" si="122"/>
        <v>0</v>
      </c>
      <c r="S124" s="5" t="s">
        <v>143</v>
      </c>
      <c r="T124" s="87">
        <v>28.44</v>
      </c>
      <c r="U124" s="88">
        <v>4.68</v>
      </c>
      <c r="V124" s="88">
        <v>6.05</v>
      </c>
      <c r="W124" s="88">
        <v>8.24</v>
      </c>
      <c r="X124" s="88">
        <v>6.34</v>
      </c>
      <c r="Y124" s="88">
        <v>2.89</v>
      </c>
      <c r="Z124" s="88">
        <v>0</v>
      </c>
      <c r="AA124" s="88">
        <v>0</v>
      </c>
      <c r="AB124" s="88">
        <v>0.24</v>
      </c>
      <c r="AC124" s="257"/>
      <c r="AD124" s="110">
        <f t="shared" si="123"/>
        <v>526117.71202512598</v>
      </c>
      <c r="AE124" s="110">
        <f t="shared" si="124"/>
        <v>67504.474398521081</v>
      </c>
      <c r="AF124" s="16">
        <f>SUMIF('20.01'!$I:$I,$B:$B,'20.01'!$D:$D)*1.2</f>
        <v>10131.120000000001</v>
      </c>
      <c r="AG124" s="17">
        <f t="shared" si="83"/>
        <v>8896.2739065065543</v>
      </c>
      <c r="AH124" s="17">
        <f t="shared" si="125"/>
        <v>2546.5262943930097</v>
      </c>
      <c r="AI124" s="16">
        <f>SUMIF('20.01'!$J:$J,$B:$B,'20.01'!$D:$D)*1.2</f>
        <v>0</v>
      </c>
      <c r="AJ124" s="17">
        <f t="shared" si="126"/>
        <v>1034.8510347291783</v>
      </c>
      <c r="AK124" s="17">
        <f t="shared" si="127"/>
        <v>2517.5626704664114</v>
      </c>
      <c r="AL124" s="17">
        <f t="shared" si="128"/>
        <v>42378.140492425926</v>
      </c>
      <c r="AM124" s="110">
        <f t="shared" si="129"/>
        <v>0</v>
      </c>
      <c r="AN124" s="17">
        <f>SUMIF('20.01'!$K:$K,$B:$B,'20.01'!$D:$D)*1.2</f>
        <v>0</v>
      </c>
      <c r="AO124" s="17">
        <f>SUMIF('20.01'!$L:$L,$B:$B,'20.01'!$D:$D)*1.2</f>
        <v>0</v>
      </c>
      <c r="AP124" s="17">
        <f>SUMIF('20.01'!$M:$M,$B:$B,'20.01'!$D:$D)*1.2</f>
        <v>0</v>
      </c>
      <c r="AQ124" s="110">
        <f t="shared" si="130"/>
        <v>936.81362660492641</v>
      </c>
      <c r="AR124" s="17">
        <f t="shared" si="131"/>
        <v>936.81362660492641</v>
      </c>
      <c r="AS124" s="17">
        <f>(SUMIF('20.01'!$N:$N,$B:$B,'20.01'!$D:$D)+SUMIF('20.01'!$O:$O,$B:$B,'20.01'!$D:$D))*1.2</f>
        <v>0</v>
      </c>
      <c r="AT124" s="110">
        <f>SUMIF('20.01'!$P:$P,$B:$B,'20.01'!$D:$D)*1.2</f>
        <v>0</v>
      </c>
      <c r="AU124" s="110">
        <f t="shared" si="132"/>
        <v>0</v>
      </c>
      <c r="AV124" s="17">
        <f>SUMIF('20.01'!$Q:$Q,$B:$B,'20.01'!$D:$D)*1.2</f>
        <v>0</v>
      </c>
      <c r="AW124" s="17">
        <f>SUMIF('20.01'!$R:$R,$B:$B,'20.01'!$D:$D)*1.2</f>
        <v>0</v>
      </c>
      <c r="AX124" s="110">
        <f t="shared" si="133"/>
        <v>151243.19999999998</v>
      </c>
      <c r="AY124" s="17">
        <f>SUMIF('20.01'!$S:$S,$B:$B,'20.01'!$D:$D)*1.2</f>
        <v>151243.19999999998</v>
      </c>
      <c r="AZ124" s="17">
        <f>SUMIF('20.01'!$T:$T,$B:$B,'20.01'!$D:$D)*1.2</f>
        <v>0</v>
      </c>
      <c r="BA124" s="110">
        <f t="shared" si="134"/>
        <v>0</v>
      </c>
      <c r="BB124" s="17">
        <f>SUMIF('20.01'!$U:$U,$B:$B,'20.01'!$D:$D)*1.2</f>
        <v>0</v>
      </c>
      <c r="BC124" s="17">
        <f>SUMIF('20.01'!$V:$V,$B:$B,'20.01'!$D:$D)*1.2</f>
        <v>0</v>
      </c>
      <c r="BD124" s="17">
        <f>SUMIF('20.01'!$W:$W,$B:$B,'20.01'!$D:$D)*1.2</f>
        <v>0</v>
      </c>
      <c r="BE124" s="110">
        <f>SUMIF('20.01'!$X:$X,$B:$B,'20.01'!$D:$D)*1.2</f>
        <v>0</v>
      </c>
      <c r="BF124" s="110">
        <f t="shared" si="135"/>
        <v>0</v>
      </c>
      <c r="BG124" s="17">
        <f>SUMIF('20.01'!$Y:$Y,$B:$B,'20.01'!$D:$D)*1.2</f>
        <v>0</v>
      </c>
      <c r="BH124" s="17">
        <f>SUMIF('20.01'!$Z:$Z,$B:$B,'20.01'!$D:$D)*1.2</f>
        <v>0</v>
      </c>
      <c r="BI124" s="17">
        <f>SUMIF('20.01'!$AA:$AA,$B:$B,'20.01'!$D:$D)*1.2</f>
        <v>0</v>
      </c>
      <c r="BJ124" s="17">
        <f>SUMIF('20.01'!$AB:$AB,$B:$B,'20.01'!$D:$D)*1.2</f>
        <v>0</v>
      </c>
      <c r="BK124" s="17">
        <f>SUMIF('20.01'!$AC:$AC,$B:$B,'20.01'!$D:$D)*1.2</f>
        <v>0</v>
      </c>
      <c r="BL124" s="17">
        <f>SUMIF('20.01'!$AD:$AD,$B:$B,'20.01'!$D:$D)*1.2</f>
        <v>0</v>
      </c>
      <c r="BM124" s="110">
        <f t="shared" si="136"/>
        <v>0</v>
      </c>
      <c r="BN124" s="17">
        <f>SUMIF('20.01'!$AE:$AE,$B:$B,'20.01'!$D:$D)*1.2</f>
        <v>0</v>
      </c>
      <c r="BO124" s="17">
        <f>SUMIF('20.01'!$AF:$AF,$B:$B,'20.01'!$D:$D)*1.2</f>
        <v>0</v>
      </c>
      <c r="BP124" s="110">
        <f>SUMIF('20.01'!$AG:$AG,$B:$B,'20.01'!$D:$D)*1.2</f>
        <v>0</v>
      </c>
      <c r="BQ124" s="110">
        <f>SUMIF('20.01'!$AH:$AH,$B:$B,'20.01'!$D:$D)*1.2</f>
        <v>0</v>
      </c>
      <c r="BR124" s="110">
        <f>SUMIF('20.01'!$AI:$AI,$B:$B,'20.01'!$D:$D)*1.2</f>
        <v>0</v>
      </c>
      <c r="BS124" s="110">
        <f t="shared" si="137"/>
        <v>0</v>
      </c>
      <c r="BT124" s="17">
        <f>SUMIF('20.01'!$AJ:$AJ,$B:$B,'20.01'!$D:$D)*1.2</f>
        <v>0</v>
      </c>
      <c r="BU124" s="17">
        <f>SUMIF('20.01'!$AK:$AK,$B:$B,'20.01'!$D:$D)*1.2</f>
        <v>0</v>
      </c>
      <c r="BV124" s="110">
        <f>SUMIF('20.01'!$AL:$AL,$B:$B,'20.01'!$D:$D)*1.2</f>
        <v>306433.22399999999</v>
      </c>
      <c r="BW124" s="110">
        <f>SUMIF('20.01'!$AM:$AM,$B:$B,'20.01'!$D:$D)*1.2</f>
        <v>0</v>
      </c>
      <c r="BX124" s="110">
        <f>SUMIF('20.01'!$AN:$AN,$B:$B,'20.01'!$D:$D)*1.2</f>
        <v>0</v>
      </c>
      <c r="BY124" s="110">
        <f t="shared" si="87"/>
        <v>436039.25255618629</v>
      </c>
      <c r="BZ124" s="17">
        <f t="shared" si="82"/>
        <v>204376.73178422265</v>
      </c>
      <c r="CA124" s="17">
        <f t="shared" si="88"/>
        <v>20683.986296003746</v>
      </c>
      <c r="CB124" s="17">
        <f t="shared" si="89"/>
        <v>1374.9654734833543</v>
      </c>
      <c r="CC124" s="17">
        <f>SUMIF('20.01'!$AO:$AO,$B:$B,'20.01'!$D:$D)*1.2</f>
        <v>0</v>
      </c>
      <c r="CD124" s="17">
        <f t="shared" si="90"/>
        <v>21585.561448699573</v>
      </c>
      <c r="CE124" s="17">
        <f>SUMIF('20.01'!$AQ:$AQ,$B:$B,'20.01'!$D:$D)*1.2</f>
        <v>0</v>
      </c>
      <c r="CF124" s="17">
        <f t="shared" si="91"/>
        <v>1963.944867989504</v>
      </c>
      <c r="CG124" s="17">
        <f>SUMIF('20.01'!$AR:$AR,$B:$B,'20.01'!$D:$D)*1.2</f>
        <v>183752.42399999997</v>
      </c>
      <c r="CH124" s="17">
        <f t="shared" si="92"/>
        <v>1156.6210210279053</v>
      </c>
      <c r="CI124" s="17">
        <f>SUMIF('20.01'!$AT:$AT,$B:$B,'20.01'!$D:$D)*1.2</f>
        <v>0</v>
      </c>
      <c r="CJ124" s="17">
        <f>SUMIF('20.01'!$AU:$AU,$B:$B,'20.01'!$D:$D)*1.2</f>
        <v>0</v>
      </c>
      <c r="CK124" s="17">
        <f>SUMIF('20.01'!$AV:$AV,$B:$B,'20.01'!$D:$D)*1.2</f>
        <v>0</v>
      </c>
      <c r="CL124" s="17">
        <f t="shared" si="93"/>
        <v>1145.0176647596056</v>
      </c>
      <c r="CM124" s="17">
        <f>SUMIF('20.01'!$AW:$AW,$B:$B,'20.01'!$D:$D)*1.2</f>
        <v>0</v>
      </c>
      <c r="CN124" s="17">
        <f>SUMIF('20.01'!$AX:$AX,$B:$B,'20.01'!$D:$D)*1.2</f>
        <v>0</v>
      </c>
      <c r="CO124" s="110">
        <f t="shared" si="138"/>
        <v>384109.25267718395</v>
      </c>
      <c r="CP124" s="17">
        <f t="shared" si="139"/>
        <v>303001.27207442245</v>
      </c>
      <c r="CQ124" s="17">
        <f t="shared" si="94"/>
        <v>93480.061623650065</v>
      </c>
      <c r="CR124" s="17">
        <f t="shared" si="95"/>
        <v>209521.2104507724</v>
      </c>
      <c r="CS124" s="17">
        <f t="shared" si="140"/>
        <v>81107.980602761469</v>
      </c>
      <c r="CT124" s="17">
        <f t="shared" si="96"/>
        <v>2954.8348833729488</v>
      </c>
      <c r="CU124" s="17">
        <f t="shared" si="97"/>
        <v>2858.0152787632273</v>
      </c>
      <c r="CV124" s="17">
        <f t="shared" si="98"/>
        <v>2953.8212555278483</v>
      </c>
      <c r="CW124" s="17">
        <f t="shared" si="99"/>
        <v>30.974068153428487</v>
      </c>
      <c r="CX124" s="17">
        <f t="shared" si="100"/>
        <v>43614.601986831498</v>
      </c>
      <c r="CY124" s="17">
        <f t="shared" si="101"/>
        <v>28695.733130112516</v>
      </c>
      <c r="CZ124" s="110">
        <f t="shared" si="141"/>
        <v>95345.972172637659</v>
      </c>
      <c r="DA124" s="17">
        <f t="shared" si="142"/>
        <v>3601.6358317940103</v>
      </c>
      <c r="DB124" s="17">
        <f t="shared" si="102"/>
        <v>3417.820286949659</v>
      </c>
      <c r="DC124" s="17">
        <f t="shared" si="103"/>
        <v>183.81554484435142</v>
      </c>
      <c r="DD124" s="17">
        <f t="shared" si="104"/>
        <v>6346.4954738230517</v>
      </c>
      <c r="DE124" s="17">
        <f t="shared" si="105"/>
        <v>2189.7081668947444</v>
      </c>
      <c r="DF124" s="17">
        <f t="shared" si="106"/>
        <v>2657.5159202305726</v>
      </c>
      <c r="DG124" s="17">
        <f t="shared" si="143"/>
        <v>80550.616779895281</v>
      </c>
      <c r="DH124" s="110">
        <f t="shared" si="144"/>
        <v>59503.334798712705</v>
      </c>
      <c r="DI124" s="17">
        <f t="shared" si="107"/>
        <v>53376.917400467377</v>
      </c>
      <c r="DJ124" s="17">
        <f t="shared" si="108"/>
        <v>5903.1734190318575</v>
      </c>
      <c r="DK124" s="17">
        <f t="shared" si="109"/>
        <v>223.24397921346477</v>
      </c>
      <c r="DL124" s="110">
        <f t="shared" si="145"/>
        <v>353749.49851038668</v>
      </c>
      <c r="DM124" s="17">
        <f t="shared" si="110"/>
        <v>187487.23421050495</v>
      </c>
      <c r="DN124" s="17">
        <f t="shared" si="111"/>
        <v>166262.26429988176</v>
      </c>
      <c r="DO124" s="17">
        <f t="shared" si="112"/>
        <v>0</v>
      </c>
      <c r="DP124" s="110">
        <f t="shared" si="146"/>
        <v>0</v>
      </c>
      <c r="DQ124" s="17">
        <f>SUMIF('20.01'!$BB:$BB,$B:$B,'20.01'!$D:$D)*1.2</f>
        <v>0</v>
      </c>
      <c r="DR124" s="17">
        <f t="shared" si="113"/>
        <v>0</v>
      </c>
      <c r="DS124" s="17">
        <f t="shared" si="114"/>
        <v>0</v>
      </c>
      <c r="DT124" s="110">
        <f t="shared" si="147"/>
        <v>6637.7640000000001</v>
      </c>
      <c r="DU124" s="17">
        <f>SUMIF('20.01'!$BD:$BD,$B:$B,'20.01'!$D:$D)*1.2</f>
        <v>6637.7640000000001</v>
      </c>
      <c r="DV124" s="17">
        <f t="shared" si="115"/>
        <v>0</v>
      </c>
      <c r="DW124" s="17">
        <f t="shared" si="116"/>
        <v>0</v>
      </c>
      <c r="DX124" s="110">
        <f t="shared" si="117"/>
        <v>1861502.7867402332</v>
      </c>
      <c r="DY124" s="110"/>
      <c r="DZ124" s="110">
        <f t="shared" si="148"/>
        <v>1861502.7867402332</v>
      </c>
      <c r="EA124" s="257"/>
      <c r="EB124" s="110">
        <f t="shared" si="118"/>
        <v>3546.2168674698792</v>
      </c>
      <c r="EC124" s="110">
        <f>SUMIF(еирц!$B:$B,$B:$B,еирц!$K:$K)</f>
        <v>1116325.56</v>
      </c>
      <c r="ED124" s="110">
        <f>SUMIF(еирц!$B:$B,$B:$B,еирц!$P:$P)</f>
        <v>1064669.9300000002</v>
      </c>
      <c r="EE124" s="110">
        <f>SUMIF(еирц!$B:$B,$B:$B,еирц!$S:$S)</f>
        <v>477296.83999999997</v>
      </c>
      <c r="EF124" s="177">
        <f t="shared" si="149"/>
        <v>-741631.00987276318</v>
      </c>
      <c r="EG124" s="181">
        <f t="shared" si="152"/>
        <v>0</v>
      </c>
      <c r="EH124" s="177">
        <f t="shared" si="150"/>
        <v>-741631.00987276318</v>
      </c>
    </row>
    <row r="125" spans="1:138" ht="12" customHeight="1" x14ac:dyDescent="0.25">
      <c r="A125" s="5">
        <f t="shared" si="151"/>
        <v>121</v>
      </c>
      <c r="B125" s="6" t="s">
        <v>205</v>
      </c>
      <c r="C125" s="7">
        <f t="shared" si="84"/>
        <v>3185.2</v>
      </c>
      <c r="D125" s="8">
        <v>3185.2</v>
      </c>
      <c r="E125" s="8">
        <v>0</v>
      </c>
      <c r="F125" s="8">
        <v>255.5</v>
      </c>
      <c r="G125" s="87">
        <f t="shared" si="85"/>
        <v>3185.2</v>
      </c>
      <c r="H125" s="87">
        <f t="shared" si="86"/>
        <v>3185.2</v>
      </c>
      <c r="I125" s="91">
        <v>0</v>
      </c>
      <c r="J125" s="112">
        <v>0</v>
      </c>
      <c r="K125" s="17">
        <v>4</v>
      </c>
      <c r="L125" s="112">
        <f t="shared" si="119"/>
        <v>9.638554216867469E-3</v>
      </c>
      <c r="M125" s="116">
        <v>3.4064179950362856</v>
      </c>
      <c r="N125" s="120">
        <f t="shared" si="120"/>
        <v>3185.2</v>
      </c>
      <c r="O125" s="116">
        <v>3.0862293990135403</v>
      </c>
      <c r="P125" s="120">
        <f t="shared" si="121"/>
        <v>3185.2</v>
      </c>
      <c r="Q125" s="116">
        <v>0</v>
      </c>
      <c r="R125" s="120">
        <f t="shared" si="122"/>
        <v>0</v>
      </c>
      <c r="S125" s="5" t="s">
        <v>143</v>
      </c>
      <c r="T125" s="87">
        <v>28.44</v>
      </c>
      <c r="U125" s="88">
        <v>4.68</v>
      </c>
      <c r="V125" s="88">
        <v>6.05</v>
      </c>
      <c r="W125" s="88">
        <v>8.24</v>
      </c>
      <c r="X125" s="88">
        <v>6.34</v>
      </c>
      <c r="Y125" s="88">
        <v>2.89</v>
      </c>
      <c r="Z125" s="88">
        <v>0</v>
      </c>
      <c r="AA125" s="88">
        <v>0</v>
      </c>
      <c r="AB125" s="88">
        <v>0.24</v>
      </c>
      <c r="AC125" s="257"/>
      <c r="AD125" s="110">
        <f t="shared" si="123"/>
        <v>425904.36459444999</v>
      </c>
      <c r="AE125" s="110">
        <f t="shared" si="124"/>
        <v>59134.427503124331</v>
      </c>
      <c r="AF125" s="16">
        <f>SUMIF('20.01'!$I:$I,$B:$B,'20.01'!$D:$D)*1.2</f>
        <v>4336.5</v>
      </c>
      <c r="AG125" s="17">
        <f t="shared" si="83"/>
        <v>8496.9299370309982</v>
      </c>
      <c r="AH125" s="17">
        <f t="shared" si="125"/>
        <v>2432.2155245736349</v>
      </c>
      <c r="AI125" s="16">
        <f>SUMIF('20.01'!$J:$J,$B:$B,'20.01'!$D:$D)*1.2</f>
        <v>0</v>
      </c>
      <c r="AJ125" s="17">
        <f t="shared" si="126"/>
        <v>988.39770782313667</v>
      </c>
      <c r="AK125" s="17">
        <f t="shared" si="127"/>
        <v>2404.552045929297</v>
      </c>
      <c r="AL125" s="17">
        <f t="shared" si="128"/>
        <v>40475.832287767262</v>
      </c>
      <c r="AM125" s="110">
        <f t="shared" si="129"/>
        <v>23943.083999999999</v>
      </c>
      <c r="AN125" s="17">
        <f>SUMIF('20.01'!$K:$K,$B:$B,'20.01'!$D:$D)*1.2</f>
        <v>23943.083999999999</v>
      </c>
      <c r="AO125" s="17">
        <f>SUMIF('20.01'!$L:$L,$B:$B,'20.01'!$D:$D)*1.2</f>
        <v>0</v>
      </c>
      <c r="AP125" s="17">
        <f>SUMIF('20.01'!$M:$M,$B:$B,'20.01'!$D:$D)*1.2</f>
        <v>0</v>
      </c>
      <c r="AQ125" s="110">
        <f t="shared" si="130"/>
        <v>894.76109132568035</v>
      </c>
      <c r="AR125" s="17">
        <f t="shared" si="131"/>
        <v>894.76109132568035</v>
      </c>
      <c r="AS125" s="17">
        <f>(SUMIF('20.01'!$N:$N,$B:$B,'20.01'!$D:$D)+SUMIF('20.01'!$O:$O,$B:$B,'20.01'!$D:$D))*1.2</f>
        <v>0</v>
      </c>
      <c r="AT125" s="110">
        <f>SUMIF('20.01'!$P:$P,$B:$B,'20.01'!$D:$D)*1.2</f>
        <v>0</v>
      </c>
      <c r="AU125" s="110">
        <f t="shared" si="132"/>
        <v>0</v>
      </c>
      <c r="AV125" s="17">
        <f>SUMIF('20.01'!$Q:$Q,$B:$B,'20.01'!$D:$D)*1.2</f>
        <v>0</v>
      </c>
      <c r="AW125" s="17">
        <f>SUMIF('20.01'!$R:$R,$B:$B,'20.01'!$D:$D)*1.2</f>
        <v>0</v>
      </c>
      <c r="AX125" s="110">
        <f t="shared" si="133"/>
        <v>54396.503999999994</v>
      </c>
      <c r="AY125" s="17">
        <f>SUMIF('20.01'!$S:$S,$B:$B,'20.01'!$D:$D)*1.2</f>
        <v>54396.503999999994</v>
      </c>
      <c r="AZ125" s="17">
        <f>SUMIF('20.01'!$T:$T,$B:$B,'20.01'!$D:$D)*1.2</f>
        <v>0</v>
      </c>
      <c r="BA125" s="110">
        <f t="shared" si="134"/>
        <v>0</v>
      </c>
      <c r="BB125" s="17">
        <f>SUMIF('20.01'!$U:$U,$B:$B,'20.01'!$D:$D)*1.2</f>
        <v>0</v>
      </c>
      <c r="BC125" s="17">
        <f>SUMIF('20.01'!$V:$V,$B:$B,'20.01'!$D:$D)*1.2</f>
        <v>0</v>
      </c>
      <c r="BD125" s="17">
        <f>SUMIF('20.01'!$W:$W,$B:$B,'20.01'!$D:$D)*1.2</f>
        <v>0</v>
      </c>
      <c r="BE125" s="110">
        <f>SUMIF('20.01'!$X:$X,$B:$B,'20.01'!$D:$D)*1.2</f>
        <v>0</v>
      </c>
      <c r="BF125" s="110">
        <f t="shared" si="135"/>
        <v>0</v>
      </c>
      <c r="BG125" s="17">
        <f>SUMIF('20.01'!$Y:$Y,$B:$B,'20.01'!$D:$D)*1.2</f>
        <v>0</v>
      </c>
      <c r="BH125" s="17">
        <f>SUMIF('20.01'!$Z:$Z,$B:$B,'20.01'!$D:$D)*1.2</f>
        <v>0</v>
      </c>
      <c r="BI125" s="17">
        <f>SUMIF('20.01'!$AA:$AA,$B:$B,'20.01'!$D:$D)*1.2</f>
        <v>0</v>
      </c>
      <c r="BJ125" s="17">
        <f>SUMIF('20.01'!$AB:$AB,$B:$B,'20.01'!$D:$D)*1.2</f>
        <v>0</v>
      </c>
      <c r="BK125" s="17">
        <f>SUMIF('20.01'!$AC:$AC,$B:$B,'20.01'!$D:$D)*1.2</f>
        <v>0</v>
      </c>
      <c r="BL125" s="17">
        <f>SUMIF('20.01'!$AD:$AD,$B:$B,'20.01'!$D:$D)*1.2</f>
        <v>0</v>
      </c>
      <c r="BM125" s="110">
        <f t="shared" si="136"/>
        <v>0</v>
      </c>
      <c r="BN125" s="17">
        <f>SUMIF('20.01'!$AE:$AE,$B:$B,'20.01'!$D:$D)*1.2</f>
        <v>0</v>
      </c>
      <c r="BO125" s="17">
        <f>SUMIF('20.01'!$AF:$AF,$B:$B,'20.01'!$D:$D)*1.2</f>
        <v>0</v>
      </c>
      <c r="BP125" s="110">
        <f>SUMIF('20.01'!$AG:$AG,$B:$B,'20.01'!$D:$D)*1.2</f>
        <v>0</v>
      </c>
      <c r="BQ125" s="110">
        <f>SUMIF('20.01'!$AH:$AH,$B:$B,'20.01'!$D:$D)*1.2</f>
        <v>0</v>
      </c>
      <c r="BR125" s="110">
        <f>SUMIF('20.01'!$AI:$AI,$B:$B,'20.01'!$D:$D)*1.2</f>
        <v>0</v>
      </c>
      <c r="BS125" s="110">
        <f t="shared" si="137"/>
        <v>0</v>
      </c>
      <c r="BT125" s="17">
        <f>SUMIF('20.01'!$AJ:$AJ,$B:$B,'20.01'!$D:$D)*1.2</f>
        <v>0</v>
      </c>
      <c r="BU125" s="17">
        <f>SUMIF('20.01'!$AK:$AK,$B:$B,'20.01'!$D:$D)*1.2</f>
        <v>0</v>
      </c>
      <c r="BV125" s="110">
        <f>SUMIF('20.01'!$AL:$AL,$B:$B,'20.01'!$D:$D)*1.2</f>
        <v>287535.58799999999</v>
      </c>
      <c r="BW125" s="110">
        <f>SUMIF('20.01'!$AM:$AM,$B:$B,'20.01'!$D:$D)*1.2</f>
        <v>0</v>
      </c>
      <c r="BX125" s="110">
        <f>SUMIF('20.01'!$AN:$AN,$B:$B,'20.01'!$D:$D)*1.2</f>
        <v>0</v>
      </c>
      <c r="BY125" s="110">
        <f t="shared" si="87"/>
        <v>389600.15377875342</v>
      </c>
      <c r="BZ125" s="17">
        <f t="shared" si="82"/>
        <v>195202.4846559435</v>
      </c>
      <c r="CA125" s="17">
        <f t="shared" si="88"/>
        <v>19755.504857726206</v>
      </c>
      <c r="CB125" s="17">
        <f t="shared" si="89"/>
        <v>1313.2447827938408</v>
      </c>
      <c r="CC125" s="17">
        <f>SUMIF('20.01'!$AO:$AO,$B:$B,'20.01'!$D:$D)*1.2</f>
        <v>0</v>
      </c>
      <c r="CD125" s="17">
        <f t="shared" si="90"/>
        <v>20616.609291552333</v>
      </c>
      <c r="CE125" s="17">
        <f>SUMIF('20.01'!$AQ:$AQ,$B:$B,'20.01'!$D:$D)*1.2</f>
        <v>0</v>
      </c>
      <c r="CF125" s="17">
        <f t="shared" si="91"/>
        <v>1875.7855388527896</v>
      </c>
      <c r="CG125" s="17">
        <f>SUMIF('20.01'!$AR:$AR,$B:$B,'20.01'!$D:$D)*1.2</f>
        <v>148638.204</v>
      </c>
      <c r="CH125" s="17">
        <f t="shared" si="92"/>
        <v>1104.7015731140616</v>
      </c>
      <c r="CI125" s="17">
        <f>SUMIF('20.01'!$AT:$AT,$B:$B,'20.01'!$D:$D)*1.2</f>
        <v>0</v>
      </c>
      <c r="CJ125" s="17">
        <f>SUMIF('20.01'!$AU:$AU,$B:$B,'20.01'!$D:$D)*1.2</f>
        <v>0</v>
      </c>
      <c r="CK125" s="17">
        <f>SUMIF('20.01'!$AV:$AV,$B:$B,'20.01'!$D:$D)*1.2</f>
        <v>0</v>
      </c>
      <c r="CL125" s="17">
        <f t="shared" si="93"/>
        <v>1093.6190787706664</v>
      </c>
      <c r="CM125" s="17">
        <f>SUMIF('20.01'!$AW:$AW,$B:$B,'20.01'!$D:$D)*1.2</f>
        <v>0</v>
      </c>
      <c r="CN125" s="17">
        <f>SUMIF('20.01'!$AX:$AX,$B:$B,'20.01'!$D:$D)*1.2</f>
        <v>0</v>
      </c>
      <c r="CO125" s="110">
        <f t="shared" si="138"/>
        <v>366867.00999351288</v>
      </c>
      <c r="CP125" s="17">
        <f t="shared" si="139"/>
        <v>289399.87760096265</v>
      </c>
      <c r="CQ125" s="17">
        <f t="shared" si="94"/>
        <v>89283.844278284261</v>
      </c>
      <c r="CR125" s="17">
        <f t="shared" si="95"/>
        <v>200116.03332267841</v>
      </c>
      <c r="CS125" s="17">
        <f t="shared" si="140"/>
        <v>77467.132392550251</v>
      </c>
      <c r="CT125" s="17">
        <f t="shared" si="96"/>
        <v>2822.195589228917</v>
      </c>
      <c r="CU125" s="17">
        <f t="shared" si="97"/>
        <v>2729.7221103831093</v>
      </c>
      <c r="CV125" s="17">
        <f t="shared" si="98"/>
        <v>2821.2274620250387</v>
      </c>
      <c r="CW125" s="17">
        <f t="shared" si="99"/>
        <v>29.5836762368588</v>
      </c>
      <c r="CX125" s="17">
        <f t="shared" si="100"/>
        <v>41656.790383056672</v>
      </c>
      <c r="CY125" s="17">
        <f t="shared" si="101"/>
        <v>27407.613171619651</v>
      </c>
      <c r="CZ125" s="110">
        <f t="shared" si="141"/>
        <v>91065.996151094616</v>
      </c>
      <c r="DA125" s="17">
        <f t="shared" si="142"/>
        <v>3439.9623531231168</v>
      </c>
      <c r="DB125" s="17">
        <f t="shared" si="102"/>
        <v>3264.3980862970566</v>
      </c>
      <c r="DC125" s="17">
        <f t="shared" si="103"/>
        <v>175.56426682606016</v>
      </c>
      <c r="DD125" s="17">
        <f t="shared" si="104"/>
        <v>6061.6082590845854</v>
      </c>
      <c r="DE125" s="17">
        <f t="shared" si="105"/>
        <v>2091.4145711095202</v>
      </c>
      <c r="DF125" s="17">
        <f t="shared" si="106"/>
        <v>2538.2229479499892</v>
      </c>
      <c r="DG125" s="17">
        <f t="shared" si="143"/>
        <v>76934.788019827407</v>
      </c>
      <c r="DH125" s="110">
        <f t="shared" si="144"/>
        <v>56832.295421409835</v>
      </c>
      <c r="DI125" s="17">
        <f t="shared" si="107"/>
        <v>50980.886174688494</v>
      </c>
      <c r="DJ125" s="17">
        <f t="shared" si="108"/>
        <v>5638.1864446610907</v>
      </c>
      <c r="DK125" s="17">
        <f t="shared" si="109"/>
        <v>213.22280206025005</v>
      </c>
      <c r="DL125" s="110">
        <f t="shared" si="145"/>
        <v>337870.07186280959</v>
      </c>
      <c r="DM125" s="17">
        <f t="shared" si="110"/>
        <v>179071.13808728906</v>
      </c>
      <c r="DN125" s="17">
        <f t="shared" si="111"/>
        <v>158798.93377552051</v>
      </c>
      <c r="DO125" s="17">
        <f t="shared" si="112"/>
        <v>0</v>
      </c>
      <c r="DP125" s="110">
        <f t="shared" si="146"/>
        <v>0</v>
      </c>
      <c r="DQ125" s="17">
        <f>SUMIF('20.01'!$BB:$BB,$B:$B,'20.01'!$D:$D)*1.2</f>
        <v>0</v>
      </c>
      <c r="DR125" s="17">
        <f t="shared" si="113"/>
        <v>0</v>
      </c>
      <c r="DS125" s="17">
        <f t="shared" si="114"/>
        <v>0</v>
      </c>
      <c r="DT125" s="110">
        <f t="shared" si="147"/>
        <v>7586.0159999999996</v>
      </c>
      <c r="DU125" s="17">
        <f>SUMIF('20.01'!$BD:$BD,$B:$B,'20.01'!$D:$D)*1.2</f>
        <v>7586.0159999999996</v>
      </c>
      <c r="DV125" s="17">
        <f t="shared" si="115"/>
        <v>0</v>
      </c>
      <c r="DW125" s="17">
        <f t="shared" si="116"/>
        <v>0</v>
      </c>
      <c r="DX125" s="110">
        <f t="shared" si="117"/>
        <v>1675725.9078020304</v>
      </c>
      <c r="DY125" s="110"/>
      <c r="DZ125" s="110">
        <f t="shared" si="148"/>
        <v>1675725.9078020304</v>
      </c>
      <c r="EA125" s="257"/>
      <c r="EB125" s="110">
        <f t="shared" si="118"/>
        <v>3546.2168674698792</v>
      </c>
      <c r="EC125" s="110">
        <f>SUMIF(еирц!$B:$B,$B:$B,еирц!$K:$K)</f>
        <v>1066215.3500000001</v>
      </c>
      <c r="ED125" s="110">
        <f>SUMIF(еирц!$B:$B,$B:$B,еирц!$P:$P)</f>
        <v>973269.58000000007</v>
      </c>
      <c r="EE125" s="110">
        <f>SUMIF(еирц!$B:$B,$B:$B,еирц!$S:$S)</f>
        <v>659773</v>
      </c>
      <c r="EF125" s="177">
        <f t="shared" si="149"/>
        <v>-605964.3409345604</v>
      </c>
      <c r="EG125" s="181">
        <f t="shared" si="152"/>
        <v>0</v>
      </c>
      <c r="EH125" s="177">
        <f t="shared" si="150"/>
        <v>-605964.3409345604</v>
      </c>
    </row>
    <row r="126" spans="1:138" ht="12" customHeight="1" x14ac:dyDescent="0.25">
      <c r="A126" s="5">
        <f t="shared" si="151"/>
        <v>122</v>
      </c>
      <c r="B126" s="6" t="s">
        <v>206</v>
      </c>
      <c r="C126" s="7">
        <f t="shared" si="84"/>
        <v>6130.9800000000005</v>
      </c>
      <c r="D126" s="8">
        <v>5060.8</v>
      </c>
      <c r="E126" s="8">
        <v>1070.18</v>
      </c>
      <c r="F126" s="8">
        <v>1137.2</v>
      </c>
      <c r="G126" s="91">
        <f t="shared" si="85"/>
        <v>6130.9800000000005</v>
      </c>
      <c r="H126" s="87">
        <f t="shared" si="86"/>
        <v>0</v>
      </c>
      <c r="I126" s="91">
        <v>2</v>
      </c>
      <c r="J126" s="112">
        <v>9.6360193838539252E-3</v>
      </c>
      <c r="K126" s="17">
        <v>1</v>
      </c>
      <c r="L126" s="112">
        <f t="shared" si="119"/>
        <v>2.4096385542168672E-3</v>
      </c>
      <c r="M126" s="116">
        <v>3.4064177925803536</v>
      </c>
      <c r="N126" s="120">
        <f t="shared" si="120"/>
        <v>6130.9800000000005</v>
      </c>
      <c r="O126" s="116">
        <v>3.0862309678846271</v>
      </c>
      <c r="P126" s="120">
        <f t="shared" si="121"/>
        <v>6130.9800000000005</v>
      </c>
      <c r="Q126" s="116">
        <v>1.6009269939568196</v>
      </c>
      <c r="R126" s="120">
        <f t="shared" si="122"/>
        <v>6130.9800000000005</v>
      </c>
      <c r="S126" s="5" t="s">
        <v>143</v>
      </c>
      <c r="T126" s="87">
        <v>41.1</v>
      </c>
      <c r="U126" s="88">
        <v>4.68</v>
      </c>
      <c r="V126" s="88">
        <v>7.92</v>
      </c>
      <c r="W126" s="88">
        <v>12.32</v>
      </c>
      <c r="X126" s="88">
        <v>6.34</v>
      </c>
      <c r="Y126" s="88">
        <v>2.89</v>
      </c>
      <c r="Z126" s="88">
        <v>1.66</v>
      </c>
      <c r="AA126" s="88">
        <v>5.29</v>
      </c>
      <c r="AB126" s="88">
        <v>0</v>
      </c>
      <c r="AC126" s="257"/>
      <c r="AD126" s="110">
        <f t="shared" si="123"/>
        <v>2590578.638583072</v>
      </c>
      <c r="AE126" s="110">
        <f t="shared" si="124"/>
        <v>245539.52436566152</v>
      </c>
      <c r="AF126" s="16">
        <f>SUMIF('20.01'!$I:$I,$B:$B,'20.01'!$D:$D)*1.2</f>
        <v>140062.63199999998</v>
      </c>
      <c r="AG126" s="17">
        <f t="shared" si="83"/>
        <v>16355.17628573977</v>
      </c>
      <c r="AH126" s="17">
        <f t="shared" si="125"/>
        <v>4681.6101773359487</v>
      </c>
      <c r="AI126" s="16">
        <f>SUMIF('20.01'!$J:$J,$B:$B,'20.01'!$D:$D)*1.2</f>
        <v>0</v>
      </c>
      <c r="AJ126" s="17">
        <f t="shared" si="126"/>
        <v>1902.5011235431043</v>
      </c>
      <c r="AK126" s="17">
        <f t="shared" si="127"/>
        <v>4628.3625839983688</v>
      </c>
      <c r="AL126" s="17">
        <f t="shared" si="128"/>
        <v>77909.242195044382</v>
      </c>
      <c r="AM126" s="110">
        <f t="shared" si="129"/>
        <v>0</v>
      </c>
      <c r="AN126" s="17">
        <f>SUMIF('20.01'!$K:$K,$B:$B,'20.01'!$D:$D)*1.2</f>
        <v>0</v>
      </c>
      <c r="AO126" s="17">
        <f>SUMIF('20.01'!$L:$L,$B:$B,'20.01'!$D:$D)*1.2</f>
        <v>0</v>
      </c>
      <c r="AP126" s="17">
        <f>SUMIF('20.01'!$M:$M,$B:$B,'20.01'!$D:$D)*1.2</f>
        <v>0</v>
      </c>
      <c r="AQ126" s="110">
        <f t="shared" si="130"/>
        <v>1722.2662174104987</v>
      </c>
      <c r="AR126" s="17">
        <f t="shared" si="131"/>
        <v>1722.2662174104987</v>
      </c>
      <c r="AS126" s="17">
        <f>(SUMIF('20.01'!$N:$N,$B:$B,'20.01'!$D:$D)+SUMIF('20.01'!$O:$O,$B:$B,'20.01'!$D:$D))*1.2</f>
        <v>0</v>
      </c>
      <c r="AT126" s="110">
        <f>SUMIF('20.01'!$P:$P,$B:$B,'20.01'!$D:$D)*1.2</f>
        <v>0</v>
      </c>
      <c r="AU126" s="110">
        <f t="shared" si="132"/>
        <v>0</v>
      </c>
      <c r="AV126" s="17">
        <f>SUMIF('20.01'!$Q:$Q,$B:$B,'20.01'!$D:$D)*1.2</f>
        <v>0</v>
      </c>
      <c r="AW126" s="17">
        <f>SUMIF('20.01'!$R:$R,$B:$B,'20.01'!$D:$D)*1.2</f>
        <v>0</v>
      </c>
      <c r="AX126" s="110">
        <f t="shared" si="133"/>
        <v>0</v>
      </c>
      <c r="AY126" s="17">
        <f>SUMIF('20.01'!$S:$S,$B:$B,'20.01'!$D:$D)*1.2</f>
        <v>0</v>
      </c>
      <c r="AZ126" s="17">
        <f>SUMIF('20.01'!$T:$T,$B:$B,'20.01'!$D:$D)*1.2</f>
        <v>0</v>
      </c>
      <c r="BA126" s="110">
        <f t="shared" si="134"/>
        <v>0</v>
      </c>
      <c r="BB126" s="17">
        <f>SUMIF('20.01'!$U:$U,$B:$B,'20.01'!$D:$D)*1.2</f>
        <v>0</v>
      </c>
      <c r="BC126" s="17">
        <f>SUMIF('20.01'!$V:$V,$B:$B,'20.01'!$D:$D)*1.2</f>
        <v>0</v>
      </c>
      <c r="BD126" s="17">
        <f>SUMIF('20.01'!$W:$W,$B:$B,'20.01'!$D:$D)*1.2</f>
        <v>0</v>
      </c>
      <c r="BE126" s="110">
        <f>SUMIF('20.01'!$X:$X,$B:$B,'20.01'!$D:$D)*1.2</f>
        <v>0</v>
      </c>
      <c r="BF126" s="110">
        <f t="shared" si="135"/>
        <v>2343316.8479999998</v>
      </c>
      <c r="BG126" s="17">
        <f>SUMIF('20.01'!$Y:$Y,$B:$B,'20.01'!$D:$D)*1.2</f>
        <v>0</v>
      </c>
      <c r="BH126" s="17">
        <f>SUMIF('20.01'!$Z:$Z,$B:$B,'20.01'!$D:$D)*1.2</f>
        <v>2343316.8479999998</v>
      </c>
      <c r="BI126" s="17">
        <f>SUMIF('20.01'!$AA:$AA,$B:$B,'20.01'!$D:$D)*1.2</f>
        <v>0</v>
      </c>
      <c r="BJ126" s="17">
        <f>SUMIF('20.01'!$AB:$AB,$B:$B,'20.01'!$D:$D)*1.2</f>
        <v>0</v>
      </c>
      <c r="BK126" s="17">
        <f>SUMIF('20.01'!$AC:$AC,$B:$B,'20.01'!$D:$D)*1.2</f>
        <v>0</v>
      </c>
      <c r="BL126" s="17">
        <f>SUMIF('20.01'!$AD:$AD,$B:$B,'20.01'!$D:$D)*1.2</f>
        <v>0</v>
      </c>
      <c r="BM126" s="110">
        <f t="shared" si="136"/>
        <v>0</v>
      </c>
      <c r="BN126" s="17">
        <f>SUMIF('20.01'!$AE:$AE,$B:$B,'20.01'!$D:$D)*1.2</f>
        <v>0</v>
      </c>
      <c r="BO126" s="17">
        <f>SUMIF('20.01'!$AF:$AF,$B:$B,'20.01'!$D:$D)*1.2</f>
        <v>0</v>
      </c>
      <c r="BP126" s="110">
        <f>SUMIF('20.01'!$AG:$AG,$B:$B,'20.01'!$D:$D)*1.2</f>
        <v>0</v>
      </c>
      <c r="BQ126" s="110">
        <f>SUMIF('20.01'!$AH:$AH,$B:$B,'20.01'!$D:$D)*1.2</f>
        <v>0</v>
      </c>
      <c r="BR126" s="110">
        <f>SUMIF('20.01'!$AI:$AI,$B:$B,'20.01'!$D:$D)*1.2</f>
        <v>0</v>
      </c>
      <c r="BS126" s="110">
        <f t="shared" si="137"/>
        <v>0</v>
      </c>
      <c r="BT126" s="17">
        <f>SUMIF('20.01'!$AJ:$AJ,$B:$B,'20.01'!$D:$D)*1.2</f>
        <v>0</v>
      </c>
      <c r="BU126" s="17">
        <f>SUMIF('20.01'!$AK:$AK,$B:$B,'20.01'!$D:$D)*1.2</f>
        <v>0</v>
      </c>
      <c r="BV126" s="110">
        <f>SUMIF('20.01'!$AL:$AL,$B:$B,'20.01'!$D:$D)*1.2</f>
        <v>0</v>
      </c>
      <c r="BW126" s="110">
        <f>SUMIF('20.01'!$AM:$AM,$B:$B,'20.01'!$D:$D)*1.2</f>
        <v>0</v>
      </c>
      <c r="BX126" s="110">
        <f>SUMIF('20.01'!$AN:$AN,$B:$B,'20.01'!$D:$D)*1.2</f>
        <v>0</v>
      </c>
      <c r="BY126" s="110">
        <f t="shared" si="87"/>
        <v>463811.6585628977</v>
      </c>
      <c r="BZ126" s="17">
        <f t="shared" si="82"/>
        <v>375732.30232823576</v>
      </c>
      <c r="CA126" s="17">
        <f t="shared" si="88"/>
        <v>38026.059642290034</v>
      </c>
      <c r="CB126" s="17">
        <f t="shared" si="89"/>
        <v>2527.7776900707595</v>
      </c>
      <c r="CC126" s="17">
        <f>SUMIF('20.01'!$AO:$AO,$B:$B,'20.01'!$D:$D)*1.2</f>
        <v>0</v>
      </c>
      <c r="CD126" s="17">
        <f t="shared" si="90"/>
        <v>39683.542394299111</v>
      </c>
      <c r="CE126" s="17">
        <f>SUMIF('20.01'!$AQ:$AQ,$B:$B,'20.01'!$D:$D)*1.2</f>
        <v>0</v>
      </c>
      <c r="CF126" s="17">
        <f t="shared" si="91"/>
        <v>3610.5750417542627</v>
      </c>
      <c r="CG126" s="17">
        <f>SUMIF('20.01'!$AR:$AR,$B:$B,'20.01'!$D:$D)*1.2</f>
        <v>0</v>
      </c>
      <c r="CH126" s="17">
        <f t="shared" si="92"/>
        <v>2126.3667118959092</v>
      </c>
      <c r="CI126" s="17">
        <f>SUMIF('20.01'!$AT:$AT,$B:$B,'20.01'!$D:$D)*1.2</f>
        <v>0</v>
      </c>
      <c r="CJ126" s="17">
        <f>SUMIF('20.01'!$AU:$AU,$B:$B,'20.01'!$D:$D)*1.2</f>
        <v>0</v>
      </c>
      <c r="CK126" s="17">
        <f>SUMIF('20.01'!$AV:$AV,$B:$B,'20.01'!$D:$D)*1.2</f>
        <v>0</v>
      </c>
      <c r="CL126" s="17">
        <f t="shared" si="93"/>
        <v>2105.0347543518087</v>
      </c>
      <c r="CM126" s="17">
        <f>SUMIF('20.01'!$AW:$AW,$B:$B,'20.01'!$D:$D)*1.2</f>
        <v>0</v>
      </c>
      <c r="CN126" s="17">
        <f>SUMIF('20.01'!$AX:$AX,$B:$B,'20.01'!$D:$D)*1.2</f>
        <v>0</v>
      </c>
      <c r="CO126" s="110">
        <f t="shared" si="138"/>
        <v>706157.9495573364</v>
      </c>
      <c r="CP126" s="17">
        <f t="shared" si="139"/>
        <v>557046.60981224105</v>
      </c>
      <c r="CQ126" s="17">
        <f t="shared" si="94"/>
        <v>171856.54388838229</v>
      </c>
      <c r="CR126" s="17">
        <f t="shared" si="95"/>
        <v>385190.06592385878</v>
      </c>
      <c r="CS126" s="17">
        <f t="shared" si="140"/>
        <v>149111.33974509538</v>
      </c>
      <c r="CT126" s="17">
        <f t="shared" si="96"/>
        <v>5432.2569112302863</v>
      </c>
      <c r="CU126" s="17">
        <f t="shared" si="97"/>
        <v>5254.2608515373095</v>
      </c>
      <c r="CV126" s="17">
        <f t="shared" si="98"/>
        <v>5430.3934274539351</v>
      </c>
      <c r="CW126" s="17">
        <f t="shared" si="99"/>
        <v>56.943654192721517</v>
      </c>
      <c r="CX126" s="17">
        <f t="shared" si="100"/>
        <v>80182.390023456246</v>
      </c>
      <c r="CY126" s="17">
        <f t="shared" si="101"/>
        <v>52755.094877224874</v>
      </c>
      <c r="CZ126" s="110">
        <f t="shared" si="141"/>
        <v>175286.88970313896</v>
      </c>
      <c r="DA126" s="17">
        <f t="shared" si="142"/>
        <v>6621.3551386885492</v>
      </c>
      <c r="DB126" s="17">
        <f t="shared" si="102"/>
        <v>6283.4231379899311</v>
      </c>
      <c r="DC126" s="17">
        <f t="shared" si="103"/>
        <v>337.93200069861814</v>
      </c>
      <c r="DD126" s="17">
        <f t="shared" si="104"/>
        <v>11667.587280008293</v>
      </c>
      <c r="DE126" s="17">
        <f t="shared" si="105"/>
        <v>4025.625049347309</v>
      </c>
      <c r="DF126" s="17">
        <f t="shared" si="106"/>
        <v>4885.6568282752814</v>
      </c>
      <c r="DG126" s="17">
        <f t="shared" si="143"/>
        <v>148086.66540681952</v>
      </c>
      <c r="DH126" s="110">
        <f t="shared" si="144"/>
        <v>109392.71210057622</v>
      </c>
      <c r="DI126" s="17">
        <f t="shared" si="107"/>
        <v>98129.722943391855</v>
      </c>
      <c r="DJ126" s="17">
        <f t="shared" si="108"/>
        <v>10852.570742335884</v>
      </c>
      <c r="DK126" s="17">
        <f t="shared" si="109"/>
        <v>410.41841484847168</v>
      </c>
      <c r="DL126" s="110">
        <f t="shared" si="145"/>
        <v>827789.97771379957</v>
      </c>
      <c r="DM126" s="17">
        <f t="shared" si="110"/>
        <v>344682.144352131</v>
      </c>
      <c r="DN126" s="17">
        <f t="shared" si="111"/>
        <v>305661.52423679543</v>
      </c>
      <c r="DO126" s="17">
        <f t="shared" si="112"/>
        <v>177446.30912487319</v>
      </c>
      <c r="DP126" s="110">
        <f t="shared" si="146"/>
        <v>273234.14423921762</v>
      </c>
      <c r="DQ126" s="17">
        <f>SUMIF('20.01'!$BB:$BB,$B:$B,'20.01'!$D:$D)*1.2</f>
        <v>7106.3759999999993</v>
      </c>
      <c r="DR126" s="17">
        <f t="shared" si="113"/>
        <v>264169.45902206725</v>
      </c>
      <c r="DS126" s="17">
        <f t="shared" si="114"/>
        <v>1958.3092171504081</v>
      </c>
      <c r="DT126" s="110">
        <f t="shared" si="147"/>
        <v>0</v>
      </c>
      <c r="DU126" s="17">
        <f>SUMIF('20.01'!$BD:$BD,$B:$B,'20.01'!$D:$D)*1.2</f>
        <v>0</v>
      </c>
      <c r="DV126" s="17">
        <f t="shared" si="115"/>
        <v>0</v>
      </c>
      <c r="DW126" s="17">
        <f t="shared" si="116"/>
        <v>0</v>
      </c>
      <c r="DX126" s="110">
        <f t="shared" si="117"/>
        <v>5146251.9704600386</v>
      </c>
      <c r="DY126" s="110"/>
      <c r="DZ126" s="110">
        <f t="shared" si="148"/>
        <v>5146251.9704600386</v>
      </c>
      <c r="EA126" s="257"/>
      <c r="EB126" s="110">
        <f t="shared" si="118"/>
        <v>886.55421686746979</v>
      </c>
      <c r="EC126" s="110">
        <f>SUMIF(еирц!$B:$B,$B:$B,еирц!$K:$K)</f>
        <v>2438145.3899999997</v>
      </c>
      <c r="ED126" s="110">
        <f>SUMIF(еирц!$B:$B,$B:$B,еирц!$P:$P)</f>
        <v>2404735.2399999998</v>
      </c>
      <c r="EE126" s="110">
        <f>SUMIF(еирц!$B:$B,$B:$B,еирц!$S:$S)</f>
        <v>227888.6</v>
      </c>
      <c r="EF126" s="177">
        <f t="shared" si="149"/>
        <v>-2707220.0262431717</v>
      </c>
      <c r="EG126" s="181">
        <f t="shared" si="152"/>
        <v>0</v>
      </c>
      <c r="EH126" s="177">
        <f t="shared" si="150"/>
        <v>-2707220.0262431717</v>
      </c>
    </row>
    <row r="127" spans="1:138" ht="12" customHeight="1" x14ac:dyDescent="0.25">
      <c r="A127" s="5">
        <f t="shared" si="151"/>
        <v>123</v>
      </c>
      <c r="B127" s="6" t="s">
        <v>207</v>
      </c>
      <c r="C127" s="7">
        <f t="shared" si="84"/>
        <v>3498.95</v>
      </c>
      <c r="D127" s="8">
        <v>3498.95</v>
      </c>
      <c r="E127" s="8">
        <v>0</v>
      </c>
      <c r="F127" s="8">
        <v>384</v>
      </c>
      <c r="G127" s="87">
        <f t="shared" si="85"/>
        <v>3498.95</v>
      </c>
      <c r="H127" s="87">
        <f t="shared" si="86"/>
        <v>3498.95</v>
      </c>
      <c r="I127" s="91">
        <v>0</v>
      </c>
      <c r="J127" s="112">
        <v>0</v>
      </c>
      <c r="K127" s="17">
        <v>0</v>
      </c>
      <c r="L127" s="112">
        <f t="shared" si="119"/>
        <v>0</v>
      </c>
      <c r="M127" s="116">
        <v>3.4064191828977268</v>
      </c>
      <c r="N127" s="120">
        <f t="shared" si="120"/>
        <v>3498.95</v>
      </c>
      <c r="O127" s="116">
        <v>3.0862284971205654</v>
      </c>
      <c r="P127" s="120">
        <f t="shared" si="121"/>
        <v>3498.95</v>
      </c>
      <c r="Q127" s="116">
        <v>0</v>
      </c>
      <c r="R127" s="120">
        <f t="shared" si="122"/>
        <v>0</v>
      </c>
      <c r="S127" s="5" t="s">
        <v>143</v>
      </c>
      <c r="T127" s="87">
        <v>28.44</v>
      </c>
      <c r="U127" s="88">
        <v>4.68</v>
      </c>
      <c r="V127" s="88">
        <v>6.05</v>
      </c>
      <c r="W127" s="88">
        <v>8.24</v>
      </c>
      <c r="X127" s="88">
        <v>6.34</v>
      </c>
      <c r="Y127" s="88">
        <v>2.89</v>
      </c>
      <c r="Z127" s="88">
        <v>0</v>
      </c>
      <c r="AA127" s="88">
        <v>0</v>
      </c>
      <c r="AB127" s="88">
        <v>0.24</v>
      </c>
      <c r="AC127" s="257"/>
      <c r="AD127" s="110">
        <f t="shared" si="123"/>
        <v>66994.954802697132</v>
      </c>
      <c r="AE127" s="110">
        <f t="shared" si="124"/>
        <v>66012.057552761806</v>
      </c>
      <c r="AF127" s="16">
        <f>SUMIF('20.01'!$I:$I,$B:$B,'20.01'!$D:$D)*1.2</f>
        <v>5816.4</v>
      </c>
      <c r="AG127" s="17">
        <f t="shared" si="83"/>
        <v>9333.8983433299672</v>
      </c>
      <c r="AH127" s="17">
        <f t="shared" si="125"/>
        <v>2671.7947098163127</v>
      </c>
      <c r="AI127" s="16">
        <f>SUMIF('20.01'!$J:$J,$B:$B,'20.01'!$D:$D)*1.2</f>
        <v>0</v>
      </c>
      <c r="AJ127" s="17">
        <f t="shared" si="126"/>
        <v>1085.7573024575424</v>
      </c>
      <c r="AK127" s="17">
        <f t="shared" si="127"/>
        <v>2641.4063107824672</v>
      </c>
      <c r="AL127" s="17">
        <f t="shared" si="128"/>
        <v>44462.800886375509</v>
      </c>
      <c r="AM127" s="110">
        <f t="shared" si="129"/>
        <v>0</v>
      </c>
      <c r="AN127" s="17">
        <f>SUMIF('20.01'!$K:$K,$B:$B,'20.01'!$D:$D)*1.2</f>
        <v>0</v>
      </c>
      <c r="AO127" s="17">
        <f>SUMIF('20.01'!$L:$L,$B:$B,'20.01'!$D:$D)*1.2</f>
        <v>0</v>
      </c>
      <c r="AP127" s="17">
        <f>SUMIF('20.01'!$M:$M,$B:$B,'20.01'!$D:$D)*1.2</f>
        <v>0</v>
      </c>
      <c r="AQ127" s="110">
        <f t="shared" si="130"/>
        <v>982.89724993532252</v>
      </c>
      <c r="AR127" s="17">
        <f t="shared" si="131"/>
        <v>982.89724993532252</v>
      </c>
      <c r="AS127" s="17">
        <f>(SUMIF('20.01'!$N:$N,$B:$B,'20.01'!$D:$D)+SUMIF('20.01'!$O:$O,$B:$B,'20.01'!$D:$D))*1.2</f>
        <v>0</v>
      </c>
      <c r="AT127" s="110">
        <f>SUMIF('20.01'!$P:$P,$B:$B,'20.01'!$D:$D)*1.2</f>
        <v>0</v>
      </c>
      <c r="AU127" s="110">
        <f t="shared" si="132"/>
        <v>0</v>
      </c>
      <c r="AV127" s="17">
        <f>SUMIF('20.01'!$Q:$Q,$B:$B,'20.01'!$D:$D)*1.2</f>
        <v>0</v>
      </c>
      <c r="AW127" s="17">
        <f>SUMIF('20.01'!$R:$R,$B:$B,'20.01'!$D:$D)*1.2</f>
        <v>0</v>
      </c>
      <c r="AX127" s="110">
        <f t="shared" si="133"/>
        <v>0</v>
      </c>
      <c r="AY127" s="17">
        <f>SUMIF('20.01'!$S:$S,$B:$B,'20.01'!$D:$D)*1.2</f>
        <v>0</v>
      </c>
      <c r="AZ127" s="17">
        <f>SUMIF('20.01'!$T:$T,$B:$B,'20.01'!$D:$D)*1.2</f>
        <v>0</v>
      </c>
      <c r="BA127" s="110">
        <f t="shared" si="134"/>
        <v>0</v>
      </c>
      <c r="BB127" s="17">
        <f>SUMIF('20.01'!$U:$U,$B:$B,'20.01'!$D:$D)*1.2</f>
        <v>0</v>
      </c>
      <c r="BC127" s="17">
        <f>SUMIF('20.01'!$V:$V,$B:$B,'20.01'!$D:$D)*1.2</f>
        <v>0</v>
      </c>
      <c r="BD127" s="17">
        <f>SUMIF('20.01'!$W:$W,$B:$B,'20.01'!$D:$D)*1.2</f>
        <v>0</v>
      </c>
      <c r="BE127" s="110">
        <f>SUMIF('20.01'!$X:$X,$B:$B,'20.01'!$D:$D)*1.2</f>
        <v>0</v>
      </c>
      <c r="BF127" s="110">
        <f t="shared" si="135"/>
        <v>0</v>
      </c>
      <c r="BG127" s="17">
        <f>SUMIF('20.01'!$Y:$Y,$B:$B,'20.01'!$D:$D)*1.2</f>
        <v>0</v>
      </c>
      <c r="BH127" s="17">
        <f>SUMIF('20.01'!$Z:$Z,$B:$B,'20.01'!$D:$D)*1.2</f>
        <v>0</v>
      </c>
      <c r="BI127" s="17">
        <f>SUMIF('20.01'!$AA:$AA,$B:$B,'20.01'!$D:$D)*1.2</f>
        <v>0</v>
      </c>
      <c r="BJ127" s="17">
        <f>SUMIF('20.01'!$AB:$AB,$B:$B,'20.01'!$D:$D)*1.2</f>
        <v>0</v>
      </c>
      <c r="BK127" s="17">
        <f>SUMIF('20.01'!$AC:$AC,$B:$B,'20.01'!$D:$D)*1.2</f>
        <v>0</v>
      </c>
      <c r="BL127" s="17">
        <f>SUMIF('20.01'!$AD:$AD,$B:$B,'20.01'!$D:$D)*1.2</f>
        <v>0</v>
      </c>
      <c r="BM127" s="110">
        <f t="shared" si="136"/>
        <v>0</v>
      </c>
      <c r="BN127" s="17">
        <f>SUMIF('20.01'!$AE:$AE,$B:$B,'20.01'!$D:$D)*1.2</f>
        <v>0</v>
      </c>
      <c r="BO127" s="17">
        <f>SUMIF('20.01'!$AF:$AF,$B:$B,'20.01'!$D:$D)*1.2</f>
        <v>0</v>
      </c>
      <c r="BP127" s="110">
        <f>SUMIF('20.01'!$AG:$AG,$B:$B,'20.01'!$D:$D)*1.2</f>
        <v>0</v>
      </c>
      <c r="BQ127" s="110">
        <f>SUMIF('20.01'!$AH:$AH,$B:$B,'20.01'!$D:$D)*1.2</f>
        <v>0</v>
      </c>
      <c r="BR127" s="110">
        <f>SUMIF('20.01'!$AI:$AI,$B:$B,'20.01'!$D:$D)*1.2</f>
        <v>0</v>
      </c>
      <c r="BS127" s="110">
        <f t="shared" si="137"/>
        <v>0</v>
      </c>
      <c r="BT127" s="17">
        <f>SUMIF('20.01'!$AJ:$AJ,$B:$B,'20.01'!$D:$D)*1.2</f>
        <v>0</v>
      </c>
      <c r="BU127" s="17">
        <f>SUMIF('20.01'!$AK:$AK,$B:$B,'20.01'!$D:$D)*1.2</f>
        <v>0</v>
      </c>
      <c r="BV127" s="110">
        <f>SUMIF('20.01'!$AL:$AL,$B:$B,'20.01'!$D:$D)*1.2</f>
        <v>0</v>
      </c>
      <c r="BW127" s="110">
        <f>SUMIF('20.01'!$AM:$AM,$B:$B,'20.01'!$D:$D)*1.2</f>
        <v>0</v>
      </c>
      <c r="BX127" s="110">
        <f>SUMIF('20.01'!$AN:$AN,$B:$B,'20.01'!$D:$D)*1.2</f>
        <v>0</v>
      </c>
      <c r="BY127" s="110">
        <f t="shared" si="87"/>
        <v>370923.81190580473</v>
      </c>
      <c r="BZ127" s="17">
        <f t="shared" si="82"/>
        <v>214430.40741143835</v>
      </c>
      <c r="CA127" s="17">
        <f t="shared" si="88"/>
        <v>21701.470464002607</v>
      </c>
      <c r="CB127" s="17">
        <f t="shared" si="89"/>
        <v>1442.6026098067655</v>
      </c>
      <c r="CC127" s="17">
        <f>SUMIF('20.01'!$AO:$AO,$B:$B,'20.01'!$D:$D)*1.2</f>
        <v>0</v>
      </c>
      <c r="CD127" s="17">
        <f t="shared" si="90"/>
        <v>22647.395793255379</v>
      </c>
      <c r="CE127" s="17">
        <f>SUMIF('20.01'!$AQ:$AQ,$B:$B,'20.01'!$D:$D)*1.2</f>
        <v>0</v>
      </c>
      <c r="CF127" s="17">
        <f t="shared" si="91"/>
        <v>2060.5550079018485</v>
      </c>
      <c r="CG127" s="17">
        <f>SUMIF('20.01'!$AR:$AR,$B:$B,'20.01'!$D:$D)*1.2</f>
        <v>106226.52</v>
      </c>
      <c r="CH127" s="17">
        <f t="shared" si="92"/>
        <v>1213.5173832875316</v>
      </c>
      <c r="CI127" s="17">
        <f>SUMIF('20.01'!$AT:$AT,$B:$B,'20.01'!$D:$D)*1.2</f>
        <v>0</v>
      </c>
      <c r="CJ127" s="17">
        <f>SUMIF('20.01'!$AU:$AU,$B:$B,'20.01'!$D:$D)*1.2</f>
        <v>0</v>
      </c>
      <c r="CK127" s="17">
        <f>SUMIF('20.01'!$AV:$AV,$B:$B,'20.01'!$D:$D)*1.2</f>
        <v>0</v>
      </c>
      <c r="CL127" s="17">
        <f t="shared" si="93"/>
        <v>1201.3432361122138</v>
      </c>
      <c r="CM127" s="17">
        <f>SUMIF('20.01'!$AW:$AW,$B:$B,'20.01'!$D:$D)*1.2</f>
        <v>0</v>
      </c>
      <c r="CN127" s="17">
        <f>SUMIF('20.01'!$AX:$AX,$B:$B,'20.01'!$D:$D)*1.2</f>
        <v>0</v>
      </c>
      <c r="CO127" s="110">
        <f t="shared" si="138"/>
        <v>403004.30887128029</v>
      </c>
      <c r="CP127" s="17">
        <f t="shared" si="139"/>
        <v>317906.47423454991</v>
      </c>
      <c r="CQ127" s="17">
        <f t="shared" si="94"/>
        <v>98078.521580278379</v>
      </c>
      <c r="CR127" s="17">
        <f t="shared" si="95"/>
        <v>219827.9526542715</v>
      </c>
      <c r="CS127" s="17">
        <f t="shared" si="140"/>
        <v>85097.834636730404</v>
      </c>
      <c r="CT127" s="17">
        <f t="shared" si="96"/>
        <v>3100.1887658333917</v>
      </c>
      <c r="CU127" s="17">
        <f t="shared" si="97"/>
        <v>2998.6064228698292</v>
      </c>
      <c r="CV127" s="17">
        <f t="shared" si="98"/>
        <v>3099.1252757291563</v>
      </c>
      <c r="CW127" s="17">
        <f t="shared" si="99"/>
        <v>32.497740791459591</v>
      </c>
      <c r="CX127" s="17">
        <f t="shared" si="100"/>
        <v>45760.086246011597</v>
      </c>
      <c r="CY127" s="17">
        <f t="shared" si="101"/>
        <v>30107.330185494971</v>
      </c>
      <c r="CZ127" s="110">
        <f t="shared" si="141"/>
        <v>100036.21977674009</v>
      </c>
      <c r="DA127" s="17">
        <f t="shared" si="142"/>
        <v>3778.8070687743716</v>
      </c>
      <c r="DB127" s="17">
        <f t="shared" si="102"/>
        <v>3585.9492917396351</v>
      </c>
      <c r="DC127" s="17">
        <f t="shared" si="103"/>
        <v>192.85777703473667</v>
      </c>
      <c r="DD127" s="17">
        <f t="shared" si="104"/>
        <v>6658.6915164272286</v>
      </c>
      <c r="DE127" s="17">
        <f t="shared" si="105"/>
        <v>2297.4240278738089</v>
      </c>
      <c r="DF127" s="17">
        <f t="shared" si="106"/>
        <v>2788.2441239889536</v>
      </c>
      <c r="DG127" s="17">
        <f t="shared" si="143"/>
        <v>84513.053039675724</v>
      </c>
      <c r="DH127" s="110">
        <f t="shared" si="144"/>
        <v>62430.415692811112</v>
      </c>
      <c r="DI127" s="17">
        <f t="shared" si="107"/>
        <v>56002.628306205675</v>
      </c>
      <c r="DJ127" s="17">
        <f t="shared" si="108"/>
        <v>6193.5616163967479</v>
      </c>
      <c r="DK127" s="17">
        <f t="shared" si="109"/>
        <v>234.22577020868766</v>
      </c>
      <c r="DL127" s="110">
        <f t="shared" si="145"/>
        <v>371151.10132625187</v>
      </c>
      <c r="DM127" s="17">
        <f t="shared" si="110"/>
        <v>196710.08370291349</v>
      </c>
      <c r="DN127" s="17">
        <f t="shared" si="111"/>
        <v>174441.01762333838</v>
      </c>
      <c r="DO127" s="17">
        <f t="shared" si="112"/>
        <v>0</v>
      </c>
      <c r="DP127" s="110">
        <f t="shared" si="146"/>
        <v>0</v>
      </c>
      <c r="DQ127" s="17">
        <f>SUMIF('20.01'!$BB:$BB,$B:$B,'20.01'!$D:$D)*1.2</f>
        <v>0</v>
      </c>
      <c r="DR127" s="17">
        <f t="shared" si="113"/>
        <v>0</v>
      </c>
      <c r="DS127" s="17">
        <f t="shared" si="114"/>
        <v>0</v>
      </c>
      <c r="DT127" s="110">
        <f t="shared" si="147"/>
        <v>7586.0159999999996</v>
      </c>
      <c r="DU127" s="17">
        <f>SUMIF('20.01'!$BD:$BD,$B:$B,'20.01'!$D:$D)*1.2</f>
        <v>7586.0159999999996</v>
      </c>
      <c r="DV127" s="17">
        <f t="shared" si="115"/>
        <v>0</v>
      </c>
      <c r="DW127" s="17">
        <f t="shared" si="116"/>
        <v>0</v>
      </c>
      <c r="DX127" s="110">
        <f t="shared" si="117"/>
        <v>1382126.8283755851</v>
      </c>
      <c r="DY127" s="110"/>
      <c r="DZ127" s="110">
        <f t="shared" si="148"/>
        <v>1382126.8283755851</v>
      </c>
      <c r="EA127" s="257"/>
      <c r="EB127" s="110">
        <f t="shared" si="118"/>
        <v>0</v>
      </c>
      <c r="EC127" s="110">
        <f>SUMIF(еирц!$B:$B,$B:$B,еирц!$K:$K)</f>
        <v>1171239.8299999998</v>
      </c>
      <c r="ED127" s="110">
        <f>SUMIF(еирц!$B:$B,$B:$B,еирц!$P:$P)</f>
        <v>1038111.14</v>
      </c>
      <c r="EE127" s="110">
        <f>SUMIF(еирц!$B:$B,$B:$B,еирц!$S:$S)</f>
        <v>519789.79000000004</v>
      </c>
      <c r="EF127" s="177">
        <f t="shared" si="149"/>
        <v>-210886.9983755853</v>
      </c>
      <c r="EG127" s="181">
        <f t="shared" si="152"/>
        <v>0</v>
      </c>
      <c r="EH127" s="177">
        <f t="shared" si="150"/>
        <v>-210886.9983755853</v>
      </c>
    </row>
    <row r="128" spans="1:138" ht="12" customHeight="1" x14ac:dyDescent="0.25">
      <c r="A128" s="5">
        <f t="shared" si="151"/>
        <v>124</v>
      </c>
      <c r="B128" s="6" t="s">
        <v>208</v>
      </c>
      <c r="C128" s="7">
        <f t="shared" si="84"/>
        <v>3162.6</v>
      </c>
      <c r="D128" s="8">
        <v>3162.6</v>
      </c>
      <c r="E128" s="8">
        <v>0</v>
      </c>
      <c r="F128" s="8">
        <v>297.60000000000002</v>
      </c>
      <c r="G128" s="87">
        <f t="shared" si="85"/>
        <v>3162.6</v>
      </c>
      <c r="H128" s="87">
        <f t="shared" si="86"/>
        <v>3162.6</v>
      </c>
      <c r="I128" s="91">
        <v>0</v>
      </c>
      <c r="J128" s="112">
        <v>0</v>
      </c>
      <c r="K128" s="17">
        <v>4</v>
      </c>
      <c r="L128" s="112">
        <f t="shared" si="119"/>
        <v>9.638554216867469E-3</v>
      </c>
      <c r="M128" s="116">
        <v>3.4064165569620255</v>
      </c>
      <c r="N128" s="120">
        <f t="shared" si="120"/>
        <v>3162.6</v>
      </c>
      <c r="O128" s="116">
        <v>3.0862319493670891</v>
      </c>
      <c r="P128" s="120">
        <f t="shared" si="121"/>
        <v>3162.6</v>
      </c>
      <c r="Q128" s="116">
        <v>0</v>
      </c>
      <c r="R128" s="120">
        <f t="shared" si="122"/>
        <v>0</v>
      </c>
      <c r="S128" s="5" t="s">
        <v>143</v>
      </c>
      <c r="T128" s="87">
        <v>28.44</v>
      </c>
      <c r="U128" s="88">
        <v>4.68</v>
      </c>
      <c r="V128" s="88">
        <v>6.05</v>
      </c>
      <c r="W128" s="88">
        <v>8.24</v>
      </c>
      <c r="X128" s="88">
        <v>6.34</v>
      </c>
      <c r="Y128" s="88">
        <v>2.89</v>
      </c>
      <c r="Z128" s="88">
        <v>0</v>
      </c>
      <c r="AA128" s="88">
        <v>0</v>
      </c>
      <c r="AB128" s="88">
        <v>0.24</v>
      </c>
      <c r="AC128" s="257"/>
      <c r="AD128" s="110">
        <f t="shared" si="123"/>
        <v>256814.99537913088</v>
      </c>
      <c r="AE128" s="110">
        <f t="shared" si="124"/>
        <v>255926.58290034567</v>
      </c>
      <c r="AF128" s="16">
        <f>SUMIF('20.01'!$I:$I,$B:$B,'20.01'!$D:$D)*1.2</f>
        <v>201517.46400000001</v>
      </c>
      <c r="AG128" s="17">
        <f t="shared" si="83"/>
        <v>8436.6415354936071</v>
      </c>
      <c r="AH128" s="17">
        <f t="shared" si="125"/>
        <v>2414.958187246194</v>
      </c>
      <c r="AI128" s="16">
        <f>SUMIF('20.01'!$J:$J,$B:$B,'20.01'!$D:$D)*1.2</f>
        <v>0</v>
      </c>
      <c r="AJ128" s="17">
        <f t="shared" si="126"/>
        <v>981.38471391480982</v>
      </c>
      <c r="AK128" s="17">
        <f t="shared" si="127"/>
        <v>2387.4909897199532</v>
      </c>
      <c r="AL128" s="17">
        <f t="shared" si="128"/>
        <v>40188.643473971104</v>
      </c>
      <c r="AM128" s="110">
        <f t="shared" si="129"/>
        <v>0</v>
      </c>
      <c r="AN128" s="17">
        <f>SUMIF('20.01'!$K:$K,$B:$B,'20.01'!$D:$D)*1.2</f>
        <v>0</v>
      </c>
      <c r="AO128" s="17">
        <f>SUMIF('20.01'!$L:$L,$B:$B,'20.01'!$D:$D)*1.2</f>
        <v>0</v>
      </c>
      <c r="AP128" s="17">
        <f>SUMIF('20.01'!$M:$M,$B:$B,'20.01'!$D:$D)*1.2</f>
        <v>0</v>
      </c>
      <c r="AQ128" s="110">
        <f t="shared" si="130"/>
        <v>888.412478785193</v>
      </c>
      <c r="AR128" s="17">
        <f t="shared" si="131"/>
        <v>888.412478785193</v>
      </c>
      <c r="AS128" s="17">
        <f>(SUMIF('20.01'!$N:$N,$B:$B,'20.01'!$D:$D)+SUMIF('20.01'!$O:$O,$B:$B,'20.01'!$D:$D))*1.2</f>
        <v>0</v>
      </c>
      <c r="AT128" s="110">
        <f>SUMIF('20.01'!$P:$P,$B:$B,'20.01'!$D:$D)*1.2</f>
        <v>0</v>
      </c>
      <c r="AU128" s="110">
        <f t="shared" si="132"/>
        <v>0</v>
      </c>
      <c r="AV128" s="17">
        <f>SUMIF('20.01'!$Q:$Q,$B:$B,'20.01'!$D:$D)*1.2</f>
        <v>0</v>
      </c>
      <c r="AW128" s="17">
        <f>SUMIF('20.01'!$R:$R,$B:$B,'20.01'!$D:$D)*1.2</f>
        <v>0</v>
      </c>
      <c r="AX128" s="110">
        <f t="shared" si="133"/>
        <v>0</v>
      </c>
      <c r="AY128" s="17">
        <f>SUMIF('20.01'!$S:$S,$B:$B,'20.01'!$D:$D)*1.2</f>
        <v>0</v>
      </c>
      <c r="AZ128" s="17">
        <f>SUMIF('20.01'!$T:$T,$B:$B,'20.01'!$D:$D)*1.2</f>
        <v>0</v>
      </c>
      <c r="BA128" s="110">
        <f t="shared" si="134"/>
        <v>0</v>
      </c>
      <c r="BB128" s="17">
        <f>SUMIF('20.01'!$U:$U,$B:$B,'20.01'!$D:$D)*1.2</f>
        <v>0</v>
      </c>
      <c r="BC128" s="17">
        <f>SUMIF('20.01'!$V:$V,$B:$B,'20.01'!$D:$D)*1.2</f>
        <v>0</v>
      </c>
      <c r="BD128" s="17">
        <f>SUMIF('20.01'!$W:$W,$B:$B,'20.01'!$D:$D)*1.2</f>
        <v>0</v>
      </c>
      <c r="BE128" s="110">
        <f>SUMIF('20.01'!$X:$X,$B:$B,'20.01'!$D:$D)*1.2</f>
        <v>0</v>
      </c>
      <c r="BF128" s="110">
        <f t="shared" si="135"/>
        <v>0</v>
      </c>
      <c r="BG128" s="17">
        <f>SUMIF('20.01'!$Y:$Y,$B:$B,'20.01'!$D:$D)*1.2</f>
        <v>0</v>
      </c>
      <c r="BH128" s="17">
        <f>SUMIF('20.01'!$Z:$Z,$B:$B,'20.01'!$D:$D)*1.2</f>
        <v>0</v>
      </c>
      <c r="BI128" s="17">
        <f>SUMIF('20.01'!$AA:$AA,$B:$B,'20.01'!$D:$D)*1.2</f>
        <v>0</v>
      </c>
      <c r="BJ128" s="17">
        <f>SUMIF('20.01'!$AB:$AB,$B:$B,'20.01'!$D:$D)*1.2</f>
        <v>0</v>
      </c>
      <c r="BK128" s="17">
        <f>SUMIF('20.01'!$AC:$AC,$B:$B,'20.01'!$D:$D)*1.2</f>
        <v>0</v>
      </c>
      <c r="BL128" s="17">
        <f>SUMIF('20.01'!$AD:$AD,$B:$B,'20.01'!$D:$D)*1.2</f>
        <v>0</v>
      </c>
      <c r="BM128" s="110">
        <f t="shared" si="136"/>
        <v>0</v>
      </c>
      <c r="BN128" s="17">
        <f>SUMIF('20.01'!$AE:$AE,$B:$B,'20.01'!$D:$D)*1.2</f>
        <v>0</v>
      </c>
      <c r="BO128" s="17">
        <f>SUMIF('20.01'!$AF:$AF,$B:$B,'20.01'!$D:$D)*1.2</f>
        <v>0</v>
      </c>
      <c r="BP128" s="110">
        <f>SUMIF('20.01'!$AG:$AG,$B:$B,'20.01'!$D:$D)*1.2</f>
        <v>0</v>
      </c>
      <c r="BQ128" s="110">
        <f>SUMIF('20.01'!$AH:$AH,$B:$B,'20.01'!$D:$D)*1.2</f>
        <v>0</v>
      </c>
      <c r="BR128" s="110">
        <f>SUMIF('20.01'!$AI:$AI,$B:$B,'20.01'!$D:$D)*1.2</f>
        <v>0</v>
      </c>
      <c r="BS128" s="110">
        <f t="shared" si="137"/>
        <v>0</v>
      </c>
      <c r="BT128" s="17">
        <f>SUMIF('20.01'!$AJ:$AJ,$B:$B,'20.01'!$D:$D)*1.2</f>
        <v>0</v>
      </c>
      <c r="BU128" s="17">
        <f>SUMIF('20.01'!$AK:$AK,$B:$B,'20.01'!$D:$D)*1.2</f>
        <v>0</v>
      </c>
      <c r="BV128" s="110">
        <f>SUMIF('20.01'!$AL:$AL,$B:$B,'20.01'!$D:$D)*1.2</f>
        <v>0</v>
      </c>
      <c r="BW128" s="110">
        <f>SUMIF('20.01'!$AM:$AM,$B:$B,'20.01'!$D:$D)*1.2</f>
        <v>0</v>
      </c>
      <c r="BX128" s="110">
        <f>SUMIF('20.01'!$AN:$AN,$B:$B,'20.01'!$D:$D)*1.2</f>
        <v>0</v>
      </c>
      <c r="BY128" s="110">
        <f t="shared" si="87"/>
        <v>478723.06064067729</v>
      </c>
      <c r="BZ128" s="17">
        <f t="shared" si="82"/>
        <v>193817.46137538832</v>
      </c>
      <c r="CA128" s="17">
        <f t="shared" si="88"/>
        <v>19615.333311266138</v>
      </c>
      <c r="CB128" s="17">
        <f t="shared" si="89"/>
        <v>1303.9268962902804</v>
      </c>
      <c r="CC128" s="17">
        <f>SUMIF('20.01'!$AO:$AO,$B:$B,'20.01'!$D:$D)*1.2</f>
        <v>0</v>
      </c>
      <c r="CD128" s="17">
        <f t="shared" si="90"/>
        <v>20470.327937166712</v>
      </c>
      <c r="CE128" s="17">
        <f>SUMIF('20.01'!$AQ:$AQ,$B:$B,'20.01'!$D:$D)*1.2</f>
        <v>0</v>
      </c>
      <c r="CF128" s="17">
        <f t="shared" si="91"/>
        <v>1862.4762480145148</v>
      </c>
      <c r="CG128" s="17">
        <f>SUMIF('20.01'!$AR:$AR,$B:$B,'20.01'!$D:$D)*1.2</f>
        <v>239470.81200000001</v>
      </c>
      <c r="CH128" s="17">
        <f t="shared" si="92"/>
        <v>1096.8633665485781</v>
      </c>
      <c r="CI128" s="17">
        <f>SUMIF('20.01'!$AT:$AT,$B:$B,'20.01'!$D:$D)*1.2</f>
        <v>0</v>
      </c>
      <c r="CJ128" s="17">
        <f>SUMIF('20.01'!$AU:$AU,$B:$B,'20.01'!$D:$D)*1.2</f>
        <v>0</v>
      </c>
      <c r="CK128" s="17">
        <f>SUMIF('20.01'!$AV:$AV,$B:$B,'20.01'!$D:$D)*1.2</f>
        <v>0</v>
      </c>
      <c r="CL128" s="17">
        <f t="shared" si="93"/>
        <v>1085.8595060027972</v>
      </c>
      <c r="CM128" s="17">
        <f>SUMIF('20.01'!$AW:$AW,$B:$B,'20.01'!$D:$D)*1.2</f>
        <v>0</v>
      </c>
      <c r="CN128" s="17">
        <f>SUMIF('20.01'!$AX:$AX,$B:$B,'20.01'!$D:$D)*1.2</f>
        <v>0</v>
      </c>
      <c r="CO128" s="110">
        <f t="shared" si="138"/>
        <v>364263.97268789524</v>
      </c>
      <c r="CP128" s="17">
        <f t="shared" si="139"/>
        <v>287346.49406655924</v>
      </c>
      <c r="CQ128" s="17">
        <f t="shared" si="94"/>
        <v>88650.347204100777</v>
      </c>
      <c r="CR128" s="17">
        <f t="shared" si="95"/>
        <v>198696.14686245847</v>
      </c>
      <c r="CS128" s="17">
        <f t="shared" si="140"/>
        <v>76917.478621335991</v>
      </c>
      <c r="CT128" s="17">
        <f t="shared" si="96"/>
        <v>2802.1712201731048</v>
      </c>
      <c r="CU128" s="17">
        <f t="shared" si="97"/>
        <v>2710.3538698661378</v>
      </c>
      <c r="CV128" s="17">
        <f t="shared" si="98"/>
        <v>2801.2099621375069</v>
      </c>
      <c r="CW128" s="17">
        <f t="shared" si="99"/>
        <v>29.373770710376004</v>
      </c>
      <c r="CX128" s="17">
        <f t="shared" si="100"/>
        <v>41361.222298585657</v>
      </c>
      <c r="CY128" s="17">
        <f t="shared" si="101"/>
        <v>27213.147499863215</v>
      </c>
      <c r="CZ128" s="110">
        <f t="shared" si="141"/>
        <v>90419.854146506303</v>
      </c>
      <c r="DA128" s="17">
        <f t="shared" si="142"/>
        <v>3415.5547337646517</v>
      </c>
      <c r="DB128" s="17">
        <f t="shared" si="102"/>
        <v>3241.2361508611925</v>
      </c>
      <c r="DC128" s="17">
        <f t="shared" si="103"/>
        <v>174.31858290345909</v>
      </c>
      <c r="DD128" s="17">
        <f t="shared" si="104"/>
        <v>6018.5992340138482</v>
      </c>
      <c r="DE128" s="17">
        <f t="shared" si="105"/>
        <v>2076.5753241840289</v>
      </c>
      <c r="DF128" s="17">
        <f t="shared" si="106"/>
        <v>2520.2134544727605</v>
      </c>
      <c r="DG128" s="17">
        <f t="shared" si="143"/>
        <v>76388.911400071011</v>
      </c>
      <c r="DH128" s="110">
        <f t="shared" si="144"/>
        <v>56429.052335724838</v>
      </c>
      <c r="DI128" s="17">
        <f t="shared" si="107"/>
        <v>50619.160685693161</v>
      </c>
      <c r="DJ128" s="17">
        <f t="shared" si="108"/>
        <v>5598.1817310954302</v>
      </c>
      <c r="DK128" s="17">
        <f t="shared" si="109"/>
        <v>211.70991893625106</v>
      </c>
      <c r="DL128" s="110">
        <f t="shared" si="145"/>
        <v>335472.77699149866</v>
      </c>
      <c r="DM128" s="17">
        <f t="shared" si="110"/>
        <v>177800.57180549428</v>
      </c>
      <c r="DN128" s="17">
        <f t="shared" si="111"/>
        <v>157672.20518600437</v>
      </c>
      <c r="DO128" s="17">
        <f t="shared" si="112"/>
        <v>0</v>
      </c>
      <c r="DP128" s="110">
        <f t="shared" si="146"/>
        <v>0</v>
      </c>
      <c r="DQ128" s="17">
        <f>SUMIF('20.01'!$BB:$BB,$B:$B,'20.01'!$D:$D)*1.2</f>
        <v>0</v>
      </c>
      <c r="DR128" s="17">
        <f t="shared" si="113"/>
        <v>0</v>
      </c>
      <c r="DS128" s="17">
        <f t="shared" si="114"/>
        <v>0</v>
      </c>
      <c r="DT128" s="110">
        <f t="shared" si="147"/>
        <v>7586.0159999999996</v>
      </c>
      <c r="DU128" s="17">
        <f>SUMIF('20.01'!$BD:$BD,$B:$B,'20.01'!$D:$D)*1.2</f>
        <v>7586.0159999999996</v>
      </c>
      <c r="DV128" s="17">
        <f t="shared" si="115"/>
        <v>0</v>
      </c>
      <c r="DW128" s="17">
        <f t="shared" si="116"/>
        <v>0</v>
      </c>
      <c r="DX128" s="110">
        <f t="shared" si="117"/>
        <v>1589709.7281814334</v>
      </c>
      <c r="DY128" s="110"/>
      <c r="DZ128" s="110">
        <f t="shared" si="148"/>
        <v>1589709.7281814334</v>
      </c>
      <c r="EA128" s="257"/>
      <c r="EB128" s="110">
        <f t="shared" si="118"/>
        <v>3546.2168674698792</v>
      </c>
      <c r="EC128" s="110">
        <f>SUMIF(еирц!$B:$B,$B:$B,еирц!$K:$K)</f>
        <v>1058649.48</v>
      </c>
      <c r="ED128" s="110">
        <f>SUMIF(еирц!$B:$B,$B:$B,еирц!$P:$P)</f>
        <v>997304.25999999989</v>
      </c>
      <c r="EE128" s="110">
        <f>SUMIF(еирц!$B:$B,$B:$B,еирц!$S:$S)</f>
        <v>504797.49000000005</v>
      </c>
      <c r="EF128" s="177">
        <f t="shared" si="149"/>
        <v>-527514.03131396347</v>
      </c>
      <c r="EG128" s="181">
        <f t="shared" si="152"/>
        <v>0</v>
      </c>
      <c r="EH128" s="177">
        <f t="shared" si="150"/>
        <v>-527514.03131396347</v>
      </c>
    </row>
    <row r="129" spans="1:138" ht="12" customHeight="1" x14ac:dyDescent="0.25">
      <c r="A129" s="5">
        <f t="shared" si="151"/>
        <v>125</v>
      </c>
      <c r="B129" s="6" t="s">
        <v>209</v>
      </c>
      <c r="C129" s="7">
        <f t="shared" si="84"/>
        <v>3544.3</v>
      </c>
      <c r="D129" s="8">
        <v>3544.3</v>
      </c>
      <c r="E129" s="8">
        <v>0</v>
      </c>
      <c r="F129" s="8">
        <v>310</v>
      </c>
      <c r="G129" s="87">
        <f t="shared" si="85"/>
        <v>3544.3</v>
      </c>
      <c r="H129" s="87">
        <f t="shared" si="86"/>
        <v>3544.3</v>
      </c>
      <c r="I129" s="91">
        <v>0</v>
      </c>
      <c r="J129" s="112">
        <v>0</v>
      </c>
      <c r="K129" s="17">
        <v>4</v>
      </c>
      <c r="L129" s="112">
        <f t="shared" si="119"/>
        <v>9.638554216867469E-3</v>
      </c>
      <c r="M129" s="116">
        <v>3.4064158548341368</v>
      </c>
      <c r="N129" s="120">
        <f t="shared" si="120"/>
        <v>3544.3</v>
      </c>
      <c r="O129" s="116">
        <v>3.0862328324354977</v>
      </c>
      <c r="P129" s="120">
        <f t="shared" si="121"/>
        <v>3544.3</v>
      </c>
      <c r="Q129" s="116">
        <v>0</v>
      </c>
      <c r="R129" s="120">
        <f t="shared" si="122"/>
        <v>0</v>
      </c>
      <c r="S129" s="5" t="s">
        <v>143</v>
      </c>
      <c r="T129" s="87">
        <v>28.44</v>
      </c>
      <c r="U129" s="88">
        <v>4.68</v>
      </c>
      <c r="V129" s="88">
        <v>6.05</v>
      </c>
      <c r="W129" s="88">
        <v>8.24</v>
      </c>
      <c r="X129" s="88">
        <v>6.34</v>
      </c>
      <c r="Y129" s="88">
        <v>2.89</v>
      </c>
      <c r="Z129" s="88">
        <v>0</v>
      </c>
      <c r="AA129" s="88">
        <v>0</v>
      </c>
      <c r="AB129" s="88">
        <v>0.24</v>
      </c>
      <c r="AC129" s="257"/>
      <c r="AD129" s="110">
        <f t="shared" si="123"/>
        <v>265565.53195821587</v>
      </c>
      <c r="AE129" s="110">
        <f t="shared" si="124"/>
        <v>257030.66734639069</v>
      </c>
      <c r="AF129" s="16">
        <f>SUMIF('20.01'!$I:$I,$B:$B,'20.01'!$D:$D)*1.2</f>
        <v>196054.81200000001</v>
      </c>
      <c r="AG129" s="17">
        <f t="shared" si="83"/>
        <v>9454.8752906627433</v>
      </c>
      <c r="AH129" s="17">
        <f t="shared" si="125"/>
        <v>2706.4239243207126</v>
      </c>
      <c r="AI129" s="16">
        <f>SUMIF('20.01'!$J:$J,$B:$B,'20.01'!$D:$D)*1.2</f>
        <v>0</v>
      </c>
      <c r="AJ129" s="17">
        <f t="shared" si="126"/>
        <v>1099.8298366939418</v>
      </c>
      <c r="AK129" s="17">
        <f t="shared" si="127"/>
        <v>2675.6416602998897</v>
      </c>
      <c r="AL129" s="17">
        <f t="shared" si="128"/>
        <v>45039.08463441339</v>
      </c>
      <c r="AM129" s="110">
        <f t="shared" si="129"/>
        <v>0</v>
      </c>
      <c r="AN129" s="17">
        <f>SUMIF('20.01'!$K:$K,$B:$B,'20.01'!$D:$D)*1.2</f>
        <v>0</v>
      </c>
      <c r="AO129" s="17">
        <f>SUMIF('20.01'!$L:$L,$B:$B,'20.01'!$D:$D)*1.2</f>
        <v>0</v>
      </c>
      <c r="AP129" s="17">
        <f>SUMIF('20.01'!$M:$M,$B:$B,'20.01'!$D:$D)*1.2</f>
        <v>0</v>
      </c>
      <c r="AQ129" s="110">
        <f t="shared" si="130"/>
        <v>995.63661182519445</v>
      </c>
      <c r="AR129" s="17">
        <f t="shared" si="131"/>
        <v>995.63661182519445</v>
      </c>
      <c r="AS129" s="17">
        <f>(SUMIF('20.01'!$N:$N,$B:$B,'20.01'!$D:$D)+SUMIF('20.01'!$O:$O,$B:$B,'20.01'!$D:$D))*1.2</f>
        <v>0</v>
      </c>
      <c r="AT129" s="110">
        <f>SUMIF('20.01'!$P:$P,$B:$B,'20.01'!$D:$D)*1.2</f>
        <v>0</v>
      </c>
      <c r="AU129" s="110">
        <f t="shared" si="132"/>
        <v>0</v>
      </c>
      <c r="AV129" s="17">
        <f>SUMIF('20.01'!$Q:$Q,$B:$B,'20.01'!$D:$D)*1.2</f>
        <v>0</v>
      </c>
      <c r="AW129" s="17">
        <f>SUMIF('20.01'!$R:$R,$B:$B,'20.01'!$D:$D)*1.2</f>
        <v>0</v>
      </c>
      <c r="AX129" s="110">
        <f t="shared" si="133"/>
        <v>7539.2279999999992</v>
      </c>
      <c r="AY129" s="17">
        <f>SUMIF('20.01'!$S:$S,$B:$B,'20.01'!$D:$D)*1.2</f>
        <v>7539.2279999999992</v>
      </c>
      <c r="AZ129" s="17">
        <f>SUMIF('20.01'!$T:$T,$B:$B,'20.01'!$D:$D)*1.2</f>
        <v>0</v>
      </c>
      <c r="BA129" s="110">
        <f t="shared" si="134"/>
        <v>0</v>
      </c>
      <c r="BB129" s="17">
        <f>SUMIF('20.01'!$U:$U,$B:$B,'20.01'!$D:$D)*1.2</f>
        <v>0</v>
      </c>
      <c r="BC129" s="17">
        <f>SUMIF('20.01'!$V:$V,$B:$B,'20.01'!$D:$D)*1.2</f>
        <v>0</v>
      </c>
      <c r="BD129" s="17">
        <f>SUMIF('20.01'!$W:$W,$B:$B,'20.01'!$D:$D)*1.2</f>
        <v>0</v>
      </c>
      <c r="BE129" s="110">
        <f>SUMIF('20.01'!$X:$X,$B:$B,'20.01'!$D:$D)*1.2</f>
        <v>0</v>
      </c>
      <c r="BF129" s="110">
        <f t="shared" si="135"/>
        <v>0</v>
      </c>
      <c r="BG129" s="17">
        <f>SUMIF('20.01'!$Y:$Y,$B:$B,'20.01'!$D:$D)*1.2</f>
        <v>0</v>
      </c>
      <c r="BH129" s="17">
        <f>SUMIF('20.01'!$Z:$Z,$B:$B,'20.01'!$D:$D)*1.2</f>
        <v>0</v>
      </c>
      <c r="BI129" s="17">
        <f>SUMIF('20.01'!$AA:$AA,$B:$B,'20.01'!$D:$D)*1.2</f>
        <v>0</v>
      </c>
      <c r="BJ129" s="17">
        <f>SUMIF('20.01'!$AB:$AB,$B:$B,'20.01'!$D:$D)*1.2</f>
        <v>0</v>
      </c>
      <c r="BK129" s="17">
        <f>SUMIF('20.01'!$AC:$AC,$B:$B,'20.01'!$D:$D)*1.2</f>
        <v>0</v>
      </c>
      <c r="BL129" s="17">
        <f>SUMIF('20.01'!$AD:$AD,$B:$B,'20.01'!$D:$D)*1.2</f>
        <v>0</v>
      </c>
      <c r="BM129" s="110">
        <f t="shared" si="136"/>
        <v>0</v>
      </c>
      <c r="BN129" s="17">
        <f>SUMIF('20.01'!$AE:$AE,$B:$B,'20.01'!$D:$D)*1.2</f>
        <v>0</v>
      </c>
      <c r="BO129" s="17">
        <f>SUMIF('20.01'!$AF:$AF,$B:$B,'20.01'!$D:$D)*1.2</f>
        <v>0</v>
      </c>
      <c r="BP129" s="110">
        <f>SUMIF('20.01'!$AG:$AG,$B:$B,'20.01'!$D:$D)*1.2</f>
        <v>0</v>
      </c>
      <c r="BQ129" s="110">
        <f>SUMIF('20.01'!$AH:$AH,$B:$B,'20.01'!$D:$D)*1.2</f>
        <v>0</v>
      </c>
      <c r="BR129" s="110">
        <f>SUMIF('20.01'!$AI:$AI,$B:$B,'20.01'!$D:$D)*1.2</f>
        <v>0</v>
      </c>
      <c r="BS129" s="110">
        <f t="shared" si="137"/>
        <v>0</v>
      </c>
      <c r="BT129" s="17">
        <f>SUMIF('20.01'!$AJ:$AJ,$B:$B,'20.01'!$D:$D)*1.2</f>
        <v>0</v>
      </c>
      <c r="BU129" s="17">
        <f>SUMIF('20.01'!$AK:$AK,$B:$B,'20.01'!$D:$D)*1.2</f>
        <v>0</v>
      </c>
      <c r="BV129" s="110">
        <f>SUMIF('20.01'!$AL:$AL,$B:$B,'20.01'!$D:$D)*1.2</f>
        <v>0</v>
      </c>
      <c r="BW129" s="110">
        <f>SUMIF('20.01'!$AM:$AM,$B:$B,'20.01'!$D:$D)*1.2</f>
        <v>0</v>
      </c>
      <c r="BX129" s="110">
        <f>SUMIF('20.01'!$AN:$AN,$B:$B,'20.01'!$D:$D)*1.2</f>
        <v>0</v>
      </c>
      <c r="BY129" s="110">
        <f t="shared" si="87"/>
        <v>379141.51775588212</v>
      </c>
      <c r="BZ129" s="17">
        <f t="shared" ref="BZ129" si="153">IF(S129=$S$246,$BZ$246,0)/$G$246*G129</f>
        <v>217209.64660494178</v>
      </c>
      <c r="CA129" s="17">
        <f t="shared" si="88"/>
        <v>21982.743899045272</v>
      </c>
      <c r="CB129" s="17">
        <f t="shared" si="89"/>
        <v>1461.3002271933349</v>
      </c>
      <c r="CC129" s="17">
        <f>SUMIF('20.01'!$AO:$AO,$B:$B,'20.01'!$D:$D)*1.2</f>
        <v>0</v>
      </c>
      <c r="CD129" s="17">
        <f t="shared" si="90"/>
        <v>22940.929395971663</v>
      </c>
      <c r="CE129" s="17">
        <f>SUMIF('20.01'!$AQ:$AQ,$B:$B,'20.01'!$D:$D)*1.2</f>
        <v>0</v>
      </c>
      <c r="CF129" s="17">
        <f t="shared" si="91"/>
        <v>2087.2619255795375</v>
      </c>
      <c r="CG129" s="17">
        <f>SUMIF('20.01'!$AR:$AR,$B:$B,'20.01'!$D:$D)*1.2</f>
        <v>111013.476</v>
      </c>
      <c r="CH129" s="17">
        <f t="shared" si="92"/>
        <v>1229.2458199134021</v>
      </c>
      <c r="CI129" s="17">
        <f>SUMIF('20.01'!$AT:$AT,$B:$B,'20.01'!$D:$D)*1.2</f>
        <v>0</v>
      </c>
      <c r="CJ129" s="17">
        <f>SUMIF('20.01'!$AU:$AU,$B:$B,'20.01'!$D:$D)*1.2</f>
        <v>0</v>
      </c>
      <c r="CK129" s="17">
        <f>SUMIF('20.01'!$AV:$AV,$B:$B,'20.01'!$D:$D)*1.2</f>
        <v>0</v>
      </c>
      <c r="CL129" s="17">
        <f t="shared" si="93"/>
        <v>1216.9138832371195</v>
      </c>
      <c r="CM129" s="17">
        <f>SUMIF('20.01'!$AW:$AW,$B:$B,'20.01'!$D:$D)*1.2</f>
        <v>0</v>
      </c>
      <c r="CN129" s="17">
        <f>SUMIF('20.01'!$AX:$AX,$B:$B,'20.01'!$D:$D)*1.2</f>
        <v>0</v>
      </c>
      <c r="CO129" s="110">
        <f t="shared" si="138"/>
        <v>408227.66027879191</v>
      </c>
      <c r="CP129" s="17">
        <f t="shared" si="139"/>
        <v>322026.86995513376</v>
      </c>
      <c r="CQ129" s="17">
        <f t="shared" si="94"/>
        <v>99349.720355243917</v>
      </c>
      <c r="CR129" s="17">
        <f t="shared" si="95"/>
        <v>222677.14959988985</v>
      </c>
      <c r="CS129" s="17">
        <f t="shared" si="140"/>
        <v>86200.790323658119</v>
      </c>
      <c r="CT129" s="17">
        <f t="shared" si="96"/>
        <v>3140.3704090493693</v>
      </c>
      <c r="CU129" s="17">
        <f t="shared" si="97"/>
        <v>3037.4714541726908</v>
      </c>
      <c r="CV129" s="17">
        <f t="shared" si="98"/>
        <v>3139.2931350167478</v>
      </c>
      <c r="CW129" s="17">
        <f t="shared" si="99"/>
        <v>32.91894502269831</v>
      </c>
      <c r="CX129" s="17">
        <f t="shared" si="100"/>
        <v>46353.184150027555</v>
      </c>
      <c r="CY129" s="17">
        <f t="shared" si="101"/>
        <v>30497.552230369063</v>
      </c>
      <c r="CZ129" s="110">
        <f t="shared" si="141"/>
        <v>101332.79233904456</v>
      </c>
      <c r="DA129" s="17">
        <f t="shared" si="142"/>
        <v>3827.7843049649205</v>
      </c>
      <c r="DB129" s="17">
        <f t="shared" si="102"/>
        <v>3632.4268922713359</v>
      </c>
      <c r="DC129" s="17">
        <f t="shared" si="103"/>
        <v>195.35741269358442</v>
      </c>
      <c r="DD129" s="17">
        <f t="shared" si="104"/>
        <v>6744.9950246997041</v>
      </c>
      <c r="DE129" s="17">
        <f t="shared" si="105"/>
        <v>2327.2010123017312</v>
      </c>
      <c r="DF129" s="17">
        <f t="shared" si="106"/>
        <v>2824.382642979765</v>
      </c>
      <c r="DG129" s="17">
        <f t="shared" si="143"/>
        <v>85608.429354098436</v>
      </c>
      <c r="DH129" s="110">
        <f t="shared" si="144"/>
        <v>63239.578256342749</v>
      </c>
      <c r="DI129" s="17">
        <f t="shared" si="107"/>
        <v>56728.480117087929</v>
      </c>
      <c r="DJ129" s="17">
        <f t="shared" si="108"/>
        <v>6273.836561538461</v>
      </c>
      <c r="DK129" s="17">
        <f t="shared" si="109"/>
        <v>237.26157771635826</v>
      </c>
      <c r="DL129" s="110">
        <f t="shared" si="145"/>
        <v>375961.60231801961</v>
      </c>
      <c r="DM129" s="17">
        <f t="shared" si="110"/>
        <v>199259.64922855038</v>
      </c>
      <c r="DN129" s="17">
        <f t="shared" si="111"/>
        <v>176701.95308946923</v>
      </c>
      <c r="DO129" s="17">
        <f t="shared" si="112"/>
        <v>0</v>
      </c>
      <c r="DP129" s="110">
        <f t="shared" si="146"/>
        <v>0</v>
      </c>
      <c r="DQ129" s="17">
        <f>SUMIF('20.01'!$BB:$BB,$B:$B,'20.01'!$D:$D)*1.2</f>
        <v>0</v>
      </c>
      <c r="DR129" s="17">
        <f t="shared" si="113"/>
        <v>0</v>
      </c>
      <c r="DS129" s="17">
        <f t="shared" si="114"/>
        <v>0</v>
      </c>
      <c r="DT129" s="110">
        <f t="shared" si="147"/>
        <v>7586.0159999999996</v>
      </c>
      <c r="DU129" s="17">
        <f>SUMIF('20.01'!$BD:$BD,$B:$B,'20.01'!$D:$D)*1.2</f>
        <v>7586.0159999999996</v>
      </c>
      <c r="DV129" s="17">
        <f t="shared" si="115"/>
        <v>0</v>
      </c>
      <c r="DW129" s="17">
        <f t="shared" si="116"/>
        <v>0</v>
      </c>
      <c r="DX129" s="110">
        <f t="shared" si="117"/>
        <v>1601054.6989062969</v>
      </c>
      <c r="DY129" s="110"/>
      <c r="DZ129" s="110">
        <f t="shared" si="148"/>
        <v>1601054.6989062969</v>
      </c>
      <c r="EA129" s="257"/>
      <c r="EB129" s="110">
        <f t="shared" si="118"/>
        <v>3546.2168674698792</v>
      </c>
      <c r="EC129" s="110">
        <f>SUMIF(еирц!$B:$B,$B:$B,еирц!$K:$K)</f>
        <v>1186376.49</v>
      </c>
      <c r="ED129" s="110">
        <f>SUMIF(еирц!$B:$B,$B:$B,еирц!$P:$P)</f>
        <v>1149329.69</v>
      </c>
      <c r="EE129" s="110">
        <f>SUMIF(еирц!$B:$B,$B:$B,еирц!$S:$S)</f>
        <v>320985.07</v>
      </c>
      <c r="EF129" s="177">
        <f t="shared" si="149"/>
        <v>-411131.99203882692</v>
      </c>
      <c r="EG129" s="181">
        <f t="shared" si="152"/>
        <v>0</v>
      </c>
      <c r="EH129" s="177">
        <f t="shared" si="150"/>
        <v>-411131.99203882692</v>
      </c>
    </row>
    <row r="130" spans="1:138" ht="12" customHeight="1" x14ac:dyDescent="0.25">
      <c r="A130" s="5">
        <f t="shared" si="151"/>
        <v>126</v>
      </c>
      <c r="B130" s="6" t="s">
        <v>210</v>
      </c>
      <c r="C130" s="7">
        <f t="shared" si="84"/>
        <v>3332.0000000000005</v>
      </c>
      <c r="D130" s="8">
        <v>3332.0000000000005</v>
      </c>
      <c r="E130" s="8">
        <v>0</v>
      </c>
      <c r="F130" s="8">
        <v>246</v>
      </c>
      <c r="G130" s="87">
        <f t="shared" si="85"/>
        <v>3332.0000000000005</v>
      </c>
      <c r="H130" s="87">
        <f t="shared" si="86"/>
        <v>3332.0000000000005</v>
      </c>
      <c r="I130" s="91">
        <v>0</v>
      </c>
      <c r="J130" s="112">
        <v>0</v>
      </c>
      <c r="K130" s="17">
        <v>4</v>
      </c>
      <c r="L130" s="112">
        <f t="shared" si="119"/>
        <v>9.638554216867469E-3</v>
      </c>
      <c r="M130" s="116">
        <v>3.4064173323330835</v>
      </c>
      <c r="N130" s="120">
        <f t="shared" si="120"/>
        <v>3332.0000000000005</v>
      </c>
      <c r="O130" s="116">
        <v>3.0862307576894228</v>
      </c>
      <c r="P130" s="120">
        <f t="shared" si="121"/>
        <v>3332.0000000000005</v>
      </c>
      <c r="Q130" s="116">
        <v>0</v>
      </c>
      <c r="R130" s="120">
        <f t="shared" si="122"/>
        <v>0</v>
      </c>
      <c r="S130" s="5" t="s">
        <v>73</v>
      </c>
      <c r="T130" s="87">
        <v>28.44</v>
      </c>
      <c r="U130" s="88">
        <v>4.68</v>
      </c>
      <c r="V130" s="88">
        <v>6.05</v>
      </c>
      <c r="W130" s="88">
        <v>8.24</v>
      </c>
      <c r="X130" s="88">
        <v>6.34</v>
      </c>
      <c r="Y130" s="88">
        <v>2.89</v>
      </c>
      <c r="Z130" s="88">
        <v>0</v>
      </c>
      <c r="AA130" s="88">
        <v>0</v>
      </c>
      <c r="AB130" s="88">
        <v>0.24</v>
      </c>
      <c r="AC130" s="257"/>
      <c r="AD130" s="110">
        <f t="shared" si="123"/>
        <v>291183.15608315577</v>
      </c>
      <c r="AE130" s="110">
        <f t="shared" si="124"/>
        <v>119070.75710152283</v>
      </c>
      <c r="AF130" s="16">
        <f>SUMIF('20.01'!$I:$I,$B:$B,'20.01'!$D:$D)*1.2</f>
        <v>49316.651999999995</v>
      </c>
      <c r="AG130" s="17">
        <f t="shared" ref="AG130:AG135" si="154">IF(S130=$S$249,$AG$249,0)/$G$249*G130</f>
        <v>21319.179856570241</v>
      </c>
      <c r="AH130" s="17">
        <f t="shared" si="125"/>
        <v>2544.3118573023207</v>
      </c>
      <c r="AI130" s="16">
        <f>SUMIF('20.01'!$J:$J,$B:$B,'20.01'!$D:$D)*1.2</f>
        <v>0</v>
      </c>
      <c r="AJ130" s="17">
        <f t="shared" si="126"/>
        <v>1033.9511372807649</v>
      </c>
      <c r="AK130" s="17">
        <f t="shared" si="127"/>
        <v>2515.3734198908764</v>
      </c>
      <c r="AL130" s="17">
        <f t="shared" si="128"/>
        <v>42341.288830478632</v>
      </c>
      <c r="AM130" s="110">
        <f t="shared" si="129"/>
        <v>0</v>
      </c>
      <c r="AN130" s="17">
        <f>SUMIF('20.01'!$K:$K,$B:$B,'20.01'!$D:$D)*1.2</f>
        <v>0</v>
      </c>
      <c r="AO130" s="17">
        <f>SUMIF('20.01'!$L:$L,$B:$B,'20.01'!$D:$D)*1.2</f>
        <v>0</v>
      </c>
      <c r="AP130" s="17">
        <f>SUMIF('20.01'!$M:$M,$B:$B,'20.01'!$D:$D)*1.2</f>
        <v>0</v>
      </c>
      <c r="AQ130" s="110">
        <f t="shared" si="130"/>
        <v>935.99898163291709</v>
      </c>
      <c r="AR130" s="17">
        <f t="shared" si="131"/>
        <v>935.99898163291709</v>
      </c>
      <c r="AS130" s="17">
        <f>(SUMIF('20.01'!$N:$N,$B:$B,'20.01'!$D:$D)+SUMIF('20.01'!$O:$O,$B:$B,'20.01'!$D:$D))*1.2</f>
        <v>0</v>
      </c>
      <c r="AT130" s="110">
        <f>SUMIF('20.01'!$P:$P,$B:$B,'20.01'!$D:$D)*1.2</f>
        <v>0</v>
      </c>
      <c r="AU130" s="110">
        <f t="shared" si="132"/>
        <v>0</v>
      </c>
      <c r="AV130" s="17">
        <f>SUMIF('20.01'!$Q:$Q,$B:$B,'20.01'!$D:$D)*1.2</f>
        <v>0</v>
      </c>
      <c r="AW130" s="17">
        <f>SUMIF('20.01'!$R:$R,$B:$B,'20.01'!$D:$D)*1.2</f>
        <v>0</v>
      </c>
      <c r="AX130" s="110">
        <f t="shared" si="133"/>
        <v>171176.4</v>
      </c>
      <c r="AY130" s="17">
        <f>SUMIF('20.01'!$S:$S,$B:$B,'20.01'!$D:$D)*1.2</f>
        <v>171176.4</v>
      </c>
      <c r="AZ130" s="17">
        <f>SUMIF('20.01'!$T:$T,$B:$B,'20.01'!$D:$D)*1.2</f>
        <v>0</v>
      </c>
      <c r="BA130" s="110">
        <f t="shared" si="134"/>
        <v>0</v>
      </c>
      <c r="BB130" s="17">
        <f>SUMIF('20.01'!$U:$U,$B:$B,'20.01'!$D:$D)*1.2</f>
        <v>0</v>
      </c>
      <c r="BC130" s="17">
        <f>SUMIF('20.01'!$V:$V,$B:$B,'20.01'!$D:$D)*1.2</f>
        <v>0</v>
      </c>
      <c r="BD130" s="17">
        <f>SUMIF('20.01'!$W:$W,$B:$B,'20.01'!$D:$D)*1.2</f>
        <v>0</v>
      </c>
      <c r="BE130" s="110">
        <f>SUMIF('20.01'!$X:$X,$B:$B,'20.01'!$D:$D)*1.2</f>
        <v>0</v>
      </c>
      <c r="BF130" s="110">
        <f t="shared" si="135"/>
        <v>0</v>
      </c>
      <c r="BG130" s="17">
        <f>SUMIF('20.01'!$Y:$Y,$B:$B,'20.01'!$D:$D)*1.2</f>
        <v>0</v>
      </c>
      <c r="BH130" s="17">
        <f>SUMIF('20.01'!$Z:$Z,$B:$B,'20.01'!$D:$D)*1.2</f>
        <v>0</v>
      </c>
      <c r="BI130" s="17">
        <f>SUMIF('20.01'!$AA:$AA,$B:$B,'20.01'!$D:$D)*1.2</f>
        <v>0</v>
      </c>
      <c r="BJ130" s="17">
        <f>SUMIF('20.01'!$AB:$AB,$B:$B,'20.01'!$D:$D)*1.2</f>
        <v>0</v>
      </c>
      <c r="BK130" s="17">
        <f>SUMIF('20.01'!$AC:$AC,$B:$B,'20.01'!$D:$D)*1.2</f>
        <v>0</v>
      </c>
      <c r="BL130" s="17">
        <f>SUMIF('20.01'!$AD:$AD,$B:$B,'20.01'!$D:$D)*1.2</f>
        <v>0</v>
      </c>
      <c r="BM130" s="110">
        <f t="shared" si="136"/>
        <v>0</v>
      </c>
      <c r="BN130" s="17">
        <f>SUMIF('20.01'!$AE:$AE,$B:$B,'20.01'!$D:$D)*1.2</f>
        <v>0</v>
      </c>
      <c r="BO130" s="17">
        <f>SUMIF('20.01'!$AF:$AF,$B:$B,'20.01'!$D:$D)*1.2</f>
        <v>0</v>
      </c>
      <c r="BP130" s="110">
        <f>SUMIF('20.01'!$AG:$AG,$B:$B,'20.01'!$D:$D)*1.2</f>
        <v>0</v>
      </c>
      <c r="BQ130" s="110">
        <f>SUMIF('20.01'!$AH:$AH,$B:$B,'20.01'!$D:$D)*1.2</f>
        <v>0</v>
      </c>
      <c r="BR130" s="110">
        <f>SUMIF('20.01'!$AI:$AI,$B:$B,'20.01'!$D:$D)*1.2</f>
        <v>0</v>
      </c>
      <c r="BS130" s="110">
        <f t="shared" si="137"/>
        <v>0</v>
      </c>
      <c r="BT130" s="17">
        <f>SUMIF('20.01'!$AJ:$AJ,$B:$B,'20.01'!$D:$D)*1.2</f>
        <v>0</v>
      </c>
      <c r="BU130" s="17">
        <f>SUMIF('20.01'!$AK:$AK,$B:$B,'20.01'!$D:$D)*1.2</f>
        <v>0</v>
      </c>
      <c r="BV130" s="110">
        <f>SUMIF('20.01'!$AL:$AL,$B:$B,'20.01'!$D:$D)*1.2</f>
        <v>0</v>
      </c>
      <c r="BW130" s="110">
        <f>SUMIF('20.01'!$AM:$AM,$B:$B,'20.01'!$D:$D)*1.2</f>
        <v>0</v>
      </c>
      <c r="BX130" s="110">
        <f>SUMIF('20.01'!$AN:$AN,$B:$B,'20.01'!$D:$D)*1.2</f>
        <v>0</v>
      </c>
      <c r="BY130" s="110">
        <f t="shared" si="87"/>
        <v>433229.43849083694</v>
      </c>
      <c r="BZ130" s="17">
        <f t="shared" ref="BZ130:BZ135" si="155">IF(S130=$S$249,$BZ$249,0)/$G$249*G130</f>
        <v>289353.3479218295</v>
      </c>
      <c r="CA130" s="17">
        <f t="shared" si="88"/>
        <v>20665.999681634978</v>
      </c>
      <c r="CB130" s="17">
        <f t="shared" si="89"/>
        <v>1373.7698154806851</v>
      </c>
      <c r="CC130" s="17">
        <f>SUMIF('20.01'!$AO:$AO,$B:$B,'20.01'!$D:$D)*1.2</f>
        <v>0</v>
      </c>
      <c r="CD130" s="17">
        <f t="shared" si="90"/>
        <v>21566.790832428855</v>
      </c>
      <c r="CE130" s="17">
        <f>SUMIF('20.01'!$AQ:$AQ,$B:$B,'20.01'!$D:$D)*1.2</f>
        <v>0</v>
      </c>
      <c r="CF130" s="17">
        <f t="shared" si="91"/>
        <v>1962.2370386341504</v>
      </c>
      <c r="CG130" s="17">
        <f>SUMIF('20.01'!$AR:$AR,$B:$B,'20.01'!$D:$D)*1.2</f>
        <v>96007.656000000003</v>
      </c>
      <c r="CH130" s="17">
        <f t="shared" si="92"/>
        <v>1155.6152334597682</v>
      </c>
      <c r="CI130" s="17">
        <f>SUMIF('20.01'!$AT:$AT,$B:$B,'20.01'!$D:$D)*1.2</f>
        <v>0</v>
      </c>
      <c r="CJ130" s="17">
        <f>SUMIF('20.01'!$AU:$AU,$B:$B,'20.01'!$D:$D)*1.2</f>
        <v>0</v>
      </c>
      <c r="CK130" s="17">
        <f>SUMIF('20.01'!$AV:$AV,$B:$B,'20.01'!$D:$D)*1.2</f>
        <v>0</v>
      </c>
      <c r="CL130" s="17">
        <f t="shared" si="93"/>
        <v>1144.0219673690385</v>
      </c>
      <c r="CM130" s="17">
        <f>SUMIF('20.01'!$AW:$AW,$B:$B,'20.01'!$D:$D)*1.2</f>
        <v>0</v>
      </c>
      <c r="CN130" s="17">
        <f>SUMIF('20.01'!$AX:$AX,$B:$B,'20.01'!$D:$D)*1.2</f>
        <v>0</v>
      </c>
      <c r="CO130" s="110">
        <f t="shared" si="138"/>
        <v>383775.23461584368</v>
      </c>
      <c r="CP130" s="17">
        <f t="shared" si="139"/>
        <v>302737.7848067336</v>
      </c>
      <c r="CQ130" s="17">
        <f t="shared" si="94"/>
        <v>93398.772176077866</v>
      </c>
      <c r="CR130" s="17">
        <f t="shared" si="95"/>
        <v>209339.01263065572</v>
      </c>
      <c r="CS130" s="17">
        <f t="shared" si="140"/>
        <v>81037.449809110083</v>
      </c>
      <c r="CT130" s="17">
        <f t="shared" si="96"/>
        <v>2952.2653846887961</v>
      </c>
      <c r="CU130" s="17">
        <f t="shared" si="97"/>
        <v>2855.529973564147</v>
      </c>
      <c r="CV130" s="17">
        <f t="shared" si="98"/>
        <v>2951.2526382856431</v>
      </c>
      <c r="CW130" s="17">
        <f t="shared" si="99"/>
        <v>30.947133373481584</v>
      </c>
      <c r="CX130" s="17">
        <f t="shared" si="100"/>
        <v>43576.675108735668</v>
      </c>
      <c r="CY130" s="17">
        <f t="shared" si="101"/>
        <v>28670.779570462357</v>
      </c>
      <c r="CZ130" s="110">
        <f t="shared" si="141"/>
        <v>95263.060145500232</v>
      </c>
      <c r="DA130" s="17">
        <f t="shared" si="142"/>
        <v>3598.5038806373936</v>
      </c>
      <c r="DB130" s="17">
        <f t="shared" si="102"/>
        <v>3414.8481801901903</v>
      </c>
      <c r="DC130" s="17">
        <f t="shared" si="103"/>
        <v>183.65570044720351</v>
      </c>
      <c r="DD130" s="17">
        <f t="shared" si="104"/>
        <v>6340.9766166237096</v>
      </c>
      <c r="DE130" s="17">
        <f t="shared" si="105"/>
        <v>2187.8040157405885</v>
      </c>
      <c r="DF130" s="17">
        <f t="shared" si="106"/>
        <v>2655.2049675277426</v>
      </c>
      <c r="DG130" s="17">
        <f t="shared" si="143"/>
        <v>80480.570664970801</v>
      </c>
      <c r="DH130" s="110">
        <f t="shared" si="144"/>
        <v>59451.591216921261</v>
      </c>
      <c r="DI130" s="17">
        <f t="shared" si="107"/>
        <v>53330.501297897179</v>
      </c>
      <c r="DJ130" s="17">
        <f t="shared" si="108"/>
        <v>5898.0400708309544</v>
      </c>
      <c r="DK130" s="17">
        <f t="shared" si="109"/>
        <v>223.04984819312864</v>
      </c>
      <c r="DL130" s="110">
        <f t="shared" si="145"/>
        <v>353441.88102689991</v>
      </c>
      <c r="DM130" s="17">
        <f t="shared" si="110"/>
        <v>187324.19694425695</v>
      </c>
      <c r="DN130" s="17">
        <f t="shared" si="111"/>
        <v>166117.68408264298</v>
      </c>
      <c r="DO130" s="17">
        <f t="shared" si="112"/>
        <v>0</v>
      </c>
      <c r="DP130" s="110">
        <f t="shared" si="146"/>
        <v>0</v>
      </c>
      <c r="DQ130" s="17">
        <f>SUMIF('20.01'!$BB:$BB,$B:$B,'20.01'!$D:$D)*1.2</f>
        <v>0</v>
      </c>
      <c r="DR130" s="17">
        <f t="shared" si="113"/>
        <v>0</v>
      </c>
      <c r="DS130" s="17">
        <f t="shared" si="114"/>
        <v>0</v>
      </c>
      <c r="DT130" s="110">
        <f t="shared" si="147"/>
        <v>7586.0159999999996</v>
      </c>
      <c r="DU130" s="17">
        <f>SUMIF('20.01'!$BD:$BD,$B:$B,'20.01'!$D:$D)*1.2</f>
        <v>7586.0159999999996</v>
      </c>
      <c r="DV130" s="17">
        <f t="shared" si="115"/>
        <v>0</v>
      </c>
      <c r="DW130" s="17">
        <f t="shared" si="116"/>
        <v>0</v>
      </c>
      <c r="DX130" s="110">
        <f t="shared" si="117"/>
        <v>1623930.3775791579</v>
      </c>
      <c r="DY130" s="110"/>
      <c r="DZ130" s="110">
        <f t="shared" si="148"/>
        <v>1623930.3775791579</v>
      </c>
      <c r="EA130" s="257"/>
      <c r="EB130" s="110">
        <f t="shared" si="118"/>
        <v>3546.2168674698792</v>
      </c>
      <c r="EC130" s="110">
        <f>SUMIF(еирц!$B:$B,$B:$B,еирц!$K:$K)</f>
        <v>1115354.8700000001</v>
      </c>
      <c r="ED130" s="110">
        <f>SUMIF(еирц!$B:$B,$B:$B,еирц!$P:$P)</f>
        <v>1090818.06</v>
      </c>
      <c r="EE130" s="110">
        <f>SUMIF(еирц!$B:$B,$B:$B,еирц!$S:$S)</f>
        <v>258634.47</v>
      </c>
      <c r="EF130" s="177">
        <f t="shared" si="149"/>
        <v>-505029.29071168788</v>
      </c>
      <c r="EG130" s="181">
        <f t="shared" si="152"/>
        <v>0</v>
      </c>
      <c r="EH130" s="177">
        <f t="shared" si="150"/>
        <v>-505029.29071168788</v>
      </c>
    </row>
    <row r="131" spans="1:138" ht="12" customHeight="1" x14ac:dyDescent="0.25">
      <c r="A131" s="5">
        <f t="shared" si="151"/>
        <v>127</v>
      </c>
      <c r="B131" s="6" t="s">
        <v>211</v>
      </c>
      <c r="C131" s="7">
        <f t="shared" si="84"/>
        <v>3359.2</v>
      </c>
      <c r="D131" s="8">
        <v>3359.2</v>
      </c>
      <c r="E131" s="8">
        <v>0</v>
      </c>
      <c r="F131" s="8">
        <v>382.8</v>
      </c>
      <c r="G131" s="87">
        <f t="shared" si="85"/>
        <v>3359.2</v>
      </c>
      <c r="H131" s="87">
        <f t="shared" si="86"/>
        <v>3359.2</v>
      </c>
      <c r="I131" s="91">
        <v>0</v>
      </c>
      <c r="J131" s="112">
        <v>0</v>
      </c>
      <c r="K131" s="17">
        <v>0</v>
      </c>
      <c r="L131" s="112">
        <f t="shared" si="119"/>
        <v>0</v>
      </c>
      <c r="M131" s="116">
        <v>3.406416779222325</v>
      </c>
      <c r="N131" s="120">
        <f t="shared" si="120"/>
        <v>3359.2</v>
      </c>
      <c r="O131" s="116">
        <v>3.086231398566031</v>
      </c>
      <c r="P131" s="120">
        <f t="shared" si="121"/>
        <v>3359.2</v>
      </c>
      <c r="Q131" s="116">
        <v>0</v>
      </c>
      <c r="R131" s="120">
        <f t="shared" si="122"/>
        <v>0</v>
      </c>
      <c r="S131" s="5" t="s">
        <v>73</v>
      </c>
      <c r="T131" s="87">
        <v>28.44</v>
      </c>
      <c r="U131" s="88">
        <v>4.68</v>
      </c>
      <c r="V131" s="88">
        <v>6.05</v>
      </c>
      <c r="W131" s="88">
        <v>8.24</v>
      </c>
      <c r="X131" s="88">
        <v>6.34</v>
      </c>
      <c r="Y131" s="88">
        <v>2.89</v>
      </c>
      <c r="Z131" s="88">
        <v>0</v>
      </c>
      <c r="AA131" s="88">
        <v>0</v>
      </c>
      <c r="AB131" s="88">
        <v>0.24</v>
      </c>
      <c r="AC131" s="257"/>
      <c r="AD131" s="110">
        <f t="shared" si="123"/>
        <v>399070.77015730395</v>
      </c>
      <c r="AE131" s="110">
        <f t="shared" si="124"/>
        <v>194934.7303676577</v>
      </c>
      <c r="AF131" s="16">
        <f>SUMIF('20.01'!$I:$I,$B:$B,'20.01'!$D:$D)*1.2</f>
        <v>124611.204</v>
      </c>
      <c r="AG131" s="17">
        <f t="shared" si="154"/>
        <v>21493.213977848362</v>
      </c>
      <c r="AH131" s="17">
        <f t="shared" si="125"/>
        <v>2565.0817500149924</v>
      </c>
      <c r="AI131" s="16">
        <f>SUMIF('20.01'!$J:$J,$B:$B,'20.01'!$D:$D)*1.2</f>
        <v>0</v>
      </c>
      <c r="AJ131" s="17">
        <f t="shared" si="126"/>
        <v>1042.3915547279546</v>
      </c>
      <c r="AK131" s="17">
        <f t="shared" si="127"/>
        <v>2535.9070804614139</v>
      </c>
      <c r="AL131" s="17">
        <f t="shared" si="128"/>
        <v>42686.932004604983</v>
      </c>
      <c r="AM131" s="110">
        <f t="shared" si="129"/>
        <v>0</v>
      </c>
      <c r="AN131" s="17">
        <f>SUMIF('20.01'!$K:$K,$B:$B,'20.01'!$D:$D)*1.2</f>
        <v>0</v>
      </c>
      <c r="AO131" s="17">
        <f>SUMIF('20.01'!$L:$L,$B:$B,'20.01'!$D:$D)*1.2</f>
        <v>0</v>
      </c>
      <c r="AP131" s="17">
        <f>SUMIF('20.01'!$M:$M,$B:$B,'20.01'!$D:$D)*1.2</f>
        <v>0</v>
      </c>
      <c r="AQ131" s="110">
        <f t="shared" si="130"/>
        <v>943.63978964624687</v>
      </c>
      <c r="AR131" s="17">
        <f t="shared" si="131"/>
        <v>943.63978964624687</v>
      </c>
      <c r="AS131" s="17">
        <f>(SUMIF('20.01'!$N:$N,$B:$B,'20.01'!$D:$D)+SUMIF('20.01'!$O:$O,$B:$B,'20.01'!$D:$D))*1.2</f>
        <v>0</v>
      </c>
      <c r="AT131" s="110">
        <f>SUMIF('20.01'!$P:$P,$B:$B,'20.01'!$D:$D)*1.2</f>
        <v>0</v>
      </c>
      <c r="AU131" s="110">
        <f t="shared" si="132"/>
        <v>0</v>
      </c>
      <c r="AV131" s="17">
        <f>SUMIF('20.01'!$Q:$Q,$B:$B,'20.01'!$D:$D)*1.2</f>
        <v>0</v>
      </c>
      <c r="AW131" s="17">
        <f>SUMIF('20.01'!$R:$R,$B:$B,'20.01'!$D:$D)*1.2</f>
        <v>0</v>
      </c>
      <c r="AX131" s="110">
        <f t="shared" si="133"/>
        <v>203192.4</v>
      </c>
      <c r="AY131" s="17">
        <f>SUMIF('20.01'!$S:$S,$B:$B,'20.01'!$D:$D)*1.2</f>
        <v>203192.4</v>
      </c>
      <c r="AZ131" s="17">
        <f>SUMIF('20.01'!$T:$T,$B:$B,'20.01'!$D:$D)*1.2</f>
        <v>0</v>
      </c>
      <c r="BA131" s="110">
        <f t="shared" si="134"/>
        <v>0</v>
      </c>
      <c r="BB131" s="17">
        <f>SUMIF('20.01'!$U:$U,$B:$B,'20.01'!$D:$D)*1.2</f>
        <v>0</v>
      </c>
      <c r="BC131" s="17">
        <f>SUMIF('20.01'!$V:$V,$B:$B,'20.01'!$D:$D)*1.2</f>
        <v>0</v>
      </c>
      <c r="BD131" s="17">
        <f>SUMIF('20.01'!$W:$W,$B:$B,'20.01'!$D:$D)*1.2</f>
        <v>0</v>
      </c>
      <c r="BE131" s="110">
        <f>SUMIF('20.01'!$X:$X,$B:$B,'20.01'!$D:$D)*1.2</f>
        <v>0</v>
      </c>
      <c r="BF131" s="110">
        <f t="shared" si="135"/>
        <v>0</v>
      </c>
      <c r="BG131" s="17">
        <f>SUMIF('20.01'!$Y:$Y,$B:$B,'20.01'!$D:$D)*1.2</f>
        <v>0</v>
      </c>
      <c r="BH131" s="17">
        <f>SUMIF('20.01'!$Z:$Z,$B:$B,'20.01'!$D:$D)*1.2</f>
        <v>0</v>
      </c>
      <c r="BI131" s="17">
        <f>SUMIF('20.01'!$AA:$AA,$B:$B,'20.01'!$D:$D)*1.2</f>
        <v>0</v>
      </c>
      <c r="BJ131" s="17">
        <f>SUMIF('20.01'!$AB:$AB,$B:$B,'20.01'!$D:$D)*1.2</f>
        <v>0</v>
      </c>
      <c r="BK131" s="17">
        <f>SUMIF('20.01'!$AC:$AC,$B:$B,'20.01'!$D:$D)*1.2</f>
        <v>0</v>
      </c>
      <c r="BL131" s="17">
        <f>SUMIF('20.01'!$AD:$AD,$B:$B,'20.01'!$D:$D)*1.2</f>
        <v>0</v>
      </c>
      <c r="BM131" s="110">
        <f t="shared" si="136"/>
        <v>0</v>
      </c>
      <c r="BN131" s="17">
        <f>SUMIF('20.01'!$AE:$AE,$B:$B,'20.01'!$D:$D)*1.2</f>
        <v>0</v>
      </c>
      <c r="BO131" s="17">
        <f>SUMIF('20.01'!$AF:$AF,$B:$B,'20.01'!$D:$D)*1.2</f>
        <v>0</v>
      </c>
      <c r="BP131" s="110">
        <f>SUMIF('20.01'!$AG:$AG,$B:$B,'20.01'!$D:$D)*1.2</f>
        <v>0</v>
      </c>
      <c r="BQ131" s="110">
        <f>SUMIF('20.01'!$AH:$AH,$B:$B,'20.01'!$D:$D)*1.2</f>
        <v>0</v>
      </c>
      <c r="BR131" s="110">
        <f>SUMIF('20.01'!$AI:$AI,$B:$B,'20.01'!$D:$D)*1.2</f>
        <v>0</v>
      </c>
      <c r="BS131" s="110">
        <f t="shared" si="137"/>
        <v>0</v>
      </c>
      <c r="BT131" s="17">
        <f>SUMIF('20.01'!$AJ:$AJ,$B:$B,'20.01'!$D:$D)*1.2</f>
        <v>0</v>
      </c>
      <c r="BU131" s="17">
        <f>SUMIF('20.01'!$AK:$AK,$B:$B,'20.01'!$D:$D)*1.2</f>
        <v>0</v>
      </c>
      <c r="BV131" s="110">
        <f>SUMIF('20.01'!$AL:$AL,$B:$B,'20.01'!$D:$D)*1.2</f>
        <v>0</v>
      </c>
      <c r="BW131" s="110">
        <f>SUMIF('20.01'!$AM:$AM,$B:$B,'20.01'!$D:$D)*1.2</f>
        <v>0</v>
      </c>
      <c r="BX131" s="110">
        <f>SUMIF('20.01'!$AN:$AN,$B:$B,'20.01'!$D:$D)*1.2</f>
        <v>0</v>
      </c>
      <c r="BY131" s="110">
        <f t="shared" si="87"/>
        <v>470767.68936831306</v>
      </c>
      <c r="BZ131" s="17">
        <f t="shared" si="155"/>
        <v>291715.41606813011</v>
      </c>
      <c r="CA131" s="17">
        <f t="shared" si="88"/>
        <v>20834.701719852401</v>
      </c>
      <c r="CB131" s="17">
        <f t="shared" si="89"/>
        <v>1384.9842629539967</v>
      </c>
      <c r="CC131" s="17">
        <f>SUMIF('20.01'!$AO:$AO,$B:$B,'20.01'!$D:$D)*1.2</f>
        <v>0</v>
      </c>
      <c r="CD131" s="17">
        <f t="shared" si="90"/>
        <v>21742.846267795616</v>
      </c>
      <c r="CE131" s="17">
        <f>SUMIF('20.01'!$AQ:$AQ,$B:$B,'20.01'!$D:$D)*1.2</f>
        <v>0</v>
      </c>
      <c r="CF131" s="17">
        <f t="shared" si="91"/>
        <v>1978.2553001740207</v>
      </c>
      <c r="CG131" s="17">
        <f>SUMIF('20.01'!$AR:$AR,$B:$B,'20.01'!$D:$D)*1.2</f>
        <v>130793.07599999999</v>
      </c>
      <c r="CH131" s="17">
        <f t="shared" si="92"/>
        <v>1165.0488272022967</v>
      </c>
      <c r="CI131" s="17">
        <f>SUMIF('20.01'!$AT:$AT,$B:$B,'20.01'!$D:$D)*1.2</f>
        <v>0</v>
      </c>
      <c r="CJ131" s="17">
        <f>SUMIF('20.01'!$AU:$AU,$B:$B,'20.01'!$D:$D)*1.2</f>
        <v>0</v>
      </c>
      <c r="CK131" s="17">
        <f>SUMIF('20.01'!$AV:$AV,$B:$B,'20.01'!$D:$D)*1.2</f>
        <v>0</v>
      </c>
      <c r="CL131" s="17">
        <f t="shared" si="93"/>
        <v>1153.3609222047039</v>
      </c>
      <c r="CM131" s="17">
        <f>SUMIF('20.01'!$AW:$AW,$B:$B,'20.01'!$D:$D)*1.2</f>
        <v>0</v>
      </c>
      <c r="CN131" s="17">
        <f>SUMIF('20.01'!$AX:$AX,$B:$B,'20.01'!$D:$D)*1.2</f>
        <v>0</v>
      </c>
      <c r="CO131" s="110">
        <f t="shared" si="138"/>
        <v>386908.09367393208</v>
      </c>
      <c r="CP131" s="17">
        <f t="shared" si="139"/>
        <v>305209.11366229865</v>
      </c>
      <c r="CQ131" s="17">
        <f t="shared" si="94"/>
        <v>94161.21113261726</v>
      </c>
      <c r="CR131" s="17">
        <f t="shared" si="95"/>
        <v>211047.90252968142</v>
      </c>
      <c r="CS131" s="17">
        <f t="shared" si="140"/>
        <v>81698.980011633423</v>
      </c>
      <c r="CT131" s="17">
        <f t="shared" si="96"/>
        <v>2976.3655102780917</v>
      </c>
      <c r="CU131" s="17">
        <f t="shared" si="97"/>
        <v>2878.8404223279354</v>
      </c>
      <c r="CV131" s="17">
        <f t="shared" si="98"/>
        <v>2975.3444965573622</v>
      </c>
      <c r="CW131" s="17">
        <f t="shared" si="99"/>
        <v>31.199763033673264</v>
      </c>
      <c r="CX131" s="17">
        <f t="shared" si="100"/>
        <v>43932.403068806969</v>
      </c>
      <c r="CY131" s="17">
        <f t="shared" si="101"/>
        <v>28904.826750629389</v>
      </c>
      <c r="CZ131" s="110">
        <f t="shared" si="141"/>
        <v>96040.717779341037</v>
      </c>
      <c r="DA131" s="17">
        <f t="shared" si="142"/>
        <v>3627.8794225201477</v>
      </c>
      <c r="DB131" s="17">
        <f t="shared" si="102"/>
        <v>3442.7244918652118</v>
      </c>
      <c r="DC131" s="17">
        <f t="shared" si="103"/>
        <v>185.15493065493575</v>
      </c>
      <c r="DD131" s="17">
        <f t="shared" si="104"/>
        <v>6392.7396910451271</v>
      </c>
      <c r="DE131" s="17">
        <f t="shared" si="105"/>
        <v>2205.6636403588786</v>
      </c>
      <c r="DF131" s="17">
        <f t="shared" si="106"/>
        <v>2676.8801101198055</v>
      </c>
      <c r="DG131" s="17">
        <f t="shared" si="143"/>
        <v>81137.554915297078</v>
      </c>
      <c r="DH131" s="110">
        <f t="shared" si="144"/>
        <v>59936.91032889612</v>
      </c>
      <c r="DI131" s="17">
        <f t="shared" si="107"/>
        <v>53765.852328900415</v>
      </c>
      <c r="DJ131" s="17">
        <f t="shared" si="108"/>
        <v>5946.1873367152875</v>
      </c>
      <c r="DK131" s="17">
        <f t="shared" si="109"/>
        <v>224.87066328041942</v>
      </c>
      <c r="DL131" s="110">
        <f t="shared" si="145"/>
        <v>356327.1208720174</v>
      </c>
      <c r="DM131" s="17">
        <f t="shared" si="110"/>
        <v>188853.37406216923</v>
      </c>
      <c r="DN131" s="17">
        <f t="shared" si="111"/>
        <v>167473.74680984818</v>
      </c>
      <c r="DO131" s="17">
        <f t="shared" si="112"/>
        <v>0</v>
      </c>
      <c r="DP131" s="110">
        <f t="shared" si="146"/>
        <v>0</v>
      </c>
      <c r="DQ131" s="17">
        <f>SUMIF('20.01'!$BB:$BB,$B:$B,'20.01'!$D:$D)*1.2</f>
        <v>0</v>
      </c>
      <c r="DR131" s="17">
        <f t="shared" si="113"/>
        <v>0</v>
      </c>
      <c r="DS131" s="17">
        <f t="shared" si="114"/>
        <v>0</v>
      </c>
      <c r="DT131" s="110">
        <f t="shared" si="147"/>
        <v>7586.0159999999996</v>
      </c>
      <c r="DU131" s="17">
        <f>SUMIF('20.01'!$BD:$BD,$B:$B,'20.01'!$D:$D)*1.2</f>
        <v>7586.0159999999996</v>
      </c>
      <c r="DV131" s="17">
        <f t="shared" si="115"/>
        <v>0</v>
      </c>
      <c r="DW131" s="17">
        <f t="shared" si="116"/>
        <v>0</v>
      </c>
      <c r="DX131" s="110">
        <f t="shared" si="117"/>
        <v>1776637.3181798039</v>
      </c>
      <c r="DY131" s="110"/>
      <c r="DZ131" s="110">
        <f t="shared" si="148"/>
        <v>1776637.3181798039</v>
      </c>
      <c r="EA131" s="257"/>
      <c r="EB131" s="110">
        <f t="shared" si="118"/>
        <v>0</v>
      </c>
      <c r="EC131" s="110">
        <f>SUMIF(еирц!$B:$B,$B:$B,еирц!$K:$K)</f>
        <v>1124459.6400000001</v>
      </c>
      <c r="ED131" s="110">
        <f>SUMIF(еирц!$B:$B,$B:$B,еирц!$P:$P)</f>
        <v>1133536.8799999999</v>
      </c>
      <c r="EE131" s="110">
        <f>SUMIF(еирц!$B:$B,$B:$B,еирц!$S:$S)</f>
        <v>344097.99</v>
      </c>
      <c r="EF131" s="177">
        <f t="shared" si="149"/>
        <v>-652177.67817980377</v>
      </c>
      <c r="EG131" s="181">
        <f t="shared" si="152"/>
        <v>0</v>
      </c>
      <c r="EH131" s="177">
        <f t="shared" si="150"/>
        <v>-652177.67817980377</v>
      </c>
    </row>
    <row r="132" spans="1:138" ht="12" customHeight="1" x14ac:dyDescent="0.25">
      <c r="A132" s="5">
        <f t="shared" si="151"/>
        <v>128</v>
      </c>
      <c r="B132" s="6" t="s">
        <v>212</v>
      </c>
      <c r="C132" s="7">
        <f t="shared" si="84"/>
        <v>6399.3</v>
      </c>
      <c r="D132" s="8">
        <v>6399.3</v>
      </c>
      <c r="E132" s="8">
        <v>0</v>
      </c>
      <c r="F132" s="8">
        <v>1625.4</v>
      </c>
      <c r="G132" s="87">
        <f t="shared" si="85"/>
        <v>6399.3</v>
      </c>
      <c r="H132" s="87">
        <f t="shared" si="86"/>
        <v>6399.3</v>
      </c>
      <c r="I132" s="91">
        <v>2</v>
      </c>
      <c r="J132" s="112">
        <v>1.0044078094203579E-2</v>
      </c>
      <c r="K132" s="17">
        <v>2</v>
      </c>
      <c r="L132" s="112">
        <f t="shared" si="119"/>
        <v>4.8192771084337345E-3</v>
      </c>
      <c r="M132" s="116">
        <v>3.4064168040454188</v>
      </c>
      <c r="N132" s="120">
        <f t="shared" si="120"/>
        <v>6399.3</v>
      </c>
      <c r="O132" s="116">
        <v>3.086232626373016</v>
      </c>
      <c r="P132" s="120">
        <f t="shared" si="121"/>
        <v>6399.3</v>
      </c>
      <c r="Q132" s="116">
        <v>1.600926978717099</v>
      </c>
      <c r="R132" s="120">
        <f t="shared" si="122"/>
        <v>6399.3</v>
      </c>
      <c r="S132" s="5" t="s">
        <v>73</v>
      </c>
      <c r="T132" s="87">
        <v>41.34</v>
      </c>
      <c r="U132" s="88">
        <v>4.68</v>
      </c>
      <c r="V132" s="88">
        <v>7.92</v>
      </c>
      <c r="W132" s="88">
        <v>12.32</v>
      </c>
      <c r="X132" s="88">
        <v>6.34</v>
      </c>
      <c r="Y132" s="88">
        <v>2.89</v>
      </c>
      <c r="Z132" s="88">
        <v>1.66</v>
      </c>
      <c r="AA132" s="88">
        <v>5.29</v>
      </c>
      <c r="AB132" s="88">
        <v>0.24</v>
      </c>
      <c r="AC132" s="257"/>
      <c r="AD132" s="110">
        <f t="shared" si="123"/>
        <v>184411.28470208237</v>
      </c>
      <c r="AE132" s="110">
        <f t="shared" si="124"/>
        <v>169809.64416091685</v>
      </c>
      <c r="AF132" s="16">
        <f>SUMIF('20.01'!$I:$I,$B:$B,'20.01'!$D:$D)*1.2</f>
        <v>35842.824000000001</v>
      </c>
      <c r="AG132" s="17">
        <f t="shared" si="154"/>
        <v>40944.726187319902</v>
      </c>
      <c r="AH132" s="17">
        <f t="shared" si="125"/>
        <v>4886.4990601544841</v>
      </c>
      <c r="AI132" s="16">
        <f>SUMIF('20.01'!$J:$J,$B:$B,'20.01'!$D:$D)*1.2</f>
        <v>0</v>
      </c>
      <c r="AJ132" s="17">
        <f t="shared" si="126"/>
        <v>1985.7633591839128</v>
      </c>
      <c r="AK132" s="17">
        <f t="shared" si="127"/>
        <v>4830.9211062147915</v>
      </c>
      <c r="AL132" s="17">
        <f t="shared" si="128"/>
        <v>81318.910448043782</v>
      </c>
      <c r="AM132" s="110">
        <f t="shared" si="129"/>
        <v>0</v>
      </c>
      <c r="AN132" s="17">
        <f>SUMIF('20.01'!$K:$K,$B:$B,'20.01'!$D:$D)*1.2</f>
        <v>0</v>
      </c>
      <c r="AO132" s="17">
        <f>SUMIF('20.01'!$L:$L,$B:$B,'20.01'!$D:$D)*1.2</f>
        <v>0</v>
      </c>
      <c r="AP132" s="17">
        <f>SUMIF('20.01'!$M:$M,$B:$B,'20.01'!$D:$D)*1.2</f>
        <v>0</v>
      </c>
      <c r="AQ132" s="110">
        <f t="shared" si="130"/>
        <v>1797.6405411655239</v>
      </c>
      <c r="AR132" s="17">
        <f t="shared" si="131"/>
        <v>1797.6405411655239</v>
      </c>
      <c r="AS132" s="17">
        <f>(SUMIF('20.01'!$N:$N,$B:$B,'20.01'!$D:$D)+SUMIF('20.01'!$O:$O,$B:$B,'20.01'!$D:$D))*1.2</f>
        <v>0</v>
      </c>
      <c r="AT132" s="110">
        <f>SUMIF('20.01'!$P:$P,$B:$B,'20.01'!$D:$D)*1.2</f>
        <v>0</v>
      </c>
      <c r="AU132" s="110">
        <f t="shared" si="132"/>
        <v>0</v>
      </c>
      <c r="AV132" s="17">
        <f>SUMIF('20.01'!$Q:$Q,$B:$B,'20.01'!$D:$D)*1.2</f>
        <v>0</v>
      </c>
      <c r="AW132" s="17">
        <f>SUMIF('20.01'!$R:$R,$B:$B,'20.01'!$D:$D)*1.2</f>
        <v>0</v>
      </c>
      <c r="AX132" s="110">
        <f t="shared" si="133"/>
        <v>12804</v>
      </c>
      <c r="AY132" s="17">
        <f>SUMIF('20.01'!$S:$S,$B:$B,'20.01'!$D:$D)*1.2</f>
        <v>12804</v>
      </c>
      <c r="AZ132" s="17">
        <f>SUMIF('20.01'!$T:$T,$B:$B,'20.01'!$D:$D)*1.2</f>
        <v>0</v>
      </c>
      <c r="BA132" s="110">
        <f t="shared" si="134"/>
        <v>0</v>
      </c>
      <c r="BB132" s="17">
        <f>SUMIF('20.01'!$U:$U,$B:$B,'20.01'!$D:$D)*1.2</f>
        <v>0</v>
      </c>
      <c r="BC132" s="17">
        <f>SUMIF('20.01'!$V:$V,$B:$B,'20.01'!$D:$D)*1.2</f>
        <v>0</v>
      </c>
      <c r="BD132" s="17">
        <f>SUMIF('20.01'!$W:$W,$B:$B,'20.01'!$D:$D)*1.2</f>
        <v>0</v>
      </c>
      <c r="BE132" s="110">
        <f>SUMIF('20.01'!$X:$X,$B:$B,'20.01'!$D:$D)*1.2</f>
        <v>0</v>
      </c>
      <c r="BF132" s="110">
        <f t="shared" si="135"/>
        <v>0</v>
      </c>
      <c r="BG132" s="17">
        <f>SUMIF('20.01'!$Y:$Y,$B:$B,'20.01'!$D:$D)*1.2</f>
        <v>0</v>
      </c>
      <c r="BH132" s="17">
        <f>SUMIF('20.01'!$Z:$Z,$B:$B,'20.01'!$D:$D)*1.2</f>
        <v>0</v>
      </c>
      <c r="BI132" s="17">
        <f>SUMIF('20.01'!$AA:$AA,$B:$B,'20.01'!$D:$D)*1.2</f>
        <v>0</v>
      </c>
      <c r="BJ132" s="17">
        <f>SUMIF('20.01'!$AB:$AB,$B:$B,'20.01'!$D:$D)*1.2</f>
        <v>0</v>
      </c>
      <c r="BK132" s="17">
        <f>SUMIF('20.01'!$AC:$AC,$B:$B,'20.01'!$D:$D)*1.2</f>
        <v>0</v>
      </c>
      <c r="BL132" s="17">
        <f>SUMIF('20.01'!$AD:$AD,$B:$B,'20.01'!$D:$D)*1.2</f>
        <v>0</v>
      </c>
      <c r="BM132" s="110">
        <f t="shared" si="136"/>
        <v>0</v>
      </c>
      <c r="BN132" s="17">
        <f>SUMIF('20.01'!$AE:$AE,$B:$B,'20.01'!$D:$D)*1.2</f>
        <v>0</v>
      </c>
      <c r="BO132" s="17">
        <f>SUMIF('20.01'!$AF:$AF,$B:$B,'20.01'!$D:$D)*1.2</f>
        <v>0</v>
      </c>
      <c r="BP132" s="110">
        <f>SUMIF('20.01'!$AG:$AG,$B:$B,'20.01'!$D:$D)*1.2</f>
        <v>0</v>
      </c>
      <c r="BQ132" s="110">
        <f>SUMIF('20.01'!$AH:$AH,$B:$B,'20.01'!$D:$D)*1.2</f>
        <v>0</v>
      </c>
      <c r="BR132" s="110">
        <f>SUMIF('20.01'!$AI:$AI,$B:$B,'20.01'!$D:$D)*1.2</f>
        <v>0</v>
      </c>
      <c r="BS132" s="110">
        <f t="shared" si="137"/>
        <v>0</v>
      </c>
      <c r="BT132" s="17">
        <f>SUMIF('20.01'!$AJ:$AJ,$B:$B,'20.01'!$D:$D)*1.2</f>
        <v>0</v>
      </c>
      <c r="BU132" s="17">
        <f>SUMIF('20.01'!$AK:$AK,$B:$B,'20.01'!$D:$D)*1.2</f>
        <v>0</v>
      </c>
      <c r="BV132" s="110">
        <f>SUMIF('20.01'!$AL:$AL,$B:$B,'20.01'!$D:$D)*1.2</f>
        <v>0</v>
      </c>
      <c r="BW132" s="110">
        <f>SUMIF('20.01'!$AM:$AM,$B:$B,'20.01'!$D:$D)*1.2</f>
        <v>0</v>
      </c>
      <c r="BX132" s="110">
        <f>SUMIF('20.01'!$AN:$AN,$B:$B,'20.01'!$D:$D)*1.2</f>
        <v>0</v>
      </c>
      <c r="BY132" s="110">
        <f t="shared" si="87"/>
        <v>647654.06743505783</v>
      </c>
      <c r="BZ132" s="17">
        <f t="shared" si="155"/>
        <v>555719.95178756409</v>
      </c>
      <c r="CA132" s="17">
        <f t="shared" si="88"/>
        <v>39690.255631058433</v>
      </c>
      <c r="CB132" s="17">
        <f t="shared" si="89"/>
        <v>2638.4049160280756</v>
      </c>
      <c r="CC132" s="17">
        <f>SUMIF('20.01'!$AO:$AO,$B:$B,'20.01'!$D:$D)*1.2</f>
        <v>0</v>
      </c>
      <c r="CD132" s="17">
        <f t="shared" si="90"/>
        <v>41420.277483181861</v>
      </c>
      <c r="CE132" s="17">
        <f>SUMIF('20.01'!$AQ:$AQ,$B:$B,'20.01'!$D:$D)*1.2</f>
        <v>0</v>
      </c>
      <c r="CF132" s="17">
        <f t="shared" si="91"/>
        <v>3768.5904805916921</v>
      </c>
      <c r="CG132" s="17">
        <f>SUMIF('20.01'!$AR:$AR,$B:$B,'20.01'!$D:$D)*1.2</f>
        <v>0</v>
      </c>
      <c r="CH132" s="17">
        <f t="shared" si="92"/>
        <v>2219.4263395795601</v>
      </c>
      <c r="CI132" s="17">
        <f>SUMIF('20.01'!$AT:$AT,$B:$B,'20.01'!$D:$D)*1.2</f>
        <v>0</v>
      </c>
      <c r="CJ132" s="17">
        <f>SUMIF('20.01'!$AU:$AU,$B:$B,'20.01'!$D:$D)*1.2</f>
        <v>0</v>
      </c>
      <c r="CK132" s="17">
        <f>SUMIF('20.01'!$AV:$AV,$B:$B,'20.01'!$D:$D)*1.2</f>
        <v>0</v>
      </c>
      <c r="CL132" s="17">
        <f t="shared" si="93"/>
        <v>2197.1607970542277</v>
      </c>
      <c r="CM132" s="17">
        <f>SUMIF('20.01'!$AW:$AW,$B:$B,'20.01'!$D:$D)*1.2</f>
        <v>0</v>
      </c>
      <c r="CN132" s="17">
        <f>SUMIF('20.01'!$AX:$AX,$B:$B,'20.01'!$D:$D)*1.2</f>
        <v>0</v>
      </c>
      <c r="CO132" s="110">
        <f t="shared" si="138"/>
        <v>737062.68273624498</v>
      </c>
      <c r="CP132" s="17">
        <f t="shared" si="139"/>
        <v>581425.54211096338</v>
      </c>
      <c r="CQ132" s="17">
        <f t="shared" si="94"/>
        <v>179377.77994789166</v>
      </c>
      <c r="CR132" s="17">
        <f t="shared" si="95"/>
        <v>402047.76216307172</v>
      </c>
      <c r="CS132" s="17">
        <f t="shared" si="140"/>
        <v>155637.14062528155</v>
      </c>
      <c r="CT132" s="17">
        <f t="shared" si="96"/>
        <v>5669.9975618964618</v>
      </c>
      <c r="CU132" s="17">
        <f t="shared" si="97"/>
        <v>5484.2115725777448</v>
      </c>
      <c r="CV132" s="17">
        <f t="shared" si="98"/>
        <v>5668.0525234637798</v>
      </c>
      <c r="CW132" s="17">
        <f t="shared" si="99"/>
        <v>59.435771487671268</v>
      </c>
      <c r="CX132" s="17">
        <f t="shared" si="100"/>
        <v>83691.541723689108</v>
      </c>
      <c r="CY132" s="17">
        <f t="shared" si="101"/>
        <v>55063.901472166785</v>
      </c>
      <c r="CZ132" s="110">
        <f t="shared" si="141"/>
        <v>182958.25353814513</v>
      </c>
      <c r="DA132" s="17">
        <f t="shared" si="142"/>
        <v>6911.1362194966605</v>
      </c>
      <c r="DB132" s="17">
        <f t="shared" si="102"/>
        <v>6558.4147537488243</v>
      </c>
      <c r="DC132" s="17">
        <f t="shared" si="103"/>
        <v>352.72146574783591</v>
      </c>
      <c r="DD132" s="17">
        <f t="shared" si="104"/>
        <v>12178.214784741927</v>
      </c>
      <c r="DE132" s="17">
        <f t="shared" si="105"/>
        <v>4201.8049933759748</v>
      </c>
      <c r="DF132" s="17">
        <f t="shared" si="106"/>
        <v>5099.4757349040465</v>
      </c>
      <c r="DG132" s="17">
        <f t="shared" si="143"/>
        <v>154567.62180562652</v>
      </c>
      <c r="DH132" s="110">
        <f t="shared" si="144"/>
        <v>114180.24239929298</v>
      </c>
      <c r="DI132" s="17">
        <f t="shared" si="107"/>
        <v>102424.33281981795</v>
      </c>
      <c r="DJ132" s="17">
        <f t="shared" si="108"/>
        <v>11327.529359324288</v>
      </c>
      <c r="DK132" s="17">
        <f t="shared" si="109"/>
        <v>428.38022015074665</v>
      </c>
      <c r="DL132" s="110">
        <f t="shared" si="145"/>
        <v>864017.89018785208</v>
      </c>
      <c r="DM132" s="17">
        <f t="shared" si="110"/>
        <v>359767.02686235995</v>
      </c>
      <c r="DN132" s="17">
        <f t="shared" si="111"/>
        <v>319038.68419869657</v>
      </c>
      <c r="DO132" s="17">
        <f t="shared" si="112"/>
        <v>185212.17912679556</v>
      </c>
      <c r="DP132" s="110">
        <f t="shared" si="146"/>
        <v>285185.96153148491</v>
      </c>
      <c r="DQ132" s="17">
        <f>SUMIF('20.01'!$BB:$BB,$B:$B,'20.01'!$D:$D)*1.2</f>
        <v>7788.42</v>
      </c>
      <c r="DR132" s="17">
        <f t="shared" si="113"/>
        <v>275356.30334732193</v>
      </c>
      <c r="DS132" s="17">
        <f t="shared" si="114"/>
        <v>2041.2381841629915</v>
      </c>
      <c r="DT132" s="110">
        <f t="shared" si="147"/>
        <v>11947.98</v>
      </c>
      <c r="DU132" s="17">
        <f>SUMIF('20.01'!$BD:$BD,$B:$B,'20.01'!$D:$D)*1.2</f>
        <v>11947.98</v>
      </c>
      <c r="DV132" s="17">
        <f t="shared" si="115"/>
        <v>0</v>
      </c>
      <c r="DW132" s="17">
        <f t="shared" si="116"/>
        <v>0</v>
      </c>
      <c r="DX132" s="110">
        <f t="shared" si="117"/>
        <v>3027418.3625301607</v>
      </c>
      <c r="DY132" s="110">
        <f>EC132*EG132</f>
        <v>249081.40799999997</v>
      </c>
      <c r="DZ132" s="110">
        <f t="shared" si="148"/>
        <v>3276499.7705301605</v>
      </c>
      <c r="EA132" s="257"/>
      <c r="EB132" s="110">
        <f t="shared" si="118"/>
        <v>1773.1084337349396</v>
      </c>
      <c r="EC132" s="110">
        <f>SUMIF(еирц!$B:$B,$B:$B,еирц!$K:$K)</f>
        <v>3113517.5999999996</v>
      </c>
      <c r="ED132" s="110">
        <f>SUMIF(еирц!$B:$B,$B:$B,еирц!$P:$P)</f>
        <v>3031729.4800000004</v>
      </c>
      <c r="EE132" s="110">
        <f>SUMIF(еирц!$B:$B,$B:$B,еирц!$S:$S)</f>
        <v>866379.64999999991</v>
      </c>
      <c r="EF132" s="177">
        <f t="shared" si="149"/>
        <v>87872.345903574023</v>
      </c>
      <c r="EG132" s="182">
        <v>0.08</v>
      </c>
      <c r="EH132" s="177">
        <f t="shared" si="150"/>
        <v>-161209.0620964258</v>
      </c>
    </row>
    <row r="133" spans="1:138" ht="12" customHeight="1" x14ac:dyDescent="0.25">
      <c r="A133" s="5">
        <f t="shared" si="151"/>
        <v>129</v>
      </c>
      <c r="B133" s="6" t="s">
        <v>213</v>
      </c>
      <c r="C133" s="7">
        <f t="shared" si="84"/>
        <v>4686.3</v>
      </c>
      <c r="D133" s="8">
        <v>3481.8</v>
      </c>
      <c r="E133" s="8">
        <v>1204.5</v>
      </c>
      <c r="F133" s="8">
        <v>477.7</v>
      </c>
      <c r="G133" s="87">
        <f t="shared" ref="G133:G196" si="156">C133</f>
        <v>4686.3</v>
      </c>
      <c r="H133" s="87">
        <f t="shared" ref="H133:H196" si="157">IF(AB133&gt;0,G133,0)</f>
        <v>4686.3</v>
      </c>
      <c r="I133" s="91">
        <v>2</v>
      </c>
      <c r="J133" s="112">
        <v>7.3598733766832248E-3</v>
      </c>
      <c r="K133" s="17">
        <v>1</v>
      </c>
      <c r="L133" s="112">
        <f t="shared" si="119"/>
        <v>2.4096385542168672E-3</v>
      </c>
      <c r="M133" s="116">
        <v>3.4064185252374348</v>
      </c>
      <c r="N133" s="120">
        <f t="shared" si="120"/>
        <v>4686.3</v>
      </c>
      <c r="O133" s="116">
        <v>3.0862312069149507</v>
      </c>
      <c r="P133" s="120">
        <f t="shared" si="121"/>
        <v>4686.3</v>
      </c>
      <c r="Q133" s="116">
        <v>1.6009272350869705</v>
      </c>
      <c r="R133" s="120">
        <f t="shared" si="122"/>
        <v>4686.3</v>
      </c>
      <c r="S133" s="5" t="s">
        <v>73</v>
      </c>
      <c r="T133" s="87">
        <v>41.34</v>
      </c>
      <c r="U133" s="88">
        <v>4.68</v>
      </c>
      <c r="V133" s="88">
        <v>7.92</v>
      </c>
      <c r="W133" s="88">
        <v>12.32</v>
      </c>
      <c r="X133" s="88">
        <v>6.34</v>
      </c>
      <c r="Y133" s="88">
        <v>2.89</v>
      </c>
      <c r="Z133" s="88">
        <v>1.66</v>
      </c>
      <c r="AA133" s="88">
        <v>5.29</v>
      </c>
      <c r="AB133" s="88">
        <v>0.24</v>
      </c>
      <c r="AC133" s="257"/>
      <c r="AD133" s="110">
        <f t="shared" si="123"/>
        <v>176566.28334120431</v>
      </c>
      <c r="AE133" s="110">
        <f t="shared" si="124"/>
        <v>175249.84515764299</v>
      </c>
      <c r="AF133" s="16">
        <f>SUMIF('20.01'!$I:$I,$B:$B,'20.01'!$D:$D)*1.2</f>
        <v>77144.004000000001</v>
      </c>
      <c r="AG133" s="17">
        <f t="shared" si="154"/>
        <v>29984.415534767439</v>
      </c>
      <c r="AH133" s="17">
        <f t="shared" si="125"/>
        <v>3578.4539786542209</v>
      </c>
      <c r="AI133" s="16">
        <f>SUMIF('20.01'!$J:$J,$B:$B,'20.01'!$D:$D)*1.2</f>
        <v>0</v>
      </c>
      <c r="AJ133" s="17">
        <f t="shared" si="126"/>
        <v>1454.2032456899303</v>
      </c>
      <c r="AK133" s="17">
        <f t="shared" si="127"/>
        <v>3537.7534386658504</v>
      </c>
      <c r="AL133" s="17">
        <f t="shared" si="128"/>
        <v>59551.014959865548</v>
      </c>
      <c r="AM133" s="110">
        <f t="shared" si="129"/>
        <v>0</v>
      </c>
      <c r="AN133" s="17">
        <f>SUMIF('20.01'!$K:$K,$B:$B,'20.01'!$D:$D)*1.2</f>
        <v>0</v>
      </c>
      <c r="AO133" s="17">
        <f>SUMIF('20.01'!$L:$L,$B:$B,'20.01'!$D:$D)*1.2</f>
        <v>0</v>
      </c>
      <c r="AP133" s="17">
        <f>SUMIF('20.01'!$M:$M,$B:$B,'20.01'!$D:$D)*1.2</f>
        <v>0</v>
      </c>
      <c r="AQ133" s="110">
        <f t="shared" si="130"/>
        <v>1316.4381835613262</v>
      </c>
      <c r="AR133" s="17">
        <f t="shared" si="131"/>
        <v>1316.4381835613262</v>
      </c>
      <c r="AS133" s="17">
        <f>(SUMIF('20.01'!$N:$N,$B:$B,'20.01'!$D:$D)+SUMIF('20.01'!$O:$O,$B:$B,'20.01'!$D:$D))*1.2</f>
        <v>0</v>
      </c>
      <c r="AT133" s="110">
        <f>SUMIF('20.01'!$P:$P,$B:$B,'20.01'!$D:$D)*1.2</f>
        <v>0</v>
      </c>
      <c r="AU133" s="110">
        <f t="shared" si="132"/>
        <v>0</v>
      </c>
      <c r="AV133" s="17">
        <f>SUMIF('20.01'!$Q:$Q,$B:$B,'20.01'!$D:$D)*1.2</f>
        <v>0</v>
      </c>
      <c r="AW133" s="17">
        <f>SUMIF('20.01'!$R:$R,$B:$B,'20.01'!$D:$D)*1.2</f>
        <v>0</v>
      </c>
      <c r="AX133" s="110">
        <f t="shared" si="133"/>
        <v>0</v>
      </c>
      <c r="AY133" s="17">
        <f>SUMIF('20.01'!$S:$S,$B:$B,'20.01'!$D:$D)*1.2</f>
        <v>0</v>
      </c>
      <c r="AZ133" s="17">
        <f>SUMIF('20.01'!$T:$T,$B:$B,'20.01'!$D:$D)*1.2</f>
        <v>0</v>
      </c>
      <c r="BA133" s="110">
        <f t="shared" si="134"/>
        <v>0</v>
      </c>
      <c r="BB133" s="17">
        <f>SUMIF('20.01'!$U:$U,$B:$B,'20.01'!$D:$D)*1.2</f>
        <v>0</v>
      </c>
      <c r="BC133" s="17">
        <f>SUMIF('20.01'!$V:$V,$B:$B,'20.01'!$D:$D)*1.2</f>
        <v>0</v>
      </c>
      <c r="BD133" s="17">
        <f>SUMIF('20.01'!$W:$W,$B:$B,'20.01'!$D:$D)*1.2</f>
        <v>0</v>
      </c>
      <c r="BE133" s="110">
        <f>SUMIF('20.01'!$X:$X,$B:$B,'20.01'!$D:$D)*1.2</f>
        <v>0</v>
      </c>
      <c r="BF133" s="110">
        <f t="shared" si="135"/>
        <v>0</v>
      </c>
      <c r="BG133" s="17">
        <f>SUMIF('20.01'!$Y:$Y,$B:$B,'20.01'!$D:$D)*1.2</f>
        <v>0</v>
      </c>
      <c r="BH133" s="17">
        <f>SUMIF('20.01'!$Z:$Z,$B:$B,'20.01'!$D:$D)*1.2</f>
        <v>0</v>
      </c>
      <c r="BI133" s="17">
        <f>SUMIF('20.01'!$AA:$AA,$B:$B,'20.01'!$D:$D)*1.2</f>
        <v>0</v>
      </c>
      <c r="BJ133" s="17">
        <f>SUMIF('20.01'!$AB:$AB,$B:$B,'20.01'!$D:$D)*1.2</f>
        <v>0</v>
      </c>
      <c r="BK133" s="17">
        <f>SUMIF('20.01'!$AC:$AC,$B:$B,'20.01'!$D:$D)*1.2</f>
        <v>0</v>
      </c>
      <c r="BL133" s="17">
        <f>SUMIF('20.01'!$AD:$AD,$B:$B,'20.01'!$D:$D)*1.2</f>
        <v>0</v>
      </c>
      <c r="BM133" s="110">
        <f t="shared" si="136"/>
        <v>0</v>
      </c>
      <c r="BN133" s="17">
        <f>SUMIF('20.01'!$AE:$AE,$B:$B,'20.01'!$D:$D)*1.2</f>
        <v>0</v>
      </c>
      <c r="BO133" s="17">
        <f>SUMIF('20.01'!$AF:$AF,$B:$B,'20.01'!$D:$D)*1.2</f>
        <v>0</v>
      </c>
      <c r="BP133" s="110">
        <f>SUMIF('20.01'!$AG:$AG,$B:$B,'20.01'!$D:$D)*1.2</f>
        <v>0</v>
      </c>
      <c r="BQ133" s="110">
        <f>SUMIF('20.01'!$AH:$AH,$B:$B,'20.01'!$D:$D)*1.2</f>
        <v>0</v>
      </c>
      <c r="BR133" s="110">
        <f>SUMIF('20.01'!$AI:$AI,$B:$B,'20.01'!$D:$D)*1.2</f>
        <v>0</v>
      </c>
      <c r="BS133" s="110">
        <f t="shared" si="137"/>
        <v>0</v>
      </c>
      <c r="BT133" s="17">
        <f>SUMIF('20.01'!$AJ:$AJ,$B:$B,'20.01'!$D:$D)*1.2</f>
        <v>0</v>
      </c>
      <c r="BU133" s="17">
        <f>SUMIF('20.01'!$AK:$AK,$B:$B,'20.01'!$D:$D)*1.2</f>
        <v>0</v>
      </c>
      <c r="BV133" s="110">
        <f>SUMIF('20.01'!$AL:$AL,$B:$B,'20.01'!$D:$D)*1.2</f>
        <v>0</v>
      </c>
      <c r="BW133" s="110">
        <f>SUMIF('20.01'!$AM:$AM,$B:$B,'20.01'!$D:$D)*1.2</f>
        <v>0</v>
      </c>
      <c r="BX133" s="110">
        <f>SUMIF('20.01'!$AN:$AN,$B:$B,'20.01'!$D:$D)*1.2</f>
        <v>0</v>
      </c>
      <c r="BY133" s="110">
        <f t="shared" ref="BY133:BY196" si="158">SUM(BZ133:CN133)</f>
        <v>474286.44636458857</v>
      </c>
      <c r="BZ133" s="17">
        <f t="shared" si="155"/>
        <v>406961.76301502687</v>
      </c>
      <c r="CA133" s="17">
        <f t="shared" ref="CA133:CA196" si="159">$CA$244/$G$244*G133</f>
        <v>29065.748591850537</v>
      </c>
      <c r="CB133" s="17">
        <f t="shared" ref="CB133:CB196" si="160">$CB$244/$G$244*G133</f>
        <v>1932.1421027272311</v>
      </c>
      <c r="CC133" s="17">
        <f>SUMIF('20.01'!$AO:$AO,$B:$B,'20.01'!$D:$D)*1.2</f>
        <v>0</v>
      </c>
      <c r="CD133" s="17">
        <f t="shared" ref="CD133:CD196" si="161">$CD$244/$G$244*G133</f>
        <v>30332.66863085574</v>
      </c>
      <c r="CE133" s="17">
        <f>SUMIF('20.01'!$AQ:$AQ,$B:$B,'20.01'!$D:$D)*1.2</f>
        <v>0</v>
      </c>
      <c r="CF133" s="17">
        <f t="shared" ref="CF133:CF196" si="162">$CF$244/$G$244*G133</f>
        <v>2759.7933475843993</v>
      </c>
      <c r="CG133" s="17">
        <f>SUMIF('20.01'!$AR:$AR,$B:$B,'20.01'!$D:$D)*1.2</f>
        <v>0</v>
      </c>
      <c r="CH133" s="17">
        <f t="shared" ref="CH133:CH196" si="163">$CH$244/$G$244*G133</f>
        <v>1625.3180277798654</v>
      </c>
      <c r="CI133" s="17">
        <f>SUMIF('20.01'!$AT:$AT,$B:$B,'20.01'!$D:$D)*1.2</f>
        <v>0</v>
      </c>
      <c r="CJ133" s="17">
        <f>SUMIF('20.01'!$AU:$AU,$B:$B,'20.01'!$D:$D)*1.2</f>
        <v>0</v>
      </c>
      <c r="CK133" s="17">
        <f>SUMIF('20.01'!$AV:$AV,$B:$B,'20.01'!$D:$D)*1.2</f>
        <v>0</v>
      </c>
      <c r="CL133" s="17">
        <f t="shared" ref="CL133:CL196" si="164">$CL$244/$G$244*G133</f>
        <v>1609.0126487639629</v>
      </c>
      <c r="CM133" s="17">
        <f>SUMIF('20.01'!$AW:$AW,$B:$B,'20.01'!$D:$D)*1.2</f>
        <v>0</v>
      </c>
      <c r="CN133" s="17">
        <f>SUMIF('20.01'!$AX:$AX,$B:$B,'20.01'!$D:$D)*1.2</f>
        <v>0</v>
      </c>
      <c r="CO133" s="110">
        <f t="shared" si="138"/>
        <v>539761.66926177312</v>
      </c>
      <c r="CP133" s="17">
        <f t="shared" si="139"/>
        <v>425786.33881746558</v>
      </c>
      <c r="CQ133" s="17">
        <f t="shared" ref="CQ133:CQ196" si="165">$CQ$244/$G$244*G133</f>
        <v>131360.94419230302</v>
      </c>
      <c r="CR133" s="17">
        <f t="shared" ref="CR133:CR196" si="166">$CR$244/$G$244*G133</f>
        <v>294425.39462516259</v>
      </c>
      <c r="CS133" s="17">
        <f t="shared" si="140"/>
        <v>113975.3304443075</v>
      </c>
      <c r="CT133" s="17">
        <f t="shared" ref="CT133:CT196" si="167">$CT$244/$G$244*G133</f>
        <v>4152.2212701882063</v>
      </c>
      <c r="CU133" s="17">
        <f t="shared" ref="CU133:CU196" si="168">$CU$244/$G$244*G133</f>
        <v>4016.1675015347123</v>
      </c>
      <c r="CV133" s="17">
        <f t="shared" ref="CV133:CV196" si="169">$CV$244/$G$244*G133</f>
        <v>4150.7968903955607</v>
      </c>
      <c r="CW133" s="17">
        <f t="shared" ref="CW133:CW196" si="170">$CW$244/$G$244*G133</f>
        <v>43.525675608687493</v>
      </c>
      <c r="CX133" s="17">
        <f t="shared" ref="CX133:CX196" si="171">$CX$244/$G$244*G133</f>
        <v>61288.527179492179</v>
      </c>
      <c r="CY133" s="17">
        <f t="shared" ref="CY133:CY196" si="172">$CY$244/$G$244*G133</f>
        <v>40324.09192708815</v>
      </c>
      <c r="CZ133" s="110">
        <f t="shared" si="141"/>
        <v>133982.97681868478</v>
      </c>
      <c r="DA133" s="17">
        <f t="shared" si="142"/>
        <v>5061.1250707776162</v>
      </c>
      <c r="DB133" s="17">
        <f t="shared" ref="DB133:DB196" si="173">$DB$244/$G$244*G133</f>
        <v>4802.8220368623315</v>
      </c>
      <c r="DC133" s="17">
        <f t="shared" ref="DC133:DC196" si="174">$DC$244/$G$244*G133</f>
        <v>258.30303391528503</v>
      </c>
      <c r="DD133" s="17">
        <f t="shared" ref="DD133:DD196" si="175">$DD$244/$G$244*G133</f>
        <v>8918.2829287165932</v>
      </c>
      <c r="DE133" s="17">
        <f t="shared" ref="DE133:DE196" si="176">$DE$244/$G$244*G133</f>
        <v>3077.0426047314286</v>
      </c>
      <c r="DF133" s="17">
        <f t="shared" ref="DF133:DF196" si="177">$DF$244/$G$244*G133</f>
        <v>3734.4198797494773</v>
      </c>
      <c r="DG133" s="17">
        <f t="shared" si="143"/>
        <v>113192.10633470966</v>
      </c>
      <c r="DH133" s="110">
        <f t="shared" si="144"/>
        <v>83615.84391352284</v>
      </c>
      <c r="DI133" s="17">
        <f t="shared" ref="DI133:DI196" si="178">$DI$244/$G$244*G133</f>
        <v>75006.82119817994</v>
      </c>
      <c r="DJ133" s="17">
        <f t="shared" ref="DJ133:DJ196" si="179">$DJ$244/$G$244*G133</f>
        <v>8295.3136806527909</v>
      </c>
      <c r="DK133" s="17">
        <f t="shared" ref="DK133:DK196" si="180">$DK$244/$G$244*G133</f>
        <v>313.70903469011364</v>
      </c>
      <c r="DL133" s="110">
        <f t="shared" si="145"/>
        <v>632732.8049610632</v>
      </c>
      <c r="DM133" s="17">
        <f t="shared" ref="DM133:DM196" si="181">IF(M133&gt;0,$DM$246*0.53/$N$244*N133,0)</f>
        <v>263462.60028207424</v>
      </c>
      <c r="DN133" s="17">
        <f t="shared" ref="DN133:DN196" si="182">IF(O133&gt;0,$DM$246*0.47/$P$244*P133,0)</f>
        <v>233636.64553316016</v>
      </c>
      <c r="DO133" s="17">
        <f t="shared" ref="DO133:DO196" si="183">IF(Q133&gt;0,$DO$246/$R$244*R133,0)</f>
        <v>135633.55914582877</v>
      </c>
      <c r="DP133" s="110">
        <f t="shared" si="146"/>
        <v>209277.72413848765</v>
      </c>
      <c r="DQ133" s="17">
        <f>SUMIF('20.01'!$BB:$BB,$B:$B,'20.01'!$D:$D)*1.2</f>
        <v>6012.5999999999995</v>
      </c>
      <c r="DR133" s="17">
        <f t="shared" ref="DR133:DR196" si="184">$DR$244*J133</f>
        <v>201769.39158581462</v>
      </c>
      <c r="DS133" s="17">
        <f t="shared" ref="DS133:DS196" si="185">$DS$244*J133</f>
        <v>1495.7325526730328</v>
      </c>
      <c r="DT133" s="110">
        <f t="shared" si="147"/>
        <v>6637.7640000000001</v>
      </c>
      <c r="DU133" s="17">
        <f>SUMIF('20.01'!$BD:$BD,$B:$B,'20.01'!$D:$D)*1.2</f>
        <v>6637.7640000000001</v>
      </c>
      <c r="DV133" s="17">
        <f t="shared" ref="DV133:DV196" si="186">$DV$244/$H$244*H133</f>
        <v>0</v>
      </c>
      <c r="DW133" s="17">
        <f t="shared" ref="DW133:DW196" si="187">$DW$244/$H$244*H133</f>
        <v>0</v>
      </c>
      <c r="DX133" s="110">
        <f t="shared" ref="DX133:DX196" si="188">SUM(AD133,BY133,CO133,CZ133,DH133,DL133,DP133,DT133)</f>
        <v>2256861.5127993245</v>
      </c>
      <c r="DY133" s="110"/>
      <c r="DZ133" s="110">
        <f t="shared" si="148"/>
        <v>2256861.5127993245</v>
      </c>
      <c r="EA133" s="257"/>
      <c r="EB133" s="110">
        <f t="shared" ref="EB133:EB196" si="189">$EB$245*L133</f>
        <v>886.55421686746979</v>
      </c>
      <c r="EC133" s="110">
        <f>SUMIF(еирц!$B:$B,$B:$B,еирц!$K:$K)</f>
        <v>1694036.16</v>
      </c>
      <c r="ED133" s="110">
        <f>SUMIF(еирц!$B:$B,$B:$B,еирц!$P:$P)</f>
        <v>1683741.6199999999</v>
      </c>
      <c r="EE133" s="110">
        <f>SUMIF(еирц!$B:$B,$B:$B,еирц!$S:$S)</f>
        <v>312169.63</v>
      </c>
      <c r="EF133" s="177">
        <f t="shared" si="149"/>
        <v>-561938.79858245701</v>
      </c>
      <c r="EG133" s="181">
        <f t="shared" si="152"/>
        <v>0</v>
      </c>
      <c r="EH133" s="177">
        <f t="shared" si="150"/>
        <v>-561938.79858245701</v>
      </c>
    </row>
    <row r="134" spans="1:138" ht="12" customHeight="1" x14ac:dyDescent="0.25">
      <c r="A134" s="5">
        <f t="shared" si="151"/>
        <v>130</v>
      </c>
      <c r="B134" s="6" t="s">
        <v>214</v>
      </c>
      <c r="C134" s="7">
        <f t="shared" si="84"/>
        <v>6395.7</v>
      </c>
      <c r="D134" s="8">
        <v>6395.7</v>
      </c>
      <c r="E134" s="8">
        <v>0</v>
      </c>
      <c r="F134" s="8">
        <v>654.4</v>
      </c>
      <c r="G134" s="87">
        <f t="shared" si="156"/>
        <v>6395.7</v>
      </c>
      <c r="H134" s="87">
        <f t="shared" si="157"/>
        <v>6395.7</v>
      </c>
      <c r="I134" s="91">
        <v>0</v>
      </c>
      <c r="J134" s="112">
        <v>0</v>
      </c>
      <c r="K134" s="17">
        <v>8</v>
      </c>
      <c r="L134" s="112">
        <f t="shared" ref="L134:L197" si="190">K134*100/$K$244/100</f>
        <v>1.9277108433734938E-2</v>
      </c>
      <c r="M134" s="116">
        <v>3.4064160606334029</v>
      </c>
      <c r="N134" s="120">
        <f t="shared" ref="N134:N197" si="191">IF(M134&gt;0,G134,0)</f>
        <v>6395.7</v>
      </c>
      <c r="O134" s="116">
        <v>3.0862310445426933</v>
      </c>
      <c r="P134" s="120">
        <f t="shared" ref="P134:P197" si="192">IF(O134&gt;0,G134,0)</f>
        <v>6395.7</v>
      </c>
      <c r="Q134" s="116">
        <v>0</v>
      </c>
      <c r="R134" s="120">
        <f t="shared" ref="R134:R197" si="193">IF(Q134&gt;0,G134,0)</f>
        <v>0</v>
      </c>
      <c r="S134" s="5" t="s">
        <v>73</v>
      </c>
      <c r="T134" s="87">
        <v>28.44</v>
      </c>
      <c r="U134" s="88">
        <v>4.68</v>
      </c>
      <c r="V134" s="88">
        <v>6.05</v>
      </c>
      <c r="W134" s="88">
        <v>8.24</v>
      </c>
      <c r="X134" s="88">
        <v>6.34</v>
      </c>
      <c r="Y134" s="88">
        <v>2.89</v>
      </c>
      <c r="Z134" s="88">
        <v>0</v>
      </c>
      <c r="AA134" s="88">
        <v>0</v>
      </c>
      <c r="AB134" s="88">
        <v>0.24</v>
      </c>
      <c r="AC134" s="257"/>
      <c r="AD134" s="110">
        <f t="shared" ref="AD134:AD197" si="194">SUM(AE134,AM134,AQ134,AT134,AU134,AX134,BA134,BE134,BF134,BM134,BP134,BQ134,BR134,BS134,BV134,BW134,BX134)</f>
        <v>443631.08883932751</v>
      </c>
      <c r="AE134" s="110">
        <f t="shared" ref="AE134:AE197" si="195">SUM(AF134:AL134)</f>
        <v>329052.71158157551</v>
      </c>
      <c r="AF134" s="16">
        <f>SUMIF('20.01'!$I:$I,$B:$B,'20.01'!$D:$D)*1.2</f>
        <v>195161.25599999999</v>
      </c>
      <c r="AG134" s="17">
        <f t="shared" si="154"/>
        <v>40921.692259503681</v>
      </c>
      <c r="AH134" s="17">
        <f t="shared" ref="AH134:AH197" si="196">$AH$244/$G$244*G134</f>
        <v>4883.7501037660413</v>
      </c>
      <c r="AI134" s="16">
        <f>SUMIF('20.01'!$J:$J,$B:$B,'20.01'!$D:$D)*1.2</f>
        <v>0</v>
      </c>
      <c r="AJ134" s="17">
        <f t="shared" ref="AJ134:AJ197" si="197">$AJ$244/$G$244*G134</f>
        <v>1984.6462451100199</v>
      </c>
      <c r="AK134" s="17">
        <f t="shared" ref="AK134:AK197" si="198">$AK$244/$G$244*G134</f>
        <v>4828.2034158451606</v>
      </c>
      <c r="AL134" s="17">
        <f t="shared" ref="AL134:AL197" si="199">$AL$244/$G$244*G134</f>
        <v>81273.163557350592</v>
      </c>
      <c r="AM134" s="110">
        <f t="shared" ref="AM134:AM197" si="200">SUM(AN134:AP134)</f>
        <v>0</v>
      </c>
      <c r="AN134" s="17">
        <f>SUMIF('20.01'!$K:$K,$B:$B,'20.01'!$D:$D)*1.2</f>
        <v>0</v>
      </c>
      <c r="AO134" s="17">
        <f>SUMIF('20.01'!$L:$L,$B:$B,'20.01'!$D:$D)*1.2</f>
        <v>0</v>
      </c>
      <c r="AP134" s="17">
        <f>SUMIF('20.01'!$M:$M,$B:$B,'20.01'!$D:$D)*1.2</f>
        <v>0</v>
      </c>
      <c r="AQ134" s="110">
        <f t="shared" ref="AQ134:AQ197" si="201">SUM(AR134:AS134)</f>
        <v>1796.6292577519948</v>
      </c>
      <c r="AR134" s="17">
        <f t="shared" ref="AR134:AR197" si="202">$AR$244/$G$244*G134</f>
        <v>1796.6292577519948</v>
      </c>
      <c r="AS134" s="17">
        <f>(SUMIF('20.01'!$N:$N,$B:$B,'20.01'!$D:$D)+SUMIF('20.01'!$O:$O,$B:$B,'20.01'!$D:$D))*1.2</f>
        <v>0</v>
      </c>
      <c r="AT134" s="110">
        <f>SUMIF('20.01'!$P:$P,$B:$B,'20.01'!$D:$D)*1.2</f>
        <v>0</v>
      </c>
      <c r="AU134" s="110">
        <f t="shared" ref="AU134:AU197" si="203">SUM(AV134:AW134)</f>
        <v>0</v>
      </c>
      <c r="AV134" s="17">
        <f>SUMIF('20.01'!$Q:$Q,$B:$B,'20.01'!$D:$D)*1.2</f>
        <v>0</v>
      </c>
      <c r="AW134" s="17">
        <f>SUMIF('20.01'!$R:$R,$B:$B,'20.01'!$D:$D)*1.2</f>
        <v>0</v>
      </c>
      <c r="AX134" s="110">
        <f t="shared" ref="AX134:AX197" si="204">SUM(AY134:AZ134)</f>
        <v>105028.84799999998</v>
      </c>
      <c r="AY134" s="17">
        <f>SUMIF('20.01'!$S:$S,$B:$B,'20.01'!$D:$D)*1.2</f>
        <v>105028.84799999998</v>
      </c>
      <c r="AZ134" s="17">
        <f>SUMIF('20.01'!$T:$T,$B:$B,'20.01'!$D:$D)*1.2</f>
        <v>0</v>
      </c>
      <c r="BA134" s="110">
        <f t="shared" ref="BA134:BA197" si="205">SUM(BB134:BD134)</f>
        <v>0</v>
      </c>
      <c r="BB134" s="17">
        <f>SUMIF('20.01'!$U:$U,$B:$B,'20.01'!$D:$D)*1.2</f>
        <v>0</v>
      </c>
      <c r="BC134" s="17">
        <f>SUMIF('20.01'!$V:$V,$B:$B,'20.01'!$D:$D)*1.2</f>
        <v>0</v>
      </c>
      <c r="BD134" s="17">
        <f>SUMIF('20.01'!$W:$W,$B:$B,'20.01'!$D:$D)*1.2</f>
        <v>0</v>
      </c>
      <c r="BE134" s="110">
        <f>SUMIF('20.01'!$X:$X,$B:$B,'20.01'!$D:$D)*1.2</f>
        <v>0</v>
      </c>
      <c r="BF134" s="110">
        <f t="shared" ref="BF134:BF197" si="206">SUM(BG134:BL134)</f>
        <v>0</v>
      </c>
      <c r="BG134" s="17">
        <f>SUMIF('20.01'!$Y:$Y,$B:$B,'20.01'!$D:$D)*1.2</f>
        <v>0</v>
      </c>
      <c r="BH134" s="17">
        <f>SUMIF('20.01'!$Z:$Z,$B:$B,'20.01'!$D:$D)*1.2</f>
        <v>0</v>
      </c>
      <c r="BI134" s="17">
        <f>SUMIF('20.01'!$AA:$AA,$B:$B,'20.01'!$D:$D)*1.2</f>
        <v>0</v>
      </c>
      <c r="BJ134" s="17">
        <f>SUMIF('20.01'!$AB:$AB,$B:$B,'20.01'!$D:$D)*1.2</f>
        <v>0</v>
      </c>
      <c r="BK134" s="17">
        <f>SUMIF('20.01'!$AC:$AC,$B:$B,'20.01'!$D:$D)*1.2</f>
        <v>0</v>
      </c>
      <c r="BL134" s="17">
        <f>SUMIF('20.01'!$AD:$AD,$B:$B,'20.01'!$D:$D)*1.2</f>
        <v>0</v>
      </c>
      <c r="BM134" s="110">
        <f t="shared" ref="BM134:BM197" si="207">SUM(BN134:BO134)</f>
        <v>0</v>
      </c>
      <c r="BN134" s="17">
        <f>SUMIF('20.01'!$AE:$AE,$B:$B,'20.01'!$D:$D)*1.2</f>
        <v>0</v>
      </c>
      <c r="BO134" s="17">
        <f>SUMIF('20.01'!$AF:$AF,$B:$B,'20.01'!$D:$D)*1.2</f>
        <v>0</v>
      </c>
      <c r="BP134" s="110">
        <f>SUMIF('20.01'!$AG:$AG,$B:$B,'20.01'!$D:$D)*1.2</f>
        <v>0</v>
      </c>
      <c r="BQ134" s="110">
        <f>SUMIF('20.01'!$AH:$AH,$B:$B,'20.01'!$D:$D)*1.2</f>
        <v>0</v>
      </c>
      <c r="BR134" s="110">
        <f>SUMIF('20.01'!$AI:$AI,$B:$B,'20.01'!$D:$D)*1.2</f>
        <v>0</v>
      </c>
      <c r="BS134" s="110">
        <f t="shared" ref="BS134:BS197" si="208">SUM(BT134:BU134)</f>
        <v>7752.9</v>
      </c>
      <c r="BT134" s="17">
        <f>SUMIF('20.01'!$AJ:$AJ,$B:$B,'20.01'!$D:$D)*1.2</f>
        <v>7752.9</v>
      </c>
      <c r="BU134" s="17">
        <f>SUMIF('20.01'!$AK:$AK,$B:$B,'20.01'!$D:$D)*1.2</f>
        <v>0</v>
      </c>
      <c r="BV134" s="110">
        <f>SUMIF('20.01'!$AL:$AL,$B:$B,'20.01'!$D:$D)*1.2</f>
        <v>0</v>
      </c>
      <c r="BW134" s="110">
        <f>SUMIF('20.01'!$AM:$AM,$B:$B,'20.01'!$D:$D)*1.2</f>
        <v>0</v>
      </c>
      <c r="BX134" s="110">
        <f>SUMIF('20.01'!$AN:$AN,$B:$B,'20.01'!$D:$D)*1.2</f>
        <v>0</v>
      </c>
      <c r="BY134" s="110">
        <f t="shared" si="158"/>
        <v>795973.22617186233</v>
      </c>
      <c r="BZ134" s="17">
        <f t="shared" si="155"/>
        <v>555407.32512114185</v>
      </c>
      <c r="CA134" s="17">
        <f t="shared" si="159"/>
        <v>39667.927420117885</v>
      </c>
      <c r="CB134" s="17">
        <f t="shared" si="160"/>
        <v>2636.9206509213136</v>
      </c>
      <c r="CC134" s="17">
        <f>SUMIF('20.01'!$AO:$AO,$B:$B,'20.01'!$D:$D)*1.2</f>
        <v>0</v>
      </c>
      <c r="CD134" s="17">
        <f t="shared" si="161"/>
        <v>41396.976028500962</v>
      </c>
      <c r="CE134" s="17">
        <f>SUMIF('20.01'!$AQ:$AQ,$B:$B,'20.01'!$D:$D)*1.2</f>
        <v>0</v>
      </c>
      <c r="CF134" s="17">
        <f t="shared" si="162"/>
        <v>3766.4704165643557</v>
      </c>
      <c r="CG134" s="17">
        <f>SUMIF('20.01'!$AR:$AR,$B:$B,'20.01'!$D:$D)*1.2</f>
        <v>148683.50399999999</v>
      </c>
      <c r="CH134" s="17">
        <f t="shared" si="163"/>
        <v>2218.1777757018722</v>
      </c>
      <c r="CI134" s="17">
        <f>SUMIF('20.01'!$AT:$AT,$B:$B,'20.01'!$D:$D)*1.2</f>
        <v>0</v>
      </c>
      <c r="CJ134" s="17">
        <f>SUMIF('20.01'!$AU:$AU,$B:$B,'20.01'!$D:$D)*1.2</f>
        <v>0</v>
      </c>
      <c r="CK134" s="17">
        <f>SUMIF('20.01'!$AV:$AV,$B:$B,'20.01'!$D:$D)*1.2</f>
        <v>0</v>
      </c>
      <c r="CL134" s="17">
        <f t="shared" si="164"/>
        <v>2195.9247589142128</v>
      </c>
      <c r="CM134" s="17">
        <f>SUMIF('20.01'!$AW:$AW,$B:$B,'20.01'!$D:$D)*1.2</f>
        <v>0</v>
      </c>
      <c r="CN134" s="17">
        <f>SUMIF('20.01'!$AX:$AX,$B:$B,'20.01'!$D:$D)*1.2</f>
        <v>0</v>
      </c>
      <c r="CO134" s="110">
        <f t="shared" ref="CO134:CO197" si="209">SUM(CP134,CS134)</f>
        <v>736648.03962561558</v>
      </c>
      <c r="CP134" s="17">
        <f t="shared" ref="CP134:CP197" si="210">SUM(CQ134:CR134)</f>
        <v>581098.454468315</v>
      </c>
      <c r="CQ134" s="17">
        <f t="shared" si="165"/>
        <v>179276.86890952615</v>
      </c>
      <c r="CR134" s="17">
        <f t="shared" si="166"/>
        <v>401821.58555878885</v>
      </c>
      <c r="CS134" s="17">
        <f t="shared" ref="CS134:CS197" si="211">SUM(CT134:CY134)</f>
        <v>155549.58515730052</v>
      </c>
      <c r="CT134" s="17">
        <f t="shared" si="167"/>
        <v>5666.8078393919959</v>
      </c>
      <c r="CU134" s="17">
        <f t="shared" si="168"/>
        <v>5481.1263661237135</v>
      </c>
      <c r="CV134" s="17">
        <f t="shared" si="169"/>
        <v>5664.8638951631101</v>
      </c>
      <c r="CW134" s="17">
        <f t="shared" si="170"/>
        <v>59.402335209116487</v>
      </c>
      <c r="CX134" s="17">
        <f t="shared" si="171"/>
        <v>83644.460081914964</v>
      </c>
      <c r="CY134" s="17">
        <f t="shared" si="172"/>
        <v>55032.924639497614</v>
      </c>
      <c r="CZ134" s="110">
        <f t="shared" ref="CZ134:CZ197" si="212">SUM(DA134,DD134,DE134,DF134,DG134)</f>
        <v>182855.32826307794</v>
      </c>
      <c r="DA134" s="17">
        <f t="shared" ref="DA134:DA197" si="213">SUM(DB134:DC134)</f>
        <v>6907.2482801298247</v>
      </c>
      <c r="DB134" s="17">
        <f t="shared" si="173"/>
        <v>6554.725241909483</v>
      </c>
      <c r="DC134" s="17">
        <f t="shared" si="174"/>
        <v>352.5230382203419</v>
      </c>
      <c r="DD134" s="17">
        <f t="shared" si="175"/>
        <v>12171.363789597915</v>
      </c>
      <c r="DE134" s="17">
        <f t="shared" si="176"/>
        <v>4199.4412195294362</v>
      </c>
      <c r="DF134" s="17">
        <f t="shared" si="177"/>
        <v>5096.606966031567</v>
      </c>
      <c r="DG134" s="17">
        <f t="shared" ref="DG134:DG197" si="214">$DG$244/$G$244*G134</f>
        <v>154480.66800778921</v>
      </c>
      <c r="DH134" s="110">
        <f t="shared" ref="DH134:DH197" si="215">SUM(DI134:DK134)</f>
        <v>114116.00898741395</v>
      </c>
      <c r="DI134" s="17">
        <f t="shared" si="178"/>
        <v>102366.71283042045</v>
      </c>
      <c r="DJ134" s="17">
        <f t="shared" si="179"/>
        <v>11321.15692707489</v>
      </c>
      <c r="DK134" s="17">
        <f t="shared" si="180"/>
        <v>428.13922991860522</v>
      </c>
      <c r="DL134" s="110">
        <f t="shared" ref="DL134:DL197" si="216">SUM(DM134:DO134)</f>
        <v>678423.8410815557</v>
      </c>
      <c r="DM134" s="17">
        <f t="shared" si="181"/>
        <v>359564.63577322447</v>
      </c>
      <c r="DN134" s="17">
        <f t="shared" si="182"/>
        <v>318859.20530833118</v>
      </c>
      <c r="DO134" s="17">
        <f t="shared" si="183"/>
        <v>0</v>
      </c>
      <c r="DP134" s="110">
        <f t="shared" ref="DP134:DP197" si="217">SUM(DQ134:DS134)</f>
        <v>0</v>
      </c>
      <c r="DQ134" s="17">
        <f>SUMIF('20.01'!$BB:$BB,$B:$B,'20.01'!$D:$D)*1.2</f>
        <v>0</v>
      </c>
      <c r="DR134" s="17">
        <f t="shared" si="184"/>
        <v>0</v>
      </c>
      <c r="DS134" s="17">
        <f t="shared" si="185"/>
        <v>0</v>
      </c>
      <c r="DT134" s="110">
        <f t="shared" ref="DT134:DT197" si="218">SUM(DU134:DW134)</f>
        <v>15077.207999999999</v>
      </c>
      <c r="DU134" s="17">
        <f>SUMIF('20.01'!$BD:$BD,$B:$B,'20.01'!$D:$D)*1.2</f>
        <v>15077.207999999999</v>
      </c>
      <c r="DV134" s="17">
        <f t="shared" si="186"/>
        <v>0</v>
      </c>
      <c r="DW134" s="17">
        <f t="shared" si="187"/>
        <v>0</v>
      </c>
      <c r="DX134" s="110">
        <f t="shared" si="188"/>
        <v>2966724.7409688537</v>
      </c>
      <c r="DY134" s="110"/>
      <c r="DZ134" s="110">
        <f t="shared" ref="DZ134:DZ197" si="219">DX134+DY134</f>
        <v>2966724.7409688537</v>
      </c>
      <c r="EA134" s="257"/>
      <c r="EB134" s="110">
        <f t="shared" si="189"/>
        <v>7092.4337349397583</v>
      </c>
      <c r="EC134" s="110">
        <f>SUMIF(еирц!$B:$B,$B:$B,еирц!$K:$K)</f>
        <v>2140887.34</v>
      </c>
      <c r="ED134" s="110">
        <f>SUMIF(еирц!$B:$B,$B:$B,еирц!$P:$P)</f>
        <v>2100369.92</v>
      </c>
      <c r="EE134" s="110">
        <f>SUMIF(еирц!$B:$B,$B:$B,еирц!$S:$S)</f>
        <v>555719.78</v>
      </c>
      <c r="EF134" s="177">
        <f t="shared" ref="EF134:EF197" si="220">(EB134+EC134)-DX134</f>
        <v>-818744.96723391395</v>
      </c>
      <c r="EG134" s="181">
        <f t="shared" ref="EG134:EG192" si="221">IF(EF134&gt;0,EC134/DX134-1,0)</f>
        <v>0</v>
      </c>
      <c r="EH134" s="177">
        <f t="shared" ref="EH134:EH197" si="222">(EB134+EC134)-DZ134</f>
        <v>-818744.96723391395</v>
      </c>
    </row>
    <row r="135" spans="1:138" ht="12" customHeight="1" x14ac:dyDescent="0.25">
      <c r="A135" s="5">
        <f t="shared" ref="A135:A198" si="223">A134+1</f>
        <v>131</v>
      </c>
      <c r="B135" s="6" t="s">
        <v>215</v>
      </c>
      <c r="C135" s="7">
        <f t="shared" si="84"/>
        <v>4049.3</v>
      </c>
      <c r="D135" s="8">
        <v>3428</v>
      </c>
      <c r="E135" s="8">
        <v>621.29999999999995</v>
      </c>
      <c r="F135" s="8">
        <v>540.6</v>
      </c>
      <c r="G135" s="87">
        <f t="shared" si="156"/>
        <v>4049.3</v>
      </c>
      <c r="H135" s="87">
        <f t="shared" si="157"/>
        <v>4049.3</v>
      </c>
      <c r="I135" s="91">
        <v>2</v>
      </c>
      <c r="J135" s="112">
        <v>6.3540096533174963E-3</v>
      </c>
      <c r="K135" s="17">
        <v>1</v>
      </c>
      <c r="L135" s="112">
        <f t="shared" si="190"/>
        <v>2.4096385542168672E-3</v>
      </c>
      <c r="M135" s="116">
        <v>3.406415775817333</v>
      </c>
      <c r="N135" s="120">
        <f t="shared" si="191"/>
        <v>4049.3</v>
      </c>
      <c r="O135" s="116">
        <v>3.0862338399189464</v>
      </c>
      <c r="P135" s="120">
        <f t="shared" si="192"/>
        <v>4049.3</v>
      </c>
      <c r="Q135" s="116">
        <v>1.6009259297699363</v>
      </c>
      <c r="R135" s="120">
        <f t="shared" si="193"/>
        <v>4049.3</v>
      </c>
      <c r="S135" s="5" t="s">
        <v>73</v>
      </c>
      <c r="T135" s="87">
        <v>41.34</v>
      </c>
      <c r="U135" s="88">
        <v>4.68</v>
      </c>
      <c r="V135" s="88">
        <v>7.92</v>
      </c>
      <c r="W135" s="88">
        <v>12.32</v>
      </c>
      <c r="X135" s="88">
        <v>6.34</v>
      </c>
      <c r="Y135" s="88">
        <v>2.89</v>
      </c>
      <c r="Z135" s="88">
        <v>1.66</v>
      </c>
      <c r="AA135" s="88">
        <v>5.29</v>
      </c>
      <c r="AB135" s="88">
        <v>0.24</v>
      </c>
      <c r="AC135" s="257"/>
      <c r="AD135" s="110">
        <f t="shared" si="194"/>
        <v>112461.05473707158</v>
      </c>
      <c r="AE135" s="110">
        <f t="shared" si="195"/>
        <v>111323.55753529302</v>
      </c>
      <c r="AF135" s="16">
        <f>SUMIF('20.01'!$I:$I,$B:$B,'20.01'!$D:$D)*1.2</f>
        <v>26553.059999999998</v>
      </c>
      <c r="AG135" s="17">
        <f t="shared" si="154"/>
        <v>25908.68997395254</v>
      </c>
      <c r="AH135" s="17">
        <f t="shared" si="196"/>
        <v>3092.0414176993659</v>
      </c>
      <c r="AI135" s="16">
        <f>SUMIF('20.01'!$J:$J,$B:$B,'20.01'!$D:$D)*1.2</f>
        <v>0</v>
      </c>
      <c r="AJ135" s="17">
        <f t="shared" si="197"/>
        <v>1256.5361165039017</v>
      </c>
      <c r="AK135" s="17">
        <f t="shared" si="198"/>
        <v>3056.8732260396532</v>
      </c>
      <c r="AL135" s="17">
        <f t="shared" si="199"/>
        <v>51456.356801097572</v>
      </c>
      <c r="AM135" s="110">
        <f t="shared" si="200"/>
        <v>0</v>
      </c>
      <c r="AN135" s="17">
        <f>SUMIF('20.01'!$K:$K,$B:$B,'20.01'!$D:$D)*1.2</f>
        <v>0</v>
      </c>
      <c r="AO135" s="17">
        <f>SUMIF('20.01'!$L:$L,$B:$B,'20.01'!$D:$D)*1.2</f>
        <v>0</v>
      </c>
      <c r="AP135" s="17">
        <f>SUMIF('20.01'!$M:$M,$B:$B,'20.01'!$D:$D)*1.2</f>
        <v>0</v>
      </c>
      <c r="AQ135" s="110">
        <f t="shared" si="201"/>
        <v>1137.4972017785626</v>
      </c>
      <c r="AR135" s="17">
        <f t="shared" si="202"/>
        <v>1137.4972017785626</v>
      </c>
      <c r="AS135" s="17">
        <f>(SUMIF('20.01'!$N:$N,$B:$B,'20.01'!$D:$D)+SUMIF('20.01'!$O:$O,$B:$B,'20.01'!$D:$D))*1.2</f>
        <v>0</v>
      </c>
      <c r="AT135" s="110">
        <f>SUMIF('20.01'!$P:$P,$B:$B,'20.01'!$D:$D)*1.2</f>
        <v>0</v>
      </c>
      <c r="AU135" s="110">
        <f t="shared" si="203"/>
        <v>0</v>
      </c>
      <c r="AV135" s="17">
        <f>SUMIF('20.01'!$Q:$Q,$B:$B,'20.01'!$D:$D)*1.2</f>
        <v>0</v>
      </c>
      <c r="AW135" s="17">
        <f>SUMIF('20.01'!$R:$R,$B:$B,'20.01'!$D:$D)*1.2</f>
        <v>0</v>
      </c>
      <c r="AX135" s="110">
        <f t="shared" si="204"/>
        <v>0</v>
      </c>
      <c r="AY135" s="17">
        <f>SUMIF('20.01'!$S:$S,$B:$B,'20.01'!$D:$D)*1.2</f>
        <v>0</v>
      </c>
      <c r="AZ135" s="17">
        <f>SUMIF('20.01'!$T:$T,$B:$B,'20.01'!$D:$D)*1.2</f>
        <v>0</v>
      </c>
      <c r="BA135" s="110">
        <f t="shared" si="205"/>
        <v>0</v>
      </c>
      <c r="BB135" s="17">
        <f>SUMIF('20.01'!$U:$U,$B:$B,'20.01'!$D:$D)*1.2</f>
        <v>0</v>
      </c>
      <c r="BC135" s="17">
        <f>SUMIF('20.01'!$V:$V,$B:$B,'20.01'!$D:$D)*1.2</f>
        <v>0</v>
      </c>
      <c r="BD135" s="17">
        <f>SUMIF('20.01'!$W:$W,$B:$B,'20.01'!$D:$D)*1.2</f>
        <v>0</v>
      </c>
      <c r="BE135" s="110">
        <f>SUMIF('20.01'!$X:$X,$B:$B,'20.01'!$D:$D)*1.2</f>
        <v>0</v>
      </c>
      <c r="BF135" s="110">
        <f t="shared" si="206"/>
        <v>0</v>
      </c>
      <c r="BG135" s="17">
        <f>SUMIF('20.01'!$Y:$Y,$B:$B,'20.01'!$D:$D)*1.2</f>
        <v>0</v>
      </c>
      <c r="BH135" s="17">
        <f>SUMIF('20.01'!$Z:$Z,$B:$B,'20.01'!$D:$D)*1.2</f>
        <v>0</v>
      </c>
      <c r="BI135" s="17">
        <f>SUMIF('20.01'!$AA:$AA,$B:$B,'20.01'!$D:$D)*1.2</f>
        <v>0</v>
      </c>
      <c r="BJ135" s="17">
        <f>SUMIF('20.01'!$AB:$AB,$B:$B,'20.01'!$D:$D)*1.2</f>
        <v>0</v>
      </c>
      <c r="BK135" s="17">
        <f>SUMIF('20.01'!$AC:$AC,$B:$B,'20.01'!$D:$D)*1.2</f>
        <v>0</v>
      </c>
      <c r="BL135" s="17">
        <f>SUMIF('20.01'!$AD:$AD,$B:$B,'20.01'!$D:$D)*1.2</f>
        <v>0</v>
      </c>
      <c r="BM135" s="110">
        <f t="shared" si="207"/>
        <v>0</v>
      </c>
      <c r="BN135" s="17">
        <f>SUMIF('20.01'!$AE:$AE,$B:$B,'20.01'!$D:$D)*1.2</f>
        <v>0</v>
      </c>
      <c r="BO135" s="17">
        <f>SUMIF('20.01'!$AF:$AF,$B:$B,'20.01'!$D:$D)*1.2</f>
        <v>0</v>
      </c>
      <c r="BP135" s="110">
        <f>SUMIF('20.01'!$AG:$AG,$B:$B,'20.01'!$D:$D)*1.2</f>
        <v>0</v>
      </c>
      <c r="BQ135" s="110">
        <f>SUMIF('20.01'!$AH:$AH,$B:$B,'20.01'!$D:$D)*1.2</f>
        <v>0</v>
      </c>
      <c r="BR135" s="110">
        <f>SUMIF('20.01'!$AI:$AI,$B:$B,'20.01'!$D:$D)*1.2</f>
        <v>0</v>
      </c>
      <c r="BS135" s="110">
        <f t="shared" si="208"/>
        <v>0</v>
      </c>
      <c r="BT135" s="17">
        <f>SUMIF('20.01'!$AJ:$AJ,$B:$B,'20.01'!$D:$D)*1.2</f>
        <v>0</v>
      </c>
      <c r="BU135" s="17">
        <f>SUMIF('20.01'!$AK:$AK,$B:$B,'20.01'!$D:$D)*1.2</f>
        <v>0</v>
      </c>
      <c r="BV135" s="110">
        <f>SUMIF('20.01'!$AL:$AL,$B:$B,'20.01'!$D:$D)*1.2</f>
        <v>0</v>
      </c>
      <c r="BW135" s="110">
        <f>SUMIF('20.01'!$AM:$AM,$B:$B,'20.01'!$D:$D)*1.2</f>
        <v>0</v>
      </c>
      <c r="BX135" s="110">
        <f>SUMIF('20.01'!$AN:$AN,$B:$B,'20.01'!$D:$D)*1.2</f>
        <v>0</v>
      </c>
      <c r="BY135" s="110">
        <f t="shared" si="158"/>
        <v>409817.57618251676</v>
      </c>
      <c r="BZ135" s="17">
        <f t="shared" si="155"/>
        <v>351644.2112064418</v>
      </c>
      <c r="CA135" s="17">
        <f t="shared" si="159"/>
        <v>25114.895711537967</v>
      </c>
      <c r="CB135" s="17">
        <f t="shared" si="160"/>
        <v>1669.5096380029825</v>
      </c>
      <c r="CC135" s="17">
        <f>SUMIF('20.01'!$AO:$AO,$B:$B,'20.01'!$D:$D)*1.2</f>
        <v>0</v>
      </c>
      <c r="CD135" s="17">
        <f t="shared" si="161"/>
        <v>26209.605677597283</v>
      </c>
      <c r="CE135" s="17">
        <f>SUMIF('20.01'!$AQ:$AQ,$B:$B,'20.01'!$D:$D)*1.2</f>
        <v>0</v>
      </c>
      <c r="CF135" s="17">
        <f t="shared" si="162"/>
        <v>2384.6597960808117</v>
      </c>
      <c r="CG135" s="17">
        <f>SUMIF('20.01'!$AR:$AR,$B:$B,'20.01'!$D:$D)*1.2</f>
        <v>0</v>
      </c>
      <c r="CH135" s="17">
        <f t="shared" si="163"/>
        <v>1404.3915860890272</v>
      </c>
      <c r="CI135" s="17">
        <f>SUMIF('20.01'!$AT:$AT,$B:$B,'20.01'!$D:$D)*1.2</f>
        <v>0</v>
      </c>
      <c r="CJ135" s="17">
        <f>SUMIF('20.01'!$AU:$AU,$B:$B,'20.01'!$D:$D)*1.2</f>
        <v>0</v>
      </c>
      <c r="CK135" s="17">
        <f>SUMIF('20.01'!$AV:$AV,$B:$B,'20.01'!$D:$D)*1.2</f>
        <v>0</v>
      </c>
      <c r="CL135" s="17">
        <f t="shared" si="164"/>
        <v>1390.3025667669408</v>
      </c>
      <c r="CM135" s="17">
        <f>SUMIF('20.01'!$AW:$AW,$B:$B,'20.01'!$D:$D)*1.2</f>
        <v>0</v>
      </c>
      <c r="CN135" s="17">
        <f>SUMIF('20.01'!$AX:$AX,$B:$B,'20.01'!$D:$D)*1.2</f>
        <v>0</v>
      </c>
      <c r="CO135" s="110">
        <f t="shared" si="209"/>
        <v>466392.87440874416</v>
      </c>
      <c r="CP135" s="17">
        <f t="shared" si="210"/>
        <v>367909.9976044136</v>
      </c>
      <c r="CQ135" s="17">
        <f t="shared" si="165"/>
        <v>113505.29657040579</v>
      </c>
      <c r="CR135" s="17">
        <f t="shared" si="166"/>
        <v>254404.70103400783</v>
      </c>
      <c r="CS135" s="17">
        <f t="shared" si="211"/>
        <v>98482.876804330575</v>
      </c>
      <c r="CT135" s="17">
        <f t="shared" si="167"/>
        <v>3587.817593703584</v>
      </c>
      <c r="CU135" s="17">
        <f t="shared" si="168"/>
        <v>3470.2573595298018</v>
      </c>
      <c r="CV135" s="17">
        <f t="shared" si="169"/>
        <v>3586.5868271938934</v>
      </c>
      <c r="CW135" s="17">
        <f t="shared" si="170"/>
        <v>37.609311875521897</v>
      </c>
      <c r="CX135" s="17">
        <f t="shared" si="171"/>
        <v>52957.692232233894</v>
      </c>
      <c r="CY135" s="17">
        <f t="shared" si="172"/>
        <v>34842.913479793882</v>
      </c>
      <c r="CZ135" s="110">
        <f t="shared" si="212"/>
        <v>115770.92120263327</v>
      </c>
      <c r="DA135" s="17">
        <f t="shared" si="213"/>
        <v>4373.1757994792906</v>
      </c>
      <c r="DB135" s="17">
        <f t="shared" si="173"/>
        <v>4149.9834141789124</v>
      </c>
      <c r="DC135" s="17">
        <f t="shared" si="174"/>
        <v>223.19238530037848</v>
      </c>
      <c r="DD135" s="17">
        <f t="shared" si="175"/>
        <v>7706.0373990679427</v>
      </c>
      <c r="DE135" s="17">
        <f t="shared" si="176"/>
        <v>2658.7859546633749</v>
      </c>
      <c r="DF135" s="17">
        <f t="shared" si="177"/>
        <v>3226.8071653691736</v>
      </c>
      <c r="DG135" s="17">
        <f t="shared" si="214"/>
        <v>97806.114884053488</v>
      </c>
      <c r="DH135" s="110">
        <f t="shared" si="215"/>
        <v>72250.098533817305</v>
      </c>
      <c r="DI135" s="17">
        <f t="shared" si="178"/>
        <v>64811.284185346653</v>
      </c>
      <c r="DJ135" s="17">
        <f t="shared" si="179"/>
        <v>7167.7471965233444</v>
      </c>
      <c r="DK135" s="17">
        <f t="shared" si="180"/>
        <v>271.06715194730964</v>
      </c>
      <c r="DL135" s="110">
        <f t="shared" si="216"/>
        <v>546726.61740153912</v>
      </c>
      <c r="DM135" s="17">
        <f t="shared" si="181"/>
        <v>227650.62145449567</v>
      </c>
      <c r="DN135" s="17">
        <f t="shared" si="182"/>
        <v>201878.85298794901</v>
      </c>
      <c r="DO135" s="17">
        <f t="shared" si="183"/>
        <v>117197.14295909448</v>
      </c>
      <c r="DP135" s="110">
        <f t="shared" si="217"/>
        <v>181497.76052605984</v>
      </c>
      <c r="DQ135" s="17">
        <f>SUMIF('20.01'!$BB:$BB,$B:$B,'20.01'!$D:$D)*1.2</f>
        <v>6012.5999999999995</v>
      </c>
      <c r="DR135" s="17">
        <f t="shared" si="184"/>
        <v>174193.84767432316</v>
      </c>
      <c r="DS135" s="17">
        <f t="shared" si="185"/>
        <v>1291.3128517366783</v>
      </c>
      <c r="DT135" s="110">
        <f t="shared" si="218"/>
        <v>7586.0159999999996</v>
      </c>
      <c r="DU135" s="17">
        <f>SUMIF('20.01'!$BD:$BD,$B:$B,'20.01'!$D:$D)*1.2</f>
        <v>7586.0159999999996</v>
      </c>
      <c r="DV135" s="17">
        <f t="shared" si="186"/>
        <v>0</v>
      </c>
      <c r="DW135" s="17">
        <f t="shared" si="187"/>
        <v>0</v>
      </c>
      <c r="DX135" s="110">
        <f t="shared" si="188"/>
        <v>1912502.9189923822</v>
      </c>
      <c r="DY135" s="110"/>
      <c r="DZ135" s="110">
        <f t="shared" si="219"/>
        <v>1912502.9189923822</v>
      </c>
      <c r="EA135" s="257"/>
      <c r="EB135" s="110">
        <f t="shared" si="189"/>
        <v>886.55421686746979</v>
      </c>
      <c r="EC135" s="110">
        <f>SUMIF(еирц!$B:$B,$B:$B,еирц!$K:$K)</f>
        <v>1667860.44</v>
      </c>
      <c r="ED135" s="110">
        <f>SUMIF(еирц!$B:$B,$B:$B,еирц!$P:$P)</f>
        <v>1599994.19</v>
      </c>
      <c r="EE135" s="110">
        <f>SUMIF(еирц!$B:$B,$B:$B,еирц!$S:$S)</f>
        <v>488367.29000000004</v>
      </c>
      <c r="EF135" s="177">
        <f t="shared" si="220"/>
        <v>-243755.92477551475</v>
      </c>
      <c r="EG135" s="181">
        <f t="shared" si="221"/>
        <v>0</v>
      </c>
      <c r="EH135" s="177">
        <f t="shared" si="222"/>
        <v>-243755.92477551475</v>
      </c>
    </row>
    <row r="136" spans="1:138" ht="12" customHeight="1" x14ac:dyDescent="0.25">
      <c r="A136" s="5">
        <f t="shared" si="223"/>
        <v>132</v>
      </c>
      <c r="B136" s="6" t="s">
        <v>216</v>
      </c>
      <c r="C136" s="7">
        <f t="shared" si="84"/>
        <v>3494.8</v>
      </c>
      <c r="D136" s="8">
        <v>3494.8</v>
      </c>
      <c r="E136" s="8">
        <v>0</v>
      </c>
      <c r="F136" s="8">
        <v>393.2</v>
      </c>
      <c r="G136" s="87">
        <f t="shared" si="156"/>
        <v>3494.8</v>
      </c>
      <c r="H136" s="87">
        <f t="shared" si="157"/>
        <v>3494.8</v>
      </c>
      <c r="I136" s="91">
        <v>0</v>
      </c>
      <c r="J136" s="112">
        <v>0</v>
      </c>
      <c r="K136" s="17">
        <v>0</v>
      </c>
      <c r="L136" s="112">
        <f t="shared" si="190"/>
        <v>0</v>
      </c>
      <c r="M136" s="116">
        <v>3.4064159386271253</v>
      </c>
      <c r="N136" s="120">
        <f t="shared" si="191"/>
        <v>3494.8</v>
      </c>
      <c r="O136" s="116">
        <v>3.0862342245376997</v>
      </c>
      <c r="P136" s="120">
        <f t="shared" si="192"/>
        <v>3494.8</v>
      </c>
      <c r="Q136" s="116">
        <v>0</v>
      </c>
      <c r="R136" s="120">
        <f t="shared" si="193"/>
        <v>0</v>
      </c>
      <c r="S136" s="5" t="s">
        <v>143</v>
      </c>
      <c r="T136" s="87">
        <v>28.44</v>
      </c>
      <c r="U136" s="88">
        <v>4.68</v>
      </c>
      <c r="V136" s="88">
        <v>6.05</v>
      </c>
      <c r="W136" s="88">
        <v>8.24</v>
      </c>
      <c r="X136" s="88">
        <v>6.34</v>
      </c>
      <c r="Y136" s="88">
        <v>2.89</v>
      </c>
      <c r="Z136" s="88">
        <v>0</v>
      </c>
      <c r="AA136" s="88">
        <v>0</v>
      </c>
      <c r="AB136" s="88">
        <v>0.24</v>
      </c>
      <c r="AC136" s="257"/>
      <c r="AD136" s="110">
        <f t="shared" si="194"/>
        <v>90549.192747671725</v>
      </c>
      <c r="AE136" s="110">
        <f t="shared" si="195"/>
        <v>73868.581282782543</v>
      </c>
      <c r="AF136" s="16">
        <f>SUMIF('20.01'!$I:$I,$B:$B,'20.01'!$D:$D)*1.2</f>
        <v>13744.32</v>
      </c>
      <c r="AG136" s="17">
        <f>IF(S136=$S$246,$AG$246,0)/$G$246*G136</f>
        <v>9322.8276855255353</v>
      </c>
      <c r="AH136" s="17">
        <f t="shared" si="196"/>
        <v>2668.625773979637</v>
      </c>
      <c r="AI136" s="16">
        <f>SUMIF('20.01'!$J:$J,$B:$B,'20.01'!$D:$D)*1.2</f>
        <v>0</v>
      </c>
      <c r="AJ136" s="17">
        <f t="shared" si="197"/>
        <v>1084.4695181779161</v>
      </c>
      <c r="AK136" s="17">
        <f t="shared" si="198"/>
        <v>2638.2734177174771</v>
      </c>
      <c r="AL136" s="17">
        <f t="shared" si="199"/>
        <v>44410.064887381966</v>
      </c>
      <c r="AM136" s="110">
        <f t="shared" si="200"/>
        <v>15698.88</v>
      </c>
      <c r="AN136" s="17">
        <f>SUMIF('20.01'!$K:$K,$B:$B,'20.01'!$D:$D)*1.2</f>
        <v>15698.88</v>
      </c>
      <c r="AO136" s="17">
        <f>SUMIF('20.01'!$L:$L,$B:$B,'20.01'!$D:$D)*1.2</f>
        <v>0</v>
      </c>
      <c r="AP136" s="17">
        <f>SUMIF('20.01'!$M:$M,$B:$B,'20.01'!$D:$D)*1.2</f>
        <v>0</v>
      </c>
      <c r="AQ136" s="110">
        <f t="shared" si="201"/>
        <v>981.73146488917121</v>
      </c>
      <c r="AR136" s="17">
        <f t="shared" si="202"/>
        <v>981.73146488917121</v>
      </c>
      <c r="AS136" s="17">
        <f>(SUMIF('20.01'!$N:$N,$B:$B,'20.01'!$D:$D)+SUMIF('20.01'!$O:$O,$B:$B,'20.01'!$D:$D))*1.2</f>
        <v>0</v>
      </c>
      <c r="AT136" s="110">
        <f>SUMIF('20.01'!$P:$P,$B:$B,'20.01'!$D:$D)*1.2</f>
        <v>0</v>
      </c>
      <c r="AU136" s="110">
        <f t="shared" si="203"/>
        <v>0</v>
      </c>
      <c r="AV136" s="17">
        <f>SUMIF('20.01'!$Q:$Q,$B:$B,'20.01'!$D:$D)*1.2</f>
        <v>0</v>
      </c>
      <c r="AW136" s="17">
        <f>SUMIF('20.01'!$R:$R,$B:$B,'20.01'!$D:$D)*1.2</f>
        <v>0</v>
      </c>
      <c r="AX136" s="110">
        <f t="shared" si="204"/>
        <v>0</v>
      </c>
      <c r="AY136" s="17">
        <f>SUMIF('20.01'!$S:$S,$B:$B,'20.01'!$D:$D)*1.2</f>
        <v>0</v>
      </c>
      <c r="AZ136" s="17">
        <f>SUMIF('20.01'!$T:$T,$B:$B,'20.01'!$D:$D)*1.2</f>
        <v>0</v>
      </c>
      <c r="BA136" s="110">
        <f t="shared" si="205"/>
        <v>0</v>
      </c>
      <c r="BB136" s="17">
        <f>SUMIF('20.01'!$U:$U,$B:$B,'20.01'!$D:$D)*1.2</f>
        <v>0</v>
      </c>
      <c r="BC136" s="17">
        <f>SUMIF('20.01'!$V:$V,$B:$B,'20.01'!$D:$D)*1.2</f>
        <v>0</v>
      </c>
      <c r="BD136" s="17">
        <f>SUMIF('20.01'!$W:$W,$B:$B,'20.01'!$D:$D)*1.2</f>
        <v>0</v>
      </c>
      <c r="BE136" s="110">
        <f>SUMIF('20.01'!$X:$X,$B:$B,'20.01'!$D:$D)*1.2</f>
        <v>0</v>
      </c>
      <c r="BF136" s="110">
        <f t="shared" si="206"/>
        <v>0</v>
      </c>
      <c r="BG136" s="17">
        <f>SUMIF('20.01'!$Y:$Y,$B:$B,'20.01'!$D:$D)*1.2</f>
        <v>0</v>
      </c>
      <c r="BH136" s="17">
        <f>SUMIF('20.01'!$Z:$Z,$B:$B,'20.01'!$D:$D)*1.2</f>
        <v>0</v>
      </c>
      <c r="BI136" s="17">
        <f>SUMIF('20.01'!$AA:$AA,$B:$B,'20.01'!$D:$D)*1.2</f>
        <v>0</v>
      </c>
      <c r="BJ136" s="17">
        <f>SUMIF('20.01'!$AB:$AB,$B:$B,'20.01'!$D:$D)*1.2</f>
        <v>0</v>
      </c>
      <c r="BK136" s="17">
        <f>SUMIF('20.01'!$AC:$AC,$B:$B,'20.01'!$D:$D)*1.2</f>
        <v>0</v>
      </c>
      <c r="BL136" s="17">
        <f>SUMIF('20.01'!$AD:$AD,$B:$B,'20.01'!$D:$D)*1.2</f>
        <v>0</v>
      </c>
      <c r="BM136" s="110">
        <f t="shared" si="207"/>
        <v>0</v>
      </c>
      <c r="BN136" s="17">
        <f>SUMIF('20.01'!$AE:$AE,$B:$B,'20.01'!$D:$D)*1.2</f>
        <v>0</v>
      </c>
      <c r="BO136" s="17">
        <f>SUMIF('20.01'!$AF:$AF,$B:$B,'20.01'!$D:$D)*1.2</f>
        <v>0</v>
      </c>
      <c r="BP136" s="110">
        <f>SUMIF('20.01'!$AG:$AG,$B:$B,'20.01'!$D:$D)*1.2</f>
        <v>0</v>
      </c>
      <c r="BQ136" s="110">
        <f>SUMIF('20.01'!$AH:$AH,$B:$B,'20.01'!$D:$D)*1.2</f>
        <v>0</v>
      </c>
      <c r="BR136" s="110">
        <f>SUMIF('20.01'!$AI:$AI,$B:$B,'20.01'!$D:$D)*1.2</f>
        <v>0</v>
      </c>
      <c r="BS136" s="110">
        <f t="shared" si="208"/>
        <v>0</v>
      </c>
      <c r="BT136" s="17">
        <f>SUMIF('20.01'!$AJ:$AJ,$B:$B,'20.01'!$D:$D)*1.2</f>
        <v>0</v>
      </c>
      <c r="BU136" s="17">
        <f>SUMIF('20.01'!$AK:$AK,$B:$B,'20.01'!$D:$D)*1.2</f>
        <v>0</v>
      </c>
      <c r="BV136" s="110">
        <f>SUMIF('20.01'!$AL:$AL,$B:$B,'20.01'!$D:$D)*1.2</f>
        <v>0</v>
      </c>
      <c r="BW136" s="110">
        <f>SUMIF('20.01'!$AM:$AM,$B:$B,'20.01'!$D:$D)*1.2</f>
        <v>0</v>
      </c>
      <c r="BX136" s="110">
        <f>SUMIF('20.01'!$AN:$AN,$B:$B,'20.01'!$D:$D)*1.2</f>
        <v>0</v>
      </c>
      <c r="BY136" s="110">
        <f t="shared" si="158"/>
        <v>404213.57036053855</v>
      </c>
      <c r="BZ136" s="17">
        <f>IF(S136=$S$246,$BZ$246,0)/$G$246*G136</f>
        <v>214176.07791523024</v>
      </c>
      <c r="CA136" s="17">
        <f t="shared" si="159"/>
        <v>21675.73099861282</v>
      </c>
      <c r="CB136" s="17">
        <f t="shared" si="160"/>
        <v>1440.8915819753595</v>
      </c>
      <c r="CC136" s="17">
        <f>SUMIF('20.01'!$AO:$AO,$B:$B,'20.01'!$D:$D)*1.2</f>
        <v>0</v>
      </c>
      <c r="CD136" s="17">
        <f t="shared" si="161"/>
        <v>22620.534394109349</v>
      </c>
      <c r="CE136" s="17">
        <f>SUMIF('20.01'!$AQ:$AQ,$B:$B,'20.01'!$D:$D)*1.2</f>
        <v>0</v>
      </c>
      <c r="CF136" s="17">
        <f t="shared" si="162"/>
        <v>2058.1110452036701</v>
      </c>
      <c r="CG136" s="17">
        <f>SUMIF('20.01'!$AR:$AR,$B:$B,'20.01'!$D:$D)*1.2</f>
        <v>139830.228</v>
      </c>
      <c r="CH136" s="17">
        <f t="shared" si="163"/>
        <v>1212.0780665951972</v>
      </c>
      <c r="CI136" s="17">
        <f>SUMIF('20.01'!$AT:$AT,$B:$B,'20.01'!$D:$D)*1.2</f>
        <v>0</v>
      </c>
      <c r="CJ136" s="17">
        <f>SUMIF('20.01'!$AU:$AU,$B:$B,'20.01'!$D:$D)*1.2</f>
        <v>0</v>
      </c>
      <c r="CK136" s="17">
        <f>SUMIF('20.01'!$AV:$AV,$B:$B,'20.01'!$D:$D)*1.2</f>
        <v>0</v>
      </c>
      <c r="CL136" s="17">
        <f t="shared" si="164"/>
        <v>1199.9183588119192</v>
      </c>
      <c r="CM136" s="17">
        <f>SUMIF('20.01'!$AW:$AW,$B:$B,'20.01'!$D:$D)*1.2</f>
        <v>0</v>
      </c>
      <c r="CN136" s="17">
        <f>SUMIF('20.01'!$AX:$AX,$B:$B,'20.01'!$D:$D)*1.2</f>
        <v>0</v>
      </c>
      <c r="CO136" s="110">
        <f t="shared" si="209"/>
        <v>402526.31750763813</v>
      </c>
      <c r="CP136" s="17">
        <f t="shared" si="210"/>
        <v>317529.41486871918</v>
      </c>
      <c r="CQ136" s="17">
        <f t="shared" si="165"/>
        <v>97962.19357771815</v>
      </c>
      <c r="CR136" s="17">
        <f t="shared" si="166"/>
        <v>219567.22129100104</v>
      </c>
      <c r="CS136" s="17">
        <f t="shared" si="211"/>
        <v>84996.902638918953</v>
      </c>
      <c r="CT136" s="17">
        <f t="shared" si="167"/>
        <v>3096.5117246129662</v>
      </c>
      <c r="CU136" s="17">
        <f t="shared" si="168"/>
        <v>2995.0498654297662</v>
      </c>
      <c r="CV136" s="17">
        <f t="shared" si="169"/>
        <v>3095.4494958825521</v>
      </c>
      <c r="CW136" s="17">
        <f t="shared" si="170"/>
        <v>32.459196192570055</v>
      </c>
      <c r="CX136" s="17">
        <f t="shared" si="171"/>
        <v>45705.811575633074</v>
      </c>
      <c r="CY136" s="17">
        <f t="shared" si="172"/>
        <v>30071.620781168018</v>
      </c>
      <c r="CZ136" s="110">
        <f t="shared" si="212"/>
        <v>99917.569806871004</v>
      </c>
      <c r="DA136" s="17">
        <f t="shared" si="213"/>
        <v>3774.3251386709371</v>
      </c>
      <c r="DB136" s="17">
        <f t="shared" si="173"/>
        <v>3581.6961044803948</v>
      </c>
      <c r="DC136" s="17">
        <f t="shared" si="174"/>
        <v>192.62903419054226</v>
      </c>
      <c r="DD136" s="17">
        <f t="shared" si="175"/>
        <v>6650.79384146955</v>
      </c>
      <c r="DE136" s="17">
        <f t="shared" si="176"/>
        <v>2294.6991219118272</v>
      </c>
      <c r="DF136" s="17">
        <f t="shared" si="177"/>
        <v>2784.9370709831796</v>
      </c>
      <c r="DG136" s="17">
        <f t="shared" si="214"/>
        <v>84412.814633835515</v>
      </c>
      <c r="DH136" s="110">
        <f t="shared" si="215"/>
        <v>62356.36884300613</v>
      </c>
      <c r="DI136" s="17">
        <f t="shared" si="178"/>
        <v>55936.205262872463</v>
      </c>
      <c r="DJ136" s="17">
        <f t="shared" si="179"/>
        <v>6186.2156181092496</v>
      </c>
      <c r="DK136" s="17">
        <f t="shared" si="180"/>
        <v>233.94796202441353</v>
      </c>
      <c r="DL136" s="110">
        <f t="shared" si="216"/>
        <v>370710.89009988285</v>
      </c>
      <c r="DM136" s="17">
        <f t="shared" si="181"/>
        <v>196476.77175293793</v>
      </c>
      <c r="DN136" s="17">
        <f t="shared" si="182"/>
        <v>174234.11834694495</v>
      </c>
      <c r="DO136" s="17">
        <f t="shared" si="183"/>
        <v>0</v>
      </c>
      <c r="DP136" s="110">
        <f t="shared" si="217"/>
        <v>0</v>
      </c>
      <c r="DQ136" s="17">
        <f>SUMIF('20.01'!$BB:$BB,$B:$B,'20.01'!$D:$D)*1.2</f>
        <v>0</v>
      </c>
      <c r="DR136" s="17">
        <f t="shared" si="184"/>
        <v>0</v>
      </c>
      <c r="DS136" s="17">
        <f t="shared" si="185"/>
        <v>0</v>
      </c>
      <c r="DT136" s="110">
        <f t="shared" si="218"/>
        <v>7586.0159999999996</v>
      </c>
      <c r="DU136" s="17">
        <f>SUMIF('20.01'!$BD:$BD,$B:$B,'20.01'!$D:$D)*1.2</f>
        <v>7586.0159999999996</v>
      </c>
      <c r="DV136" s="17">
        <f t="shared" si="186"/>
        <v>0</v>
      </c>
      <c r="DW136" s="17">
        <f t="shared" si="187"/>
        <v>0</v>
      </c>
      <c r="DX136" s="110">
        <f t="shared" si="188"/>
        <v>1437859.9253656084</v>
      </c>
      <c r="DY136" s="110"/>
      <c r="DZ136" s="110">
        <f t="shared" si="219"/>
        <v>1437859.9253656084</v>
      </c>
      <c r="EA136" s="257"/>
      <c r="EB136" s="110">
        <f t="shared" si="189"/>
        <v>0</v>
      </c>
      <c r="EC136" s="110">
        <f>SUMIF(еирц!$B:$B,$B:$B,еирц!$K:$K)</f>
        <v>1169884.8900000001</v>
      </c>
      <c r="ED136" s="110">
        <f>SUMIF(еирц!$B:$B,$B:$B,еирц!$P:$P)</f>
        <v>1157442.0499999998</v>
      </c>
      <c r="EE136" s="110">
        <f>SUMIF(еирц!$B:$B,$B:$B,еирц!$S:$S)</f>
        <v>179193.28999999998</v>
      </c>
      <c r="EF136" s="177">
        <f t="shared" si="220"/>
        <v>-267975.03536560829</v>
      </c>
      <c r="EG136" s="181">
        <f t="shared" si="221"/>
        <v>0</v>
      </c>
      <c r="EH136" s="177">
        <f t="shared" si="222"/>
        <v>-267975.03536560829</v>
      </c>
    </row>
    <row r="137" spans="1:138" ht="12" customHeight="1" x14ac:dyDescent="0.25">
      <c r="A137" s="5">
        <f t="shared" si="223"/>
        <v>133</v>
      </c>
      <c r="B137" s="6" t="s">
        <v>217</v>
      </c>
      <c r="C137" s="7">
        <f t="shared" si="84"/>
        <v>7614.56</v>
      </c>
      <c r="D137" s="8">
        <v>7614.56</v>
      </c>
      <c r="E137" s="8">
        <v>0</v>
      </c>
      <c r="F137" s="8">
        <v>1937.4</v>
      </c>
      <c r="G137" s="87">
        <f t="shared" si="156"/>
        <v>7614.56</v>
      </c>
      <c r="H137" s="87">
        <f t="shared" si="157"/>
        <v>7614.56</v>
      </c>
      <c r="I137" s="91">
        <v>4</v>
      </c>
      <c r="J137" s="112">
        <v>1.1923451549616519E-2</v>
      </c>
      <c r="K137" s="17">
        <v>2</v>
      </c>
      <c r="L137" s="112">
        <f t="shared" si="190"/>
        <v>4.8192771084337345E-3</v>
      </c>
      <c r="M137" s="116">
        <v>3.4064172563145934</v>
      </c>
      <c r="N137" s="120">
        <f t="shared" si="191"/>
        <v>7614.56</v>
      </c>
      <c r="O137" s="116">
        <v>3.086231628000057</v>
      </c>
      <c r="P137" s="120">
        <f t="shared" si="192"/>
        <v>7614.56</v>
      </c>
      <c r="Q137" s="116">
        <v>1.6009281415726802</v>
      </c>
      <c r="R137" s="120">
        <f t="shared" si="193"/>
        <v>7614.56</v>
      </c>
      <c r="S137" s="5" t="s">
        <v>73</v>
      </c>
      <c r="T137" s="87">
        <v>41.34</v>
      </c>
      <c r="U137" s="88">
        <v>4.68</v>
      </c>
      <c r="V137" s="88">
        <v>7.92</v>
      </c>
      <c r="W137" s="88">
        <v>12.32</v>
      </c>
      <c r="X137" s="88">
        <v>6.34</v>
      </c>
      <c r="Y137" s="88">
        <v>2.89</v>
      </c>
      <c r="Z137" s="88">
        <v>1.66</v>
      </c>
      <c r="AA137" s="88">
        <v>5.29</v>
      </c>
      <c r="AB137" s="88">
        <v>0.24</v>
      </c>
      <c r="AC137" s="257"/>
      <c r="AD137" s="110">
        <f t="shared" si="194"/>
        <v>2538199.1624163967</v>
      </c>
      <c r="AE137" s="110">
        <f t="shared" si="195"/>
        <v>290783.65268602991</v>
      </c>
      <c r="AF137" s="16">
        <f>SUMIF('20.01'!$I:$I,$B:$B,'20.01'!$D:$D)*1.2</f>
        <v>131375.84399999998</v>
      </c>
      <c r="AG137" s="17">
        <f t="shared" ref="AG137:AG172" si="224">IF(S137=$S$249,$AG$249,0)/$G$249*G137</f>
        <v>48720.340386748343</v>
      </c>
      <c r="AH137" s="17">
        <f t="shared" si="196"/>
        <v>5814.4703769927846</v>
      </c>
      <c r="AI137" s="16">
        <f>SUMIF('20.01'!$J:$J,$B:$B,'20.01'!$D:$D)*1.2</f>
        <v>0</v>
      </c>
      <c r="AJ137" s="17">
        <f t="shared" si="197"/>
        <v>2362.8700395836195</v>
      </c>
      <c r="AK137" s="17">
        <f t="shared" si="198"/>
        <v>5748.3378836027223</v>
      </c>
      <c r="AL137" s="17">
        <f t="shared" si="199"/>
        <v>96761.789999102446</v>
      </c>
      <c r="AM137" s="110">
        <f t="shared" si="200"/>
        <v>0</v>
      </c>
      <c r="AN137" s="17">
        <f>SUMIF('20.01'!$K:$K,$B:$B,'20.01'!$D:$D)*1.2</f>
        <v>0</v>
      </c>
      <c r="AO137" s="17">
        <f>SUMIF('20.01'!$L:$L,$B:$B,'20.01'!$D:$D)*1.2</f>
        <v>0</v>
      </c>
      <c r="AP137" s="17">
        <f>SUMIF('20.01'!$M:$M,$B:$B,'20.01'!$D:$D)*1.2</f>
        <v>0</v>
      </c>
      <c r="AQ137" s="110">
        <f t="shared" si="201"/>
        <v>2139.0217303669701</v>
      </c>
      <c r="AR137" s="17">
        <f t="shared" si="202"/>
        <v>2139.0217303669701</v>
      </c>
      <c r="AS137" s="17">
        <f>(SUMIF('20.01'!$N:$N,$B:$B,'20.01'!$D:$D)+SUMIF('20.01'!$O:$O,$B:$B,'20.01'!$D:$D))*1.2</f>
        <v>0</v>
      </c>
      <c r="AT137" s="110">
        <f>SUMIF('20.01'!$P:$P,$B:$B,'20.01'!$D:$D)*1.2</f>
        <v>0</v>
      </c>
      <c r="AU137" s="110">
        <f t="shared" si="203"/>
        <v>0</v>
      </c>
      <c r="AV137" s="17">
        <f>SUMIF('20.01'!$Q:$Q,$B:$B,'20.01'!$D:$D)*1.2</f>
        <v>0</v>
      </c>
      <c r="AW137" s="17">
        <f>SUMIF('20.01'!$R:$R,$B:$B,'20.01'!$D:$D)*1.2</f>
        <v>0</v>
      </c>
      <c r="AX137" s="110">
        <f t="shared" si="204"/>
        <v>0</v>
      </c>
      <c r="AY137" s="17">
        <f>SUMIF('20.01'!$S:$S,$B:$B,'20.01'!$D:$D)*1.2</f>
        <v>0</v>
      </c>
      <c r="AZ137" s="17">
        <f>SUMIF('20.01'!$T:$T,$B:$B,'20.01'!$D:$D)*1.2</f>
        <v>0</v>
      </c>
      <c r="BA137" s="110">
        <f t="shared" si="205"/>
        <v>0</v>
      </c>
      <c r="BB137" s="17">
        <f>SUMIF('20.01'!$U:$U,$B:$B,'20.01'!$D:$D)*1.2</f>
        <v>0</v>
      </c>
      <c r="BC137" s="17">
        <f>SUMIF('20.01'!$V:$V,$B:$B,'20.01'!$D:$D)*1.2</f>
        <v>0</v>
      </c>
      <c r="BD137" s="17">
        <f>SUMIF('20.01'!$W:$W,$B:$B,'20.01'!$D:$D)*1.2</f>
        <v>0</v>
      </c>
      <c r="BE137" s="110">
        <f>SUMIF('20.01'!$X:$X,$B:$B,'20.01'!$D:$D)*1.2</f>
        <v>0</v>
      </c>
      <c r="BF137" s="110">
        <f t="shared" si="206"/>
        <v>1965247.8840000001</v>
      </c>
      <c r="BG137" s="17">
        <f>SUMIF('20.01'!$Y:$Y,$B:$B,'20.01'!$D:$D)*1.2</f>
        <v>0</v>
      </c>
      <c r="BH137" s="17">
        <f>SUMIF('20.01'!$Z:$Z,$B:$B,'20.01'!$D:$D)*1.2</f>
        <v>1965247.8840000001</v>
      </c>
      <c r="BI137" s="17">
        <f>SUMIF('20.01'!$AA:$AA,$B:$B,'20.01'!$D:$D)*1.2</f>
        <v>0</v>
      </c>
      <c r="BJ137" s="17">
        <f>SUMIF('20.01'!$AB:$AB,$B:$B,'20.01'!$D:$D)*1.2</f>
        <v>0</v>
      </c>
      <c r="BK137" s="17">
        <f>SUMIF('20.01'!$AC:$AC,$B:$B,'20.01'!$D:$D)*1.2</f>
        <v>0</v>
      </c>
      <c r="BL137" s="17">
        <f>SUMIF('20.01'!$AD:$AD,$B:$B,'20.01'!$D:$D)*1.2</f>
        <v>0</v>
      </c>
      <c r="BM137" s="110">
        <f t="shared" si="207"/>
        <v>0</v>
      </c>
      <c r="BN137" s="17">
        <f>SUMIF('20.01'!$AE:$AE,$B:$B,'20.01'!$D:$D)*1.2</f>
        <v>0</v>
      </c>
      <c r="BO137" s="17">
        <f>SUMIF('20.01'!$AF:$AF,$B:$B,'20.01'!$D:$D)*1.2</f>
        <v>0</v>
      </c>
      <c r="BP137" s="110">
        <f>SUMIF('20.01'!$AG:$AG,$B:$B,'20.01'!$D:$D)*1.2</f>
        <v>0</v>
      </c>
      <c r="BQ137" s="110">
        <f>SUMIF('20.01'!$AH:$AH,$B:$B,'20.01'!$D:$D)*1.2</f>
        <v>0</v>
      </c>
      <c r="BR137" s="110">
        <f>SUMIF('20.01'!$AI:$AI,$B:$B,'20.01'!$D:$D)*1.2</f>
        <v>0</v>
      </c>
      <c r="BS137" s="110">
        <f t="shared" si="208"/>
        <v>0</v>
      </c>
      <c r="BT137" s="17">
        <f>SUMIF('20.01'!$AJ:$AJ,$B:$B,'20.01'!$D:$D)*1.2</f>
        <v>0</v>
      </c>
      <c r="BU137" s="17">
        <f>SUMIF('20.01'!$AK:$AK,$B:$B,'20.01'!$D:$D)*1.2</f>
        <v>0</v>
      </c>
      <c r="BV137" s="110">
        <f>SUMIF('20.01'!$AL:$AL,$B:$B,'20.01'!$D:$D)*1.2</f>
        <v>280028.60399999999</v>
      </c>
      <c r="BW137" s="110">
        <f>SUMIF('20.01'!$AM:$AM,$B:$B,'20.01'!$D:$D)*1.2</f>
        <v>0</v>
      </c>
      <c r="BX137" s="110">
        <f>SUMIF('20.01'!$AN:$AN,$B:$B,'20.01'!$D:$D)*1.2</f>
        <v>0</v>
      </c>
      <c r="BY137" s="110">
        <f t="shared" si="158"/>
        <v>770646.90758806339</v>
      </c>
      <c r="BZ137" s="17">
        <f t="shared" ref="BZ137:BZ172" si="225">IF(S137=$S$249,$BZ$249,0)/$G$249*G137</f>
        <v>661254.03029761289</v>
      </c>
      <c r="CA137" s="17">
        <f t="shared" si="159"/>
        <v>47227.639416503727</v>
      </c>
      <c r="CB137" s="17">
        <f t="shared" si="160"/>
        <v>3139.4515864845753</v>
      </c>
      <c r="CC137" s="17">
        <f>SUMIF('20.01'!$AO:$AO,$B:$B,'20.01'!$D:$D)*1.2</f>
        <v>0</v>
      </c>
      <c r="CD137" s="17">
        <f t="shared" si="161"/>
        <v>49286.201320822162</v>
      </c>
      <c r="CE137" s="17">
        <f>SUMIF('20.01'!$AQ:$AQ,$B:$B,'20.01'!$D:$D)*1.2</f>
        <v>0</v>
      </c>
      <c r="CF137" s="17">
        <f t="shared" si="162"/>
        <v>4484.2652055528379</v>
      </c>
      <c r="CG137" s="17">
        <f>SUMIF('20.01'!$AR:$AR,$B:$B,'20.01'!$D:$D)*1.2</f>
        <v>0</v>
      </c>
      <c r="CH137" s="17">
        <f t="shared" si="163"/>
        <v>2640.9068223569661</v>
      </c>
      <c r="CI137" s="17">
        <f>SUMIF('20.01'!$AT:$AT,$B:$B,'20.01'!$D:$D)*1.2</f>
        <v>0</v>
      </c>
      <c r="CJ137" s="17">
        <f>SUMIF('20.01'!$AU:$AU,$B:$B,'20.01'!$D:$D)*1.2</f>
        <v>0</v>
      </c>
      <c r="CK137" s="17">
        <f>SUMIF('20.01'!$AV:$AV,$B:$B,'20.01'!$D:$D)*1.2</f>
        <v>0</v>
      </c>
      <c r="CL137" s="17">
        <f t="shared" si="164"/>
        <v>2614.4129387303674</v>
      </c>
      <c r="CM137" s="17">
        <f>SUMIF('20.01'!$AW:$AW,$B:$B,'20.01'!$D:$D)*1.2</f>
        <v>0</v>
      </c>
      <c r="CN137" s="17">
        <f>SUMIF('20.01'!$AX:$AX,$B:$B,'20.01'!$D:$D)*1.2</f>
        <v>0</v>
      </c>
      <c r="CO137" s="110">
        <f t="shared" si="209"/>
        <v>877034.6790205338</v>
      </c>
      <c r="CP137" s="17">
        <f t="shared" si="210"/>
        <v>691841.24450118886</v>
      </c>
      <c r="CQ137" s="17">
        <f t="shared" si="165"/>
        <v>213442.54341568891</v>
      </c>
      <c r="CR137" s="17">
        <f t="shared" si="166"/>
        <v>478398.7010854999</v>
      </c>
      <c r="CS137" s="17">
        <f t="shared" si="211"/>
        <v>185193.43451934494</v>
      </c>
      <c r="CT137" s="17">
        <f t="shared" si="167"/>
        <v>6746.7592760011757</v>
      </c>
      <c r="CU137" s="17">
        <f t="shared" si="168"/>
        <v>6525.6915712792952</v>
      </c>
      <c r="CV137" s="17">
        <f t="shared" si="169"/>
        <v>6744.4448647612016</v>
      </c>
      <c r="CW137" s="17">
        <f t="shared" si="170"/>
        <v>70.722930342250265</v>
      </c>
      <c r="CX137" s="17">
        <f t="shared" si="171"/>
        <v>99584.996163257572</v>
      </c>
      <c r="CY137" s="17">
        <f t="shared" si="172"/>
        <v>65520.819713703429</v>
      </c>
      <c r="CZ137" s="110">
        <f t="shared" si="212"/>
        <v>217702.96736540223</v>
      </c>
      <c r="DA137" s="17">
        <f t="shared" si="213"/>
        <v>8223.5965514244508</v>
      </c>
      <c r="DB137" s="17">
        <f t="shared" si="173"/>
        <v>7803.8914642704121</v>
      </c>
      <c r="DC137" s="17">
        <f t="shared" si="174"/>
        <v>419.70508715403895</v>
      </c>
      <c r="DD137" s="17">
        <f t="shared" si="175"/>
        <v>14490.920439939446</v>
      </c>
      <c r="DE137" s="17">
        <f t="shared" si="176"/>
        <v>4999.7493835827299</v>
      </c>
      <c r="DF137" s="17">
        <f t="shared" si="177"/>
        <v>6067.8924182287055</v>
      </c>
      <c r="DG137" s="17">
        <f t="shared" si="214"/>
        <v>183920.8085722269</v>
      </c>
      <c r="DH137" s="110">
        <f t="shared" si="215"/>
        <v>135863.65798821129</v>
      </c>
      <c r="DI137" s="17">
        <f t="shared" si="178"/>
        <v>121875.24068514883</v>
      </c>
      <c r="DJ137" s="17">
        <f t="shared" si="179"/>
        <v>13478.685474713851</v>
      </c>
      <c r="DK137" s="17">
        <f t="shared" si="180"/>
        <v>509.73182834858028</v>
      </c>
      <c r="DL137" s="110">
        <f t="shared" si="216"/>
        <v>1028099.3336628712</v>
      </c>
      <c r="DM137" s="17">
        <f t="shared" si="181"/>
        <v>428088.63657979027</v>
      </c>
      <c r="DN137" s="17">
        <f t="shared" si="182"/>
        <v>379625.77206132346</v>
      </c>
      <c r="DO137" s="17">
        <f t="shared" si="183"/>
        <v>220384.92502175746</v>
      </c>
      <c r="DP137" s="110">
        <f t="shared" si="217"/>
        <v>341327.31368449738</v>
      </c>
      <c r="DQ137" s="17">
        <f>SUMIF('20.01'!$BB:$BB,$B:$B,'20.01'!$D:$D)*1.2</f>
        <v>12025.199999999999</v>
      </c>
      <c r="DR137" s="17">
        <f t="shared" si="184"/>
        <v>326878.93413911527</v>
      </c>
      <c r="DS137" s="17">
        <f t="shared" si="185"/>
        <v>2423.1795453821092</v>
      </c>
      <c r="DT137" s="110">
        <f t="shared" si="218"/>
        <v>15930.636</v>
      </c>
      <c r="DU137" s="17">
        <f>SUMIF('20.01'!$BD:$BD,$B:$B,'20.01'!$D:$D)*1.2</f>
        <v>15930.636</v>
      </c>
      <c r="DV137" s="17">
        <f t="shared" si="186"/>
        <v>0</v>
      </c>
      <c r="DW137" s="17">
        <f t="shared" si="187"/>
        <v>0</v>
      </c>
      <c r="DX137" s="110">
        <f t="shared" si="188"/>
        <v>5924804.6577259749</v>
      </c>
      <c r="DY137" s="110"/>
      <c r="DZ137" s="110">
        <f t="shared" si="219"/>
        <v>5924804.6577259749</v>
      </c>
      <c r="EA137" s="257"/>
      <c r="EB137" s="110">
        <f t="shared" si="189"/>
        <v>1773.1084337349396</v>
      </c>
      <c r="EC137" s="110">
        <f>SUMIF(еирц!$B:$B,$B:$B,еирц!$K:$K)</f>
        <v>3704806.0300000003</v>
      </c>
      <c r="ED137" s="110">
        <f>SUMIF(еирц!$B:$B,$B:$B,еирц!$P:$P)</f>
        <v>3604063.15</v>
      </c>
      <c r="EE137" s="110">
        <f>SUMIF(еирц!$B:$B,$B:$B,еирц!$S:$S)</f>
        <v>838087.68000000005</v>
      </c>
      <c r="EF137" s="177">
        <f t="shared" si="220"/>
        <v>-2218225.5192922396</v>
      </c>
      <c r="EG137" s="181">
        <f t="shared" si="221"/>
        <v>0</v>
      </c>
      <c r="EH137" s="177">
        <f t="shared" si="222"/>
        <v>-2218225.5192922396</v>
      </c>
    </row>
    <row r="138" spans="1:138" ht="12" customHeight="1" x14ac:dyDescent="0.25">
      <c r="A138" s="5">
        <f t="shared" si="223"/>
        <v>134</v>
      </c>
      <c r="B138" s="6" t="s">
        <v>218</v>
      </c>
      <c r="C138" s="7">
        <f t="shared" si="84"/>
        <v>5017.28</v>
      </c>
      <c r="D138" s="8">
        <v>5017.28</v>
      </c>
      <c r="E138" s="8">
        <v>0</v>
      </c>
      <c r="F138" s="8">
        <v>860.8</v>
      </c>
      <c r="G138" s="91">
        <f t="shared" si="156"/>
        <v>5017.28</v>
      </c>
      <c r="H138" s="87">
        <f t="shared" si="157"/>
        <v>0</v>
      </c>
      <c r="I138" s="91">
        <v>4</v>
      </c>
      <c r="J138" s="112">
        <v>7.8847433736509154E-3</v>
      </c>
      <c r="K138" s="17">
        <v>2</v>
      </c>
      <c r="L138" s="112">
        <f t="shared" si="190"/>
        <v>4.8192771084337345E-3</v>
      </c>
      <c r="M138" s="116">
        <v>3.406418059654531</v>
      </c>
      <c r="N138" s="120">
        <f t="shared" si="191"/>
        <v>5017.28</v>
      </c>
      <c r="O138" s="116">
        <v>3.0862313933064898</v>
      </c>
      <c r="P138" s="120">
        <f t="shared" si="192"/>
        <v>5017.28</v>
      </c>
      <c r="Q138" s="116">
        <v>1.600926784000255</v>
      </c>
      <c r="R138" s="120">
        <f t="shared" si="193"/>
        <v>5017.28</v>
      </c>
      <c r="S138" s="5" t="s">
        <v>73</v>
      </c>
      <c r="T138" s="87">
        <v>41.1</v>
      </c>
      <c r="U138" s="88">
        <v>4.68</v>
      </c>
      <c r="V138" s="88">
        <v>7.92</v>
      </c>
      <c r="W138" s="88">
        <v>12.32</v>
      </c>
      <c r="X138" s="88">
        <v>6.34</v>
      </c>
      <c r="Y138" s="88">
        <v>2.89</v>
      </c>
      <c r="Z138" s="88">
        <v>1.66</v>
      </c>
      <c r="AA138" s="88">
        <v>5.29</v>
      </c>
      <c r="AB138" s="88">
        <v>0</v>
      </c>
      <c r="AC138" s="257"/>
      <c r="AD138" s="110">
        <f t="shared" si="194"/>
        <v>438761.63130082109</v>
      </c>
      <c r="AE138" s="110">
        <f t="shared" si="195"/>
        <v>147248.3648438681</v>
      </c>
      <c r="AF138" s="16">
        <f>SUMIF('20.01'!$I:$I,$B:$B,'20.01'!$D:$D)*1.2</f>
        <v>42213.587999999996</v>
      </c>
      <c r="AG138" s="17">
        <f t="shared" si="224"/>
        <v>32102.12926493779</v>
      </c>
      <c r="AH138" s="17">
        <f t="shared" si="196"/>
        <v>3831.1899746115805</v>
      </c>
      <c r="AI138" s="16">
        <f>SUMIF('20.01'!$J:$J,$B:$B,'20.01'!$D:$D)*1.2</f>
        <v>0</v>
      </c>
      <c r="AJ138" s="17">
        <f t="shared" si="197"/>
        <v>1556.9094724057727</v>
      </c>
      <c r="AK138" s="17">
        <f t="shared" si="198"/>
        <v>3787.6148715936656</v>
      </c>
      <c r="AL138" s="17">
        <f t="shared" si="199"/>
        <v>63756.933260319267</v>
      </c>
      <c r="AM138" s="110">
        <f t="shared" si="200"/>
        <v>76409.327999999994</v>
      </c>
      <c r="AN138" s="17">
        <f>SUMIF('20.01'!$K:$K,$B:$B,'20.01'!$D:$D)*1.2</f>
        <v>76409.327999999994</v>
      </c>
      <c r="AO138" s="17">
        <f>SUMIF('20.01'!$L:$L,$B:$B,'20.01'!$D:$D)*1.2</f>
        <v>0</v>
      </c>
      <c r="AP138" s="17">
        <f>SUMIF('20.01'!$M:$M,$B:$B,'20.01'!$D:$D)*1.2</f>
        <v>0</v>
      </c>
      <c r="AQ138" s="110">
        <f t="shared" si="201"/>
        <v>1409.4144569529415</v>
      </c>
      <c r="AR138" s="17">
        <f t="shared" si="202"/>
        <v>1409.4144569529415</v>
      </c>
      <c r="AS138" s="17">
        <f>(SUMIF('20.01'!$N:$N,$B:$B,'20.01'!$D:$D)+SUMIF('20.01'!$O:$O,$B:$B,'20.01'!$D:$D))*1.2</f>
        <v>0</v>
      </c>
      <c r="AT138" s="110">
        <f>SUMIF('20.01'!$P:$P,$B:$B,'20.01'!$D:$D)*1.2</f>
        <v>0</v>
      </c>
      <c r="AU138" s="110">
        <f t="shared" si="203"/>
        <v>0</v>
      </c>
      <c r="AV138" s="17">
        <f>SUMIF('20.01'!$Q:$Q,$B:$B,'20.01'!$D:$D)*1.2</f>
        <v>0</v>
      </c>
      <c r="AW138" s="17">
        <f>SUMIF('20.01'!$R:$R,$B:$B,'20.01'!$D:$D)*1.2</f>
        <v>0</v>
      </c>
      <c r="AX138" s="110">
        <f t="shared" si="204"/>
        <v>69768.923999999999</v>
      </c>
      <c r="AY138" s="17">
        <f>SUMIF('20.01'!$S:$S,$B:$B,'20.01'!$D:$D)*1.2</f>
        <v>69768.923999999999</v>
      </c>
      <c r="AZ138" s="17">
        <f>SUMIF('20.01'!$T:$T,$B:$B,'20.01'!$D:$D)*1.2</f>
        <v>0</v>
      </c>
      <c r="BA138" s="110">
        <f t="shared" si="205"/>
        <v>0</v>
      </c>
      <c r="BB138" s="17">
        <f>SUMIF('20.01'!$U:$U,$B:$B,'20.01'!$D:$D)*1.2</f>
        <v>0</v>
      </c>
      <c r="BC138" s="17">
        <f>SUMIF('20.01'!$V:$V,$B:$B,'20.01'!$D:$D)*1.2</f>
        <v>0</v>
      </c>
      <c r="BD138" s="17">
        <f>SUMIF('20.01'!$W:$W,$B:$B,'20.01'!$D:$D)*1.2</f>
        <v>0</v>
      </c>
      <c r="BE138" s="110">
        <f>SUMIF('20.01'!$X:$X,$B:$B,'20.01'!$D:$D)*1.2</f>
        <v>0</v>
      </c>
      <c r="BF138" s="110">
        <f t="shared" si="206"/>
        <v>143925.6</v>
      </c>
      <c r="BG138" s="17">
        <f>SUMIF('20.01'!$Y:$Y,$B:$B,'20.01'!$D:$D)*1.2</f>
        <v>0</v>
      </c>
      <c r="BH138" s="17">
        <f>SUMIF('20.01'!$Z:$Z,$B:$B,'20.01'!$D:$D)*1.2</f>
        <v>143925.6</v>
      </c>
      <c r="BI138" s="17">
        <f>SUMIF('20.01'!$AA:$AA,$B:$B,'20.01'!$D:$D)*1.2</f>
        <v>0</v>
      </c>
      <c r="BJ138" s="17">
        <f>SUMIF('20.01'!$AB:$AB,$B:$B,'20.01'!$D:$D)*1.2</f>
        <v>0</v>
      </c>
      <c r="BK138" s="17">
        <f>SUMIF('20.01'!$AC:$AC,$B:$B,'20.01'!$D:$D)*1.2</f>
        <v>0</v>
      </c>
      <c r="BL138" s="17">
        <f>SUMIF('20.01'!$AD:$AD,$B:$B,'20.01'!$D:$D)*1.2</f>
        <v>0</v>
      </c>
      <c r="BM138" s="110">
        <f t="shared" si="207"/>
        <v>0</v>
      </c>
      <c r="BN138" s="17">
        <f>SUMIF('20.01'!$AE:$AE,$B:$B,'20.01'!$D:$D)*1.2</f>
        <v>0</v>
      </c>
      <c r="BO138" s="17">
        <f>SUMIF('20.01'!$AF:$AF,$B:$B,'20.01'!$D:$D)*1.2</f>
        <v>0</v>
      </c>
      <c r="BP138" s="110">
        <f>SUMIF('20.01'!$AG:$AG,$B:$B,'20.01'!$D:$D)*1.2</f>
        <v>0</v>
      </c>
      <c r="BQ138" s="110">
        <f>SUMIF('20.01'!$AH:$AH,$B:$B,'20.01'!$D:$D)*1.2</f>
        <v>0</v>
      </c>
      <c r="BR138" s="110">
        <f>SUMIF('20.01'!$AI:$AI,$B:$B,'20.01'!$D:$D)*1.2</f>
        <v>0</v>
      </c>
      <c r="BS138" s="110">
        <f t="shared" si="208"/>
        <v>0</v>
      </c>
      <c r="BT138" s="17">
        <f>SUMIF('20.01'!$AJ:$AJ,$B:$B,'20.01'!$D:$D)*1.2</f>
        <v>0</v>
      </c>
      <c r="BU138" s="17">
        <f>SUMIF('20.01'!$AK:$AK,$B:$B,'20.01'!$D:$D)*1.2</f>
        <v>0</v>
      </c>
      <c r="BV138" s="110">
        <f>SUMIF('20.01'!$AL:$AL,$B:$B,'20.01'!$D:$D)*1.2</f>
        <v>0</v>
      </c>
      <c r="BW138" s="110">
        <f>SUMIF('20.01'!$AM:$AM,$B:$B,'20.01'!$D:$D)*1.2</f>
        <v>0</v>
      </c>
      <c r="BX138" s="110">
        <f>SUMIF('20.01'!$AN:$AN,$B:$B,'20.01'!$D:$D)*1.2</f>
        <v>0</v>
      </c>
      <c r="BY138" s="110">
        <f t="shared" si="158"/>
        <v>507783.94503470178</v>
      </c>
      <c r="BZ138" s="17">
        <f t="shared" si="225"/>
        <v>435704.31136291614</v>
      </c>
      <c r="CA138" s="17">
        <f t="shared" si="159"/>
        <v>31118.579496600694</v>
      </c>
      <c r="CB138" s="17">
        <f t="shared" si="160"/>
        <v>2068.6037874594631</v>
      </c>
      <c r="CC138" s="17">
        <f>SUMIF('20.01'!$AO:$AO,$B:$B,'20.01'!$D:$D)*1.2</f>
        <v>0</v>
      </c>
      <c r="CD138" s="17">
        <f t="shared" si="161"/>
        <v>32474.978483712071</v>
      </c>
      <c r="CE138" s="17">
        <f>SUMIF('20.01'!$AQ:$AQ,$B:$B,'20.01'!$D:$D)*1.2</f>
        <v>0</v>
      </c>
      <c r="CF138" s="17">
        <f t="shared" si="162"/>
        <v>2954.7096786309571</v>
      </c>
      <c r="CG138" s="17">
        <f>SUMIF('20.01'!$AR:$AR,$B:$B,'20.01'!$D:$D)*1.2</f>
        <v>0</v>
      </c>
      <c r="CH138" s="17">
        <f t="shared" si="163"/>
        <v>1740.1096034012678</v>
      </c>
      <c r="CI138" s="17">
        <f>SUMIF('20.01'!$AT:$AT,$B:$B,'20.01'!$D:$D)*1.2</f>
        <v>0</v>
      </c>
      <c r="CJ138" s="17">
        <f>SUMIF('20.01'!$AU:$AU,$B:$B,'20.01'!$D:$D)*1.2</f>
        <v>0</v>
      </c>
      <c r="CK138" s="17">
        <f>SUMIF('20.01'!$AV:$AV,$B:$B,'20.01'!$D:$D)*1.2</f>
        <v>0</v>
      </c>
      <c r="CL138" s="17">
        <f t="shared" si="164"/>
        <v>1722.6526219811908</v>
      </c>
      <c r="CM138" s="17">
        <f>SUMIF('20.01'!$AW:$AW,$B:$B,'20.01'!$D:$D)*1.2</f>
        <v>0</v>
      </c>
      <c r="CN138" s="17">
        <f>SUMIF('20.01'!$AX:$AX,$B:$B,'20.01'!$D:$D)*1.2</f>
        <v>0</v>
      </c>
      <c r="CO138" s="110">
        <f t="shared" si="209"/>
        <v>577883.49613846932</v>
      </c>
      <c r="CP138" s="17">
        <f t="shared" si="210"/>
        <v>455858.41325183911</v>
      </c>
      <c r="CQ138" s="17">
        <f t="shared" si="165"/>
        <v>140638.59293625207</v>
      </c>
      <c r="CR138" s="17">
        <f t="shared" si="166"/>
        <v>315219.82031558704</v>
      </c>
      <c r="CS138" s="17">
        <f t="shared" si="211"/>
        <v>122025.0828866302</v>
      </c>
      <c r="CT138" s="17">
        <f t="shared" si="167"/>
        <v>4445.4808131126656</v>
      </c>
      <c r="CU138" s="17">
        <f t="shared" si="168"/>
        <v>4299.817954911141</v>
      </c>
      <c r="CV138" s="17">
        <f t="shared" si="169"/>
        <v>4443.955833438712</v>
      </c>
      <c r="CW138" s="17">
        <f t="shared" si="170"/>
        <v>46.599769907593533</v>
      </c>
      <c r="CX138" s="17">
        <f t="shared" si="171"/>
        <v>65617.161011271688</v>
      </c>
      <c r="CY138" s="17">
        <f t="shared" si="172"/>
        <v>43172.067503988401</v>
      </c>
      <c r="CZ138" s="110">
        <f t="shared" si="212"/>
        <v>143445.81224694336</v>
      </c>
      <c r="DA138" s="17">
        <f t="shared" si="213"/>
        <v>5418.5778962318072</v>
      </c>
      <c r="DB138" s="17">
        <f t="shared" si="173"/>
        <v>5142.0316559137564</v>
      </c>
      <c r="DC138" s="17">
        <f t="shared" si="174"/>
        <v>276.54624031805071</v>
      </c>
      <c r="DD138" s="17">
        <f t="shared" si="175"/>
        <v>9548.1558100401562</v>
      </c>
      <c r="DE138" s="17">
        <f t="shared" si="176"/>
        <v>3294.3653457667883</v>
      </c>
      <c r="DF138" s="17">
        <f t="shared" si="177"/>
        <v>3998.1713023642228</v>
      </c>
      <c r="DG138" s="17">
        <f t="shared" si="214"/>
        <v>121186.54189254039</v>
      </c>
      <c r="DH138" s="110">
        <f t="shared" si="215"/>
        <v>89521.392431222877</v>
      </c>
      <c r="DI138" s="17">
        <f t="shared" si="178"/>
        <v>80304.339001174521</v>
      </c>
      <c r="DJ138" s="17">
        <f t="shared" si="179"/>
        <v>8881.1880211820899</v>
      </c>
      <c r="DK138" s="17">
        <f t="shared" si="180"/>
        <v>335.86540886627256</v>
      </c>
      <c r="DL138" s="110">
        <f t="shared" si="216"/>
        <v>677420.91792566469</v>
      </c>
      <c r="DM138" s="17">
        <f t="shared" si="181"/>
        <v>282070.21213819971</v>
      </c>
      <c r="DN138" s="17">
        <f t="shared" si="182"/>
        <v>250137.73529236577</v>
      </c>
      <c r="DO138" s="17">
        <f t="shared" si="183"/>
        <v>145212.97049509926</v>
      </c>
      <c r="DP138" s="110">
        <f t="shared" si="217"/>
        <v>230879.96978594683</v>
      </c>
      <c r="DQ138" s="17">
        <f>SUMIF('20.01'!$BB:$BB,$B:$B,'20.01'!$D:$D)*1.2</f>
        <v>13118.975999999999</v>
      </c>
      <c r="DR138" s="17">
        <f t="shared" si="184"/>
        <v>216158.5929388337</v>
      </c>
      <c r="DS138" s="17">
        <f t="shared" si="185"/>
        <v>1602.4008471131426</v>
      </c>
      <c r="DT138" s="110">
        <f t="shared" si="218"/>
        <v>0</v>
      </c>
      <c r="DU138" s="17">
        <f>SUMIF('20.01'!$BD:$BD,$B:$B,'20.01'!$D:$D)*1.2</f>
        <v>0</v>
      </c>
      <c r="DV138" s="17">
        <f t="shared" si="186"/>
        <v>0</v>
      </c>
      <c r="DW138" s="17">
        <f t="shared" si="187"/>
        <v>0</v>
      </c>
      <c r="DX138" s="110">
        <f t="shared" si="188"/>
        <v>2665697.1648637699</v>
      </c>
      <c r="DY138" s="110"/>
      <c r="DZ138" s="110">
        <f t="shared" si="219"/>
        <v>2665697.1648637699</v>
      </c>
      <c r="EA138" s="257"/>
      <c r="EB138" s="110">
        <f t="shared" si="189"/>
        <v>1773.1084337349396</v>
      </c>
      <c r="EC138" s="110">
        <f>SUMIF(еирц!$B:$B,$B:$B,еирц!$K:$K)</f>
        <v>2426958.96</v>
      </c>
      <c r="ED138" s="110">
        <f>SUMIF(еирц!$B:$B,$B:$B,еирц!$P:$P)</f>
        <v>2403007.67</v>
      </c>
      <c r="EE138" s="110">
        <f>SUMIF(еирц!$B:$B,$B:$B,еирц!$S:$S)</f>
        <v>267128.78999999998</v>
      </c>
      <c r="EF138" s="177">
        <f t="shared" si="220"/>
        <v>-236965.09643003484</v>
      </c>
      <c r="EG138" s="181">
        <f t="shared" si="221"/>
        <v>0</v>
      </c>
      <c r="EH138" s="177">
        <f t="shared" si="222"/>
        <v>-236965.09643003484</v>
      </c>
    </row>
    <row r="139" spans="1:138" ht="12" customHeight="1" x14ac:dyDescent="0.25">
      <c r="A139" s="5">
        <f t="shared" si="223"/>
        <v>135</v>
      </c>
      <c r="B139" s="6" t="s">
        <v>219</v>
      </c>
      <c r="C139" s="7">
        <f t="shared" si="84"/>
        <v>9584.2799999999916</v>
      </c>
      <c r="D139" s="8">
        <v>9508.9799999999923</v>
      </c>
      <c r="E139" s="8">
        <v>75.3</v>
      </c>
      <c r="F139" s="8">
        <v>1379.8</v>
      </c>
      <c r="G139" s="87">
        <f t="shared" si="156"/>
        <v>9584.2799999999916</v>
      </c>
      <c r="H139" s="87">
        <f t="shared" si="157"/>
        <v>9584.2799999999916</v>
      </c>
      <c r="I139" s="91">
        <v>8</v>
      </c>
      <c r="J139" s="112">
        <v>1.5106302638306956E-2</v>
      </c>
      <c r="K139" s="17">
        <v>4</v>
      </c>
      <c r="L139" s="112">
        <f t="shared" si="190"/>
        <v>9.638554216867469E-3</v>
      </c>
      <c r="M139" s="116">
        <v>3.4064165987792809</v>
      </c>
      <c r="N139" s="120">
        <f t="shared" si="191"/>
        <v>9584.2799999999916</v>
      </c>
      <c r="O139" s="116">
        <v>3.0862319617992462</v>
      </c>
      <c r="P139" s="120">
        <f t="shared" si="192"/>
        <v>9584.2799999999916</v>
      </c>
      <c r="Q139" s="116">
        <v>1.6009266189575007</v>
      </c>
      <c r="R139" s="120">
        <f t="shared" si="193"/>
        <v>9584.2799999999916</v>
      </c>
      <c r="S139" s="5" t="s">
        <v>73</v>
      </c>
      <c r="T139" s="87">
        <v>41.34</v>
      </c>
      <c r="U139" s="88">
        <v>4.68</v>
      </c>
      <c r="V139" s="88">
        <v>7.92</v>
      </c>
      <c r="W139" s="88">
        <v>12.32</v>
      </c>
      <c r="X139" s="88">
        <v>6.34</v>
      </c>
      <c r="Y139" s="88">
        <v>2.89</v>
      </c>
      <c r="Z139" s="88">
        <v>1.66</v>
      </c>
      <c r="AA139" s="88">
        <v>5.29</v>
      </c>
      <c r="AB139" s="88">
        <v>0.24</v>
      </c>
      <c r="AC139" s="257"/>
      <c r="AD139" s="110">
        <f t="shared" si="194"/>
        <v>303573.46341239713</v>
      </c>
      <c r="AE139" s="110">
        <f t="shared" si="195"/>
        <v>300881.12358055898</v>
      </c>
      <c r="AF139" s="16">
        <f>SUMIF('20.01'!$I:$I,$B:$B,'20.01'!$D:$D)*1.2</f>
        <v>100238.004</v>
      </c>
      <c r="AG139" s="17">
        <f t="shared" si="224"/>
        <v>61323.226025128693</v>
      </c>
      <c r="AH139" s="17">
        <f t="shared" si="196"/>
        <v>7318.5465929488182</v>
      </c>
      <c r="AI139" s="16">
        <f>SUMIF('20.01'!$J:$J,$B:$B,'20.01'!$D:$D)*1.2</f>
        <v>0</v>
      </c>
      <c r="AJ139" s="17">
        <f t="shared" si="197"/>
        <v>2974.0927989247534</v>
      </c>
      <c r="AK139" s="17">
        <f t="shared" si="198"/>
        <v>7235.3070710659376</v>
      </c>
      <c r="AL139" s="17">
        <f t="shared" si="199"/>
        <v>121791.94709249081</v>
      </c>
      <c r="AM139" s="110">
        <f t="shared" si="200"/>
        <v>0</v>
      </c>
      <c r="AN139" s="17">
        <f>SUMIF('20.01'!$K:$K,$B:$B,'20.01'!$D:$D)*1.2</f>
        <v>0</v>
      </c>
      <c r="AO139" s="17">
        <f>SUMIF('20.01'!$L:$L,$B:$B,'20.01'!$D:$D)*1.2</f>
        <v>0</v>
      </c>
      <c r="AP139" s="17">
        <f>SUMIF('20.01'!$M:$M,$B:$B,'20.01'!$D:$D)*1.2</f>
        <v>0</v>
      </c>
      <c r="AQ139" s="110">
        <f t="shared" si="201"/>
        <v>2692.3398318381528</v>
      </c>
      <c r="AR139" s="17">
        <f t="shared" si="202"/>
        <v>2692.3398318381528</v>
      </c>
      <c r="AS139" s="17">
        <f>(SUMIF('20.01'!$N:$N,$B:$B,'20.01'!$D:$D)+SUMIF('20.01'!$O:$O,$B:$B,'20.01'!$D:$D))*1.2</f>
        <v>0</v>
      </c>
      <c r="AT139" s="110">
        <f>SUMIF('20.01'!$P:$P,$B:$B,'20.01'!$D:$D)*1.2</f>
        <v>0</v>
      </c>
      <c r="AU139" s="110">
        <f t="shared" si="203"/>
        <v>0</v>
      </c>
      <c r="AV139" s="17">
        <f>SUMIF('20.01'!$Q:$Q,$B:$B,'20.01'!$D:$D)*1.2</f>
        <v>0</v>
      </c>
      <c r="AW139" s="17">
        <f>SUMIF('20.01'!$R:$R,$B:$B,'20.01'!$D:$D)*1.2</f>
        <v>0</v>
      </c>
      <c r="AX139" s="110">
        <f t="shared" si="204"/>
        <v>0</v>
      </c>
      <c r="AY139" s="17">
        <f>SUMIF('20.01'!$S:$S,$B:$B,'20.01'!$D:$D)*1.2</f>
        <v>0</v>
      </c>
      <c r="AZ139" s="17">
        <f>SUMIF('20.01'!$T:$T,$B:$B,'20.01'!$D:$D)*1.2</f>
        <v>0</v>
      </c>
      <c r="BA139" s="110">
        <f t="shared" si="205"/>
        <v>0</v>
      </c>
      <c r="BB139" s="17">
        <f>SUMIF('20.01'!$U:$U,$B:$B,'20.01'!$D:$D)*1.2</f>
        <v>0</v>
      </c>
      <c r="BC139" s="17">
        <f>SUMIF('20.01'!$V:$V,$B:$B,'20.01'!$D:$D)*1.2</f>
        <v>0</v>
      </c>
      <c r="BD139" s="17">
        <f>SUMIF('20.01'!$W:$W,$B:$B,'20.01'!$D:$D)*1.2</f>
        <v>0</v>
      </c>
      <c r="BE139" s="110">
        <f>SUMIF('20.01'!$X:$X,$B:$B,'20.01'!$D:$D)*1.2</f>
        <v>0</v>
      </c>
      <c r="BF139" s="110">
        <f t="shared" si="206"/>
        <v>0</v>
      </c>
      <c r="BG139" s="17">
        <f>SUMIF('20.01'!$Y:$Y,$B:$B,'20.01'!$D:$D)*1.2</f>
        <v>0</v>
      </c>
      <c r="BH139" s="17">
        <f>SUMIF('20.01'!$Z:$Z,$B:$B,'20.01'!$D:$D)*1.2</f>
        <v>0</v>
      </c>
      <c r="BI139" s="17">
        <f>SUMIF('20.01'!$AA:$AA,$B:$B,'20.01'!$D:$D)*1.2</f>
        <v>0</v>
      </c>
      <c r="BJ139" s="17">
        <f>SUMIF('20.01'!$AB:$AB,$B:$B,'20.01'!$D:$D)*1.2</f>
        <v>0</v>
      </c>
      <c r="BK139" s="17">
        <f>SUMIF('20.01'!$AC:$AC,$B:$B,'20.01'!$D:$D)*1.2</f>
        <v>0</v>
      </c>
      <c r="BL139" s="17">
        <f>SUMIF('20.01'!$AD:$AD,$B:$B,'20.01'!$D:$D)*1.2</f>
        <v>0</v>
      </c>
      <c r="BM139" s="110">
        <f t="shared" si="207"/>
        <v>0</v>
      </c>
      <c r="BN139" s="17">
        <f>SUMIF('20.01'!$AE:$AE,$B:$B,'20.01'!$D:$D)*1.2</f>
        <v>0</v>
      </c>
      <c r="BO139" s="17">
        <f>SUMIF('20.01'!$AF:$AF,$B:$B,'20.01'!$D:$D)*1.2</f>
        <v>0</v>
      </c>
      <c r="BP139" s="110">
        <f>SUMIF('20.01'!$AG:$AG,$B:$B,'20.01'!$D:$D)*1.2</f>
        <v>0</v>
      </c>
      <c r="BQ139" s="110">
        <f>SUMIF('20.01'!$AH:$AH,$B:$B,'20.01'!$D:$D)*1.2</f>
        <v>0</v>
      </c>
      <c r="BR139" s="110">
        <f>SUMIF('20.01'!$AI:$AI,$B:$B,'20.01'!$D:$D)*1.2</f>
        <v>0</v>
      </c>
      <c r="BS139" s="110">
        <f t="shared" si="208"/>
        <v>0</v>
      </c>
      <c r="BT139" s="17">
        <f>SUMIF('20.01'!$AJ:$AJ,$B:$B,'20.01'!$D:$D)*1.2</f>
        <v>0</v>
      </c>
      <c r="BU139" s="17">
        <f>SUMIF('20.01'!$AK:$AK,$B:$B,'20.01'!$D:$D)*1.2</f>
        <v>0</v>
      </c>
      <c r="BV139" s="110">
        <f>SUMIF('20.01'!$AL:$AL,$B:$B,'20.01'!$D:$D)*1.2</f>
        <v>0</v>
      </c>
      <c r="BW139" s="110">
        <f>SUMIF('20.01'!$AM:$AM,$B:$B,'20.01'!$D:$D)*1.2</f>
        <v>0</v>
      </c>
      <c r="BX139" s="110">
        <f>SUMIF('20.01'!$AN:$AN,$B:$B,'20.01'!$D:$D)*1.2</f>
        <v>0</v>
      </c>
      <c r="BY139" s="110">
        <f t="shared" si="158"/>
        <v>969996.39420506486</v>
      </c>
      <c r="BZ139" s="17">
        <f t="shared" si="225"/>
        <v>832305.97401567514</v>
      </c>
      <c r="CA139" s="17">
        <f t="shared" si="159"/>
        <v>59444.395987004886</v>
      </c>
      <c r="CB139" s="17">
        <f t="shared" si="160"/>
        <v>3951.5589937320551</v>
      </c>
      <c r="CC139" s="17">
        <f>SUMIF('20.01'!$AO:$AO,$B:$B,'20.01'!$D:$D)*1.2</f>
        <v>0</v>
      </c>
      <c r="CD139" s="17">
        <f t="shared" si="161"/>
        <v>62035.462796948079</v>
      </c>
      <c r="CE139" s="17">
        <f>SUMIF('20.01'!$AQ:$AQ,$B:$B,'20.01'!$D:$D)*1.2</f>
        <v>0</v>
      </c>
      <c r="CF139" s="17">
        <f t="shared" si="162"/>
        <v>5644.2464599761397</v>
      </c>
      <c r="CG139" s="17">
        <f>SUMIF('20.01'!$AR:$AR,$B:$B,'20.01'!$D:$D)*1.2</f>
        <v>0</v>
      </c>
      <c r="CH139" s="17">
        <f t="shared" si="163"/>
        <v>3324.0516115677597</v>
      </c>
      <c r="CI139" s="17">
        <f>SUMIF('20.01'!$AT:$AT,$B:$B,'20.01'!$D:$D)*1.2</f>
        <v>0</v>
      </c>
      <c r="CJ139" s="17">
        <f>SUMIF('20.01'!$AU:$AU,$B:$B,'20.01'!$D:$D)*1.2</f>
        <v>0</v>
      </c>
      <c r="CK139" s="17">
        <f>SUMIF('20.01'!$AV:$AV,$B:$B,'20.01'!$D:$D)*1.2</f>
        <v>0</v>
      </c>
      <c r="CL139" s="17">
        <f t="shared" si="164"/>
        <v>3290.7043401607793</v>
      </c>
      <c r="CM139" s="17">
        <f>SUMIF('20.01'!$AW:$AW,$B:$B,'20.01'!$D:$D)*1.2</f>
        <v>0</v>
      </c>
      <c r="CN139" s="17">
        <f>SUMIF('20.01'!$AX:$AX,$B:$B,'20.01'!$D:$D)*1.2</f>
        <v>0</v>
      </c>
      <c r="CO139" s="110">
        <f t="shared" si="209"/>
        <v>1103904.3534285517</v>
      </c>
      <c r="CP139" s="17">
        <f t="shared" si="210"/>
        <v>870805.43102265231</v>
      </c>
      <c r="CQ139" s="17">
        <f t="shared" si="165"/>
        <v>268655.45744049782</v>
      </c>
      <c r="CR139" s="17">
        <f t="shared" si="166"/>
        <v>602149.97358215449</v>
      </c>
      <c r="CS139" s="17">
        <f t="shared" si="211"/>
        <v>233098.92240589944</v>
      </c>
      <c r="CT139" s="17">
        <f t="shared" si="167"/>
        <v>8491.9982236389878</v>
      </c>
      <c r="CU139" s="17">
        <f t="shared" si="168"/>
        <v>8213.7451425664331</v>
      </c>
      <c r="CV139" s="17">
        <f t="shared" si="169"/>
        <v>8489.0851248704366</v>
      </c>
      <c r="CW139" s="17">
        <f t="shared" si="170"/>
        <v>89.017404396396088</v>
      </c>
      <c r="CX139" s="17">
        <f t="shared" si="171"/>
        <v>125345.45489530392</v>
      </c>
      <c r="CY139" s="17">
        <f t="shared" si="172"/>
        <v>82469.621615123251</v>
      </c>
      <c r="CZ139" s="110">
        <f t="shared" si="212"/>
        <v>274017.95981131872</v>
      </c>
      <c r="DA139" s="17">
        <f t="shared" si="213"/>
        <v>10350.860976325128</v>
      </c>
      <c r="DB139" s="17">
        <f t="shared" si="173"/>
        <v>9822.5873698779124</v>
      </c>
      <c r="DC139" s="17">
        <f t="shared" si="174"/>
        <v>528.27360644721546</v>
      </c>
      <c r="DD139" s="17">
        <f t="shared" si="175"/>
        <v>18239.40437190103</v>
      </c>
      <c r="DE139" s="17">
        <f t="shared" si="176"/>
        <v>6293.0751116393121</v>
      </c>
      <c r="DF139" s="17">
        <f t="shared" si="177"/>
        <v>7637.5233692007105</v>
      </c>
      <c r="DG139" s="17">
        <f t="shared" si="214"/>
        <v>231497.09598225256</v>
      </c>
      <c r="DH139" s="110">
        <f t="shared" si="215"/>
        <v>171008.61244553226</v>
      </c>
      <c r="DI139" s="17">
        <f t="shared" si="178"/>
        <v>153401.69777293201</v>
      </c>
      <c r="DJ139" s="17">
        <f t="shared" si="179"/>
        <v>16965.32637757012</v>
      </c>
      <c r="DK139" s="17">
        <f t="shared" si="180"/>
        <v>641.58829503014306</v>
      </c>
      <c r="DL139" s="110">
        <f t="shared" si="216"/>
        <v>1294046.1276342131</v>
      </c>
      <c r="DM139" s="17">
        <f t="shared" si="181"/>
        <v>538825.7966053125</v>
      </c>
      <c r="DN139" s="17">
        <f t="shared" si="182"/>
        <v>477826.64981980546</v>
      </c>
      <c r="DO139" s="17">
        <f t="shared" si="183"/>
        <v>277393.68120909511</v>
      </c>
      <c r="DP139" s="110">
        <f t="shared" si="217"/>
        <v>440983.12412449653</v>
      </c>
      <c r="DQ139" s="17">
        <f>SUMIF('20.01'!$BB:$BB,$B:$B,'20.01'!$D:$D)*1.2</f>
        <v>23776.967999999997</v>
      </c>
      <c r="DR139" s="17">
        <f t="shared" si="184"/>
        <v>414136.13202894223</v>
      </c>
      <c r="DS139" s="17">
        <f t="shared" si="185"/>
        <v>3070.02409555432</v>
      </c>
      <c r="DT139" s="110">
        <f t="shared" si="218"/>
        <v>18111.624</v>
      </c>
      <c r="DU139" s="17">
        <f>SUMIF('20.01'!$BD:$BD,$B:$B,'20.01'!$D:$D)*1.2</f>
        <v>18111.624</v>
      </c>
      <c r="DV139" s="17">
        <f t="shared" si="186"/>
        <v>0</v>
      </c>
      <c r="DW139" s="17">
        <f t="shared" si="187"/>
        <v>0</v>
      </c>
      <c r="DX139" s="110">
        <f t="shared" si="188"/>
        <v>4575641.6590615744</v>
      </c>
      <c r="DY139" s="110">
        <f>EC139*EG139</f>
        <v>370138.18</v>
      </c>
      <c r="DZ139" s="110">
        <f t="shared" si="219"/>
        <v>4945779.8390615741</v>
      </c>
      <c r="EA139" s="257"/>
      <c r="EB139" s="110">
        <f t="shared" si="189"/>
        <v>3546.2168674698792</v>
      </c>
      <c r="EC139" s="110">
        <f>SUMIF(еирц!$B:$B,$B:$B,еирц!$K:$K)</f>
        <v>4626727.25</v>
      </c>
      <c r="ED139" s="110">
        <f>SUMIF(еирц!$B:$B,$B:$B,еирц!$P:$P)</f>
        <v>4351485.3199999994</v>
      </c>
      <c r="EE139" s="110">
        <f>SUMIF(еирц!$B:$B,$B:$B,еирц!$S:$S)</f>
        <v>1415166.1199999999</v>
      </c>
      <c r="EF139" s="177">
        <f t="shared" si="220"/>
        <v>54631.807805895805</v>
      </c>
      <c r="EG139" s="182">
        <v>0.08</v>
      </c>
      <c r="EH139" s="177">
        <f t="shared" si="222"/>
        <v>-315506.3721941039</v>
      </c>
    </row>
    <row r="140" spans="1:138" ht="12" customHeight="1" x14ac:dyDescent="0.25">
      <c r="A140" s="5">
        <f t="shared" si="223"/>
        <v>136</v>
      </c>
      <c r="B140" s="6" t="s">
        <v>220</v>
      </c>
      <c r="C140" s="7">
        <f t="shared" ref="C140:C204" si="226">SUM(D140:E140)</f>
        <v>3036.2</v>
      </c>
      <c r="D140" s="8">
        <v>3036.2</v>
      </c>
      <c r="E140" s="8">
        <v>0</v>
      </c>
      <c r="F140" s="8">
        <v>498</v>
      </c>
      <c r="G140" s="87">
        <f t="shared" si="156"/>
        <v>3036.2</v>
      </c>
      <c r="H140" s="87">
        <f t="shared" si="157"/>
        <v>3036.2</v>
      </c>
      <c r="I140" s="91">
        <v>1</v>
      </c>
      <c r="J140" s="112">
        <v>4.7663196168243457E-3</v>
      </c>
      <c r="K140" s="17">
        <v>1</v>
      </c>
      <c r="L140" s="112">
        <f t="shared" si="190"/>
        <v>2.4096385542168672E-3</v>
      </c>
      <c r="M140" s="116">
        <v>3.4064179757511868</v>
      </c>
      <c r="N140" s="120">
        <f t="shared" si="191"/>
        <v>3036.2</v>
      </c>
      <c r="O140" s="116">
        <v>3.0862337374802324</v>
      </c>
      <c r="P140" s="120">
        <f t="shared" si="192"/>
        <v>3036.2</v>
      </c>
      <c r="Q140" s="116">
        <v>1.6009284132841333</v>
      </c>
      <c r="R140" s="120">
        <f t="shared" si="193"/>
        <v>3036.2</v>
      </c>
      <c r="S140" s="5" t="s">
        <v>73</v>
      </c>
      <c r="T140" s="87">
        <v>41.34</v>
      </c>
      <c r="U140" s="88">
        <v>4.68</v>
      </c>
      <c r="V140" s="88">
        <v>7.92</v>
      </c>
      <c r="W140" s="88">
        <v>12.32</v>
      </c>
      <c r="X140" s="88">
        <v>6.34</v>
      </c>
      <c r="Y140" s="88">
        <v>2.89</v>
      </c>
      <c r="Z140" s="88">
        <v>1.66</v>
      </c>
      <c r="AA140" s="88">
        <v>5.29</v>
      </c>
      <c r="AB140" s="88">
        <v>0.24</v>
      </c>
      <c r="AC140" s="257"/>
      <c r="AD140" s="110">
        <f t="shared" si="194"/>
        <v>137976.91802679395</v>
      </c>
      <c r="AE140" s="110">
        <f t="shared" si="195"/>
        <v>137124.01283230601</v>
      </c>
      <c r="AF140" s="16">
        <f>SUMIF('20.01'!$I:$I,$B:$B,'20.01'!$D:$D)*1.2</f>
        <v>73562.364000000001</v>
      </c>
      <c r="AG140" s="17">
        <f t="shared" si="224"/>
        <v>19426.558787670634</v>
      </c>
      <c r="AH140" s="17">
        <f t="shared" si="196"/>
        <v>2318.4392740520125</v>
      </c>
      <c r="AI140" s="16">
        <f>SUMIF('20.01'!$J:$J,$B:$B,'20.01'!$D:$D)*1.2</f>
        <v>0</v>
      </c>
      <c r="AJ140" s="17">
        <f t="shared" si="197"/>
        <v>942.16159754257433</v>
      </c>
      <c r="AK140" s="17">
        <f t="shared" si="198"/>
        <v>2292.0698611862776</v>
      </c>
      <c r="AL140" s="17">
        <f t="shared" si="199"/>
        <v>38582.419311854501</v>
      </c>
      <c r="AM140" s="110">
        <f t="shared" si="200"/>
        <v>0</v>
      </c>
      <c r="AN140" s="17">
        <f>SUMIF('20.01'!$K:$K,$B:$B,'20.01'!$D:$D)*1.2</f>
        <v>0</v>
      </c>
      <c r="AO140" s="17">
        <f>SUMIF('20.01'!$L:$L,$B:$B,'20.01'!$D:$D)*1.2</f>
        <v>0</v>
      </c>
      <c r="AP140" s="17">
        <f>SUMIF('20.01'!$M:$M,$B:$B,'20.01'!$D:$D)*1.2</f>
        <v>0</v>
      </c>
      <c r="AQ140" s="110">
        <f t="shared" si="201"/>
        <v>852.90519448795385</v>
      </c>
      <c r="AR140" s="17">
        <f t="shared" si="202"/>
        <v>852.90519448795385</v>
      </c>
      <c r="AS140" s="17">
        <f>(SUMIF('20.01'!$N:$N,$B:$B,'20.01'!$D:$D)+SUMIF('20.01'!$O:$O,$B:$B,'20.01'!$D:$D))*1.2</f>
        <v>0</v>
      </c>
      <c r="AT140" s="110">
        <f>SUMIF('20.01'!$P:$P,$B:$B,'20.01'!$D:$D)*1.2</f>
        <v>0</v>
      </c>
      <c r="AU140" s="110">
        <f t="shared" si="203"/>
        <v>0</v>
      </c>
      <c r="AV140" s="17">
        <f>SUMIF('20.01'!$Q:$Q,$B:$B,'20.01'!$D:$D)*1.2</f>
        <v>0</v>
      </c>
      <c r="AW140" s="17">
        <f>SUMIF('20.01'!$R:$R,$B:$B,'20.01'!$D:$D)*1.2</f>
        <v>0</v>
      </c>
      <c r="AX140" s="110">
        <f t="shared" si="204"/>
        <v>0</v>
      </c>
      <c r="AY140" s="17">
        <f>SUMIF('20.01'!$S:$S,$B:$B,'20.01'!$D:$D)*1.2</f>
        <v>0</v>
      </c>
      <c r="AZ140" s="17">
        <f>SUMIF('20.01'!$T:$T,$B:$B,'20.01'!$D:$D)*1.2</f>
        <v>0</v>
      </c>
      <c r="BA140" s="110">
        <f t="shared" si="205"/>
        <v>0</v>
      </c>
      <c r="BB140" s="17">
        <f>SUMIF('20.01'!$U:$U,$B:$B,'20.01'!$D:$D)*1.2</f>
        <v>0</v>
      </c>
      <c r="BC140" s="17">
        <f>SUMIF('20.01'!$V:$V,$B:$B,'20.01'!$D:$D)*1.2</f>
        <v>0</v>
      </c>
      <c r="BD140" s="17">
        <f>SUMIF('20.01'!$W:$W,$B:$B,'20.01'!$D:$D)*1.2</f>
        <v>0</v>
      </c>
      <c r="BE140" s="110">
        <f>SUMIF('20.01'!$X:$X,$B:$B,'20.01'!$D:$D)*1.2</f>
        <v>0</v>
      </c>
      <c r="BF140" s="110">
        <f t="shared" si="206"/>
        <v>0</v>
      </c>
      <c r="BG140" s="17">
        <f>SUMIF('20.01'!$Y:$Y,$B:$B,'20.01'!$D:$D)*1.2</f>
        <v>0</v>
      </c>
      <c r="BH140" s="17">
        <f>SUMIF('20.01'!$Z:$Z,$B:$B,'20.01'!$D:$D)*1.2</f>
        <v>0</v>
      </c>
      <c r="BI140" s="17">
        <f>SUMIF('20.01'!$AA:$AA,$B:$B,'20.01'!$D:$D)*1.2</f>
        <v>0</v>
      </c>
      <c r="BJ140" s="17">
        <f>SUMIF('20.01'!$AB:$AB,$B:$B,'20.01'!$D:$D)*1.2</f>
        <v>0</v>
      </c>
      <c r="BK140" s="17">
        <f>SUMIF('20.01'!$AC:$AC,$B:$B,'20.01'!$D:$D)*1.2</f>
        <v>0</v>
      </c>
      <c r="BL140" s="17">
        <f>SUMIF('20.01'!$AD:$AD,$B:$B,'20.01'!$D:$D)*1.2</f>
        <v>0</v>
      </c>
      <c r="BM140" s="110">
        <f t="shared" si="207"/>
        <v>0</v>
      </c>
      <c r="BN140" s="17">
        <f>SUMIF('20.01'!$AE:$AE,$B:$B,'20.01'!$D:$D)*1.2</f>
        <v>0</v>
      </c>
      <c r="BO140" s="17">
        <f>SUMIF('20.01'!$AF:$AF,$B:$B,'20.01'!$D:$D)*1.2</f>
        <v>0</v>
      </c>
      <c r="BP140" s="110">
        <f>SUMIF('20.01'!$AG:$AG,$B:$B,'20.01'!$D:$D)*1.2</f>
        <v>0</v>
      </c>
      <c r="BQ140" s="110">
        <f>SUMIF('20.01'!$AH:$AH,$B:$B,'20.01'!$D:$D)*1.2</f>
        <v>0</v>
      </c>
      <c r="BR140" s="110">
        <f>SUMIF('20.01'!$AI:$AI,$B:$B,'20.01'!$D:$D)*1.2</f>
        <v>0</v>
      </c>
      <c r="BS140" s="110">
        <f t="shared" si="208"/>
        <v>0</v>
      </c>
      <c r="BT140" s="17">
        <f>SUMIF('20.01'!$AJ:$AJ,$B:$B,'20.01'!$D:$D)*1.2</f>
        <v>0</v>
      </c>
      <c r="BU140" s="17">
        <f>SUMIF('20.01'!$AK:$AK,$B:$B,'20.01'!$D:$D)*1.2</f>
        <v>0</v>
      </c>
      <c r="BV140" s="110">
        <f>SUMIF('20.01'!$AL:$AL,$B:$B,'20.01'!$D:$D)*1.2</f>
        <v>0</v>
      </c>
      <c r="BW140" s="110">
        <f>SUMIF('20.01'!$AM:$AM,$B:$B,'20.01'!$D:$D)*1.2</f>
        <v>0</v>
      </c>
      <c r="BX140" s="110">
        <f>SUMIF('20.01'!$AN:$AN,$B:$B,'20.01'!$D:$D)*1.2</f>
        <v>0</v>
      </c>
      <c r="BY140" s="110">
        <f t="shared" si="158"/>
        <v>326484.74669828301</v>
      </c>
      <c r="BZ140" s="17">
        <f t="shared" si="225"/>
        <v>263665.85683080991</v>
      </c>
      <c r="CA140" s="17">
        <f t="shared" si="159"/>
        <v>18831.365016020442</v>
      </c>
      <c r="CB140" s="17">
        <f t="shared" si="160"/>
        <v>1251.8126992084199</v>
      </c>
      <c r="CC140" s="17">
        <f>SUMIF('20.01'!$AO:$AO,$B:$B,'20.01'!$D:$D)*1.2</f>
        <v>0</v>
      </c>
      <c r="CD140" s="17">
        <f t="shared" si="161"/>
        <v>19652.187972815267</v>
      </c>
      <c r="CE140" s="17">
        <f>SUMIF('20.01'!$AQ:$AQ,$B:$B,'20.01'!$D:$D)*1.2</f>
        <v>0</v>
      </c>
      <c r="CF140" s="17">
        <f t="shared" si="162"/>
        <v>1788.0384443880571</v>
      </c>
      <c r="CG140" s="17">
        <f>SUMIF('20.01'!$AR:$AR,$B:$B,'20.01'!$D:$D)*1.2</f>
        <v>0</v>
      </c>
      <c r="CH140" s="17">
        <f t="shared" si="163"/>
        <v>1053.0249015097681</v>
      </c>
      <c r="CI140" s="17">
        <f>SUMIF('20.01'!$AT:$AT,$B:$B,'20.01'!$D:$D)*1.2</f>
        <v>19200</v>
      </c>
      <c r="CJ140" s="17">
        <f>SUMIF('20.01'!$AU:$AU,$B:$B,'20.01'!$D:$D)*1.2</f>
        <v>0</v>
      </c>
      <c r="CK140" s="17">
        <f>SUMIF('20.01'!$AV:$AV,$B:$B,'20.01'!$D:$D)*1.2</f>
        <v>0</v>
      </c>
      <c r="CL140" s="17">
        <f t="shared" si="164"/>
        <v>1042.4608335311746</v>
      </c>
      <c r="CM140" s="17">
        <f>SUMIF('20.01'!$AW:$AW,$B:$B,'20.01'!$D:$D)*1.2</f>
        <v>0</v>
      </c>
      <c r="CN140" s="17">
        <f>SUMIF('20.01'!$AX:$AX,$B:$B,'20.01'!$D:$D)*1.2</f>
        <v>0</v>
      </c>
      <c r="CO140" s="110">
        <f t="shared" si="209"/>
        <v>349705.3923591309</v>
      </c>
      <c r="CP140" s="17">
        <f t="shared" si="210"/>
        <v>275862.08350246225</v>
      </c>
      <c r="CQ140" s="17">
        <f t="shared" si="165"/>
        <v>85107.248523711751</v>
      </c>
      <c r="CR140" s="17">
        <f t="shared" si="166"/>
        <v>190754.83497875053</v>
      </c>
      <c r="CS140" s="17">
        <f t="shared" si="211"/>
        <v>73843.308856668678</v>
      </c>
      <c r="CT140" s="17">
        <f t="shared" si="167"/>
        <v>2690.1765189051985</v>
      </c>
      <c r="CU140" s="17">
        <f t="shared" si="168"/>
        <v>2602.0288432579418</v>
      </c>
      <c r="CV140" s="17">
        <f t="shared" si="169"/>
        <v>2689.2536795806927</v>
      </c>
      <c r="CW140" s="17">
        <f t="shared" si="170"/>
        <v>28.199785818896988</v>
      </c>
      <c r="CX140" s="17">
        <f t="shared" si="171"/>
        <v>39708.133542960146</v>
      </c>
      <c r="CY140" s="17">
        <f t="shared" si="172"/>
        <v>26125.516486145796</v>
      </c>
      <c r="CZ140" s="110">
        <f t="shared" si="212"/>
        <v>86806.033377481304</v>
      </c>
      <c r="DA140" s="17">
        <f t="shared" si="213"/>
        <v>3279.0448626624407</v>
      </c>
      <c r="DB140" s="17">
        <f t="shared" si="173"/>
        <v>3111.6932907243258</v>
      </c>
      <c r="DC140" s="17">
        <f t="shared" si="174"/>
        <v>167.351571938115</v>
      </c>
      <c r="DD140" s="17">
        <f t="shared" si="175"/>
        <v>5778.0531822907878</v>
      </c>
      <c r="DE140" s="17">
        <f t="shared" si="176"/>
        <v>1993.580598016679</v>
      </c>
      <c r="DF140" s="17">
        <f t="shared" si="177"/>
        <v>2419.4877918390548</v>
      </c>
      <c r="DG140" s="17">
        <f t="shared" si="214"/>
        <v>73335.86694267235</v>
      </c>
      <c r="DH140" s="110">
        <f t="shared" si="215"/>
        <v>54173.745874194574</v>
      </c>
      <c r="DI140" s="17">
        <f t="shared" si="178"/>
        <v>48596.058835736912</v>
      </c>
      <c r="DJ140" s="17">
        <f t="shared" si="179"/>
        <v>5374.438554338818</v>
      </c>
      <c r="DK140" s="17">
        <f t="shared" si="180"/>
        <v>203.24848411884065</v>
      </c>
      <c r="DL140" s="110">
        <f t="shared" si="216"/>
        <v>409940.32443991629</v>
      </c>
      <c r="DM140" s="17">
        <f t="shared" si="181"/>
        <v>170694.39578696064</v>
      </c>
      <c r="DN140" s="17">
        <f t="shared" si="182"/>
        <v>151370.50192428587</v>
      </c>
      <c r="DO140" s="17">
        <f t="shared" si="183"/>
        <v>87875.426728669801</v>
      </c>
      <c r="DP140" s="110">
        <f t="shared" si="217"/>
        <v>131636.30663359558</v>
      </c>
      <c r="DQ140" s="17">
        <f>SUMIF('20.01'!$BB:$BB,$B:$B,'20.01'!$D:$D)*1.2</f>
        <v>0</v>
      </c>
      <c r="DR140" s="17">
        <f t="shared" si="184"/>
        <v>130667.65689705066</v>
      </c>
      <c r="DS140" s="17">
        <f t="shared" si="185"/>
        <v>968.64973654492735</v>
      </c>
      <c r="DT140" s="110">
        <f t="shared" si="218"/>
        <v>6827.424</v>
      </c>
      <c r="DU140" s="17">
        <f>SUMIF('20.01'!$BD:$BD,$B:$B,'20.01'!$D:$D)*1.2</f>
        <v>6827.424</v>
      </c>
      <c r="DV140" s="17">
        <f t="shared" si="186"/>
        <v>0</v>
      </c>
      <c r="DW140" s="17">
        <f t="shared" si="187"/>
        <v>0</v>
      </c>
      <c r="DX140" s="110">
        <f t="shared" si="188"/>
        <v>1503550.8914093957</v>
      </c>
      <c r="DY140" s="110"/>
      <c r="DZ140" s="110">
        <f t="shared" si="219"/>
        <v>1503550.8914093957</v>
      </c>
      <c r="EA140" s="257"/>
      <c r="EB140" s="110">
        <f t="shared" si="189"/>
        <v>886.55421686746979</v>
      </c>
      <c r="EC140" s="110">
        <f>SUMIF(еирц!$B:$B,$B:$B,еирц!$K:$K)</f>
        <v>1477233.6600000001</v>
      </c>
      <c r="ED140" s="110">
        <f>SUMIF(еирц!$B:$B,$B:$B,еирц!$P:$P)</f>
        <v>1472939.4100000001</v>
      </c>
      <c r="EE140" s="110">
        <f>SUMIF(еирц!$B:$B,$B:$B,еирц!$S:$S)</f>
        <v>259037.78</v>
      </c>
      <c r="EF140" s="177">
        <f t="shared" si="220"/>
        <v>-25430.677192528034</v>
      </c>
      <c r="EG140" s="181">
        <f t="shared" si="221"/>
        <v>0</v>
      </c>
      <c r="EH140" s="177">
        <f t="shared" si="222"/>
        <v>-25430.677192528034</v>
      </c>
    </row>
    <row r="141" spans="1:138" ht="12" customHeight="1" x14ac:dyDescent="0.25">
      <c r="A141" s="5">
        <f t="shared" si="223"/>
        <v>137</v>
      </c>
      <c r="B141" s="6" t="s">
        <v>221</v>
      </c>
      <c r="C141" s="7">
        <f t="shared" si="226"/>
        <v>3037.3</v>
      </c>
      <c r="D141" s="8">
        <v>3037.3</v>
      </c>
      <c r="E141" s="8">
        <v>0</v>
      </c>
      <c r="F141" s="8">
        <v>489.8</v>
      </c>
      <c r="G141" s="87">
        <f t="shared" si="156"/>
        <v>3037.3</v>
      </c>
      <c r="H141" s="87">
        <f t="shared" si="157"/>
        <v>3037.3</v>
      </c>
      <c r="I141" s="91">
        <v>1</v>
      </c>
      <c r="J141" s="112">
        <v>4.772105511504603E-3</v>
      </c>
      <c r="K141" s="17">
        <v>1</v>
      </c>
      <c r="L141" s="112">
        <f t="shared" si="190"/>
        <v>2.4096385542168672E-3</v>
      </c>
      <c r="M141" s="116">
        <v>3.4064167335394333</v>
      </c>
      <c r="N141" s="120">
        <f t="shared" si="191"/>
        <v>3037.3</v>
      </c>
      <c r="O141" s="116">
        <v>3.0862316121818067</v>
      </c>
      <c r="P141" s="120">
        <f t="shared" si="192"/>
        <v>3037.3</v>
      </c>
      <c r="Q141" s="116">
        <v>1.6009256067881341</v>
      </c>
      <c r="R141" s="120">
        <f t="shared" si="193"/>
        <v>3037.3</v>
      </c>
      <c r="S141" s="5" t="s">
        <v>73</v>
      </c>
      <c r="T141" s="87">
        <v>41.34</v>
      </c>
      <c r="U141" s="88">
        <v>4.68</v>
      </c>
      <c r="V141" s="88">
        <v>7.92</v>
      </c>
      <c r="W141" s="88">
        <v>12.32</v>
      </c>
      <c r="X141" s="88">
        <v>6.34</v>
      </c>
      <c r="Y141" s="88">
        <v>2.89</v>
      </c>
      <c r="Z141" s="88">
        <v>1.66</v>
      </c>
      <c r="AA141" s="88">
        <v>5.29</v>
      </c>
      <c r="AB141" s="88">
        <v>0.24</v>
      </c>
      <c r="AC141" s="257"/>
      <c r="AD141" s="110">
        <f t="shared" si="194"/>
        <v>407522.85909596906</v>
      </c>
      <c r="AE141" s="110">
        <f t="shared" si="195"/>
        <v>124821.14489821586</v>
      </c>
      <c r="AF141" s="16">
        <f>SUMIF('20.01'!$I:$I,$B:$B,'20.01'!$D:$D)*1.2</f>
        <v>61236.467999999993</v>
      </c>
      <c r="AG141" s="17">
        <f t="shared" si="224"/>
        <v>19433.596932281147</v>
      </c>
      <c r="AH141" s="17">
        <f t="shared" si="196"/>
        <v>2319.279232948481</v>
      </c>
      <c r="AI141" s="16">
        <f>SUMIF('20.01'!$J:$J,$B:$B,'20.01'!$D:$D)*1.2</f>
        <v>0</v>
      </c>
      <c r="AJ141" s="17">
        <f t="shared" si="197"/>
        <v>942.50293795404161</v>
      </c>
      <c r="AK141" s="17">
        <f t="shared" si="198"/>
        <v>2292.9002665769985</v>
      </c>
      <c r="AL141" s="17">
        <f t="shared" si="199"/>
        <v>38596.397528455207</v>
      </c>
      <c r="AM141" s="110">
        <f t="shared" si="200"/>
        <v>0</v>
      </c>
      <c r="AN141" s="17">
        <f>SUMIF('20.01'!$K:$K,$B:$B,'20.01'!$D:$D)*1.2</f>
        <v>0</v>
      </c>
      <c r="AO141" s="17">
        <f>SUMIF('20.01'!$L:$L,$B:$B,'20.01'!$D:$D)*1.2</f>
        <v>0</v>
      </c>
      <c r="AP141" s="17">
        <f>SUMIF('20.01'!$M:$M,$B:$B,'20.01'!$D:$D)*1.2</f>
        <v>0</v>
      </c>
      <c r="AQ141" s="110">
        <f t="shared" si="201"/>
        <v>853.21419775319896</v>
      </c>
      <c r="AR141" s="17">
        <f t="shared" si="202"/>
        <v>853.21419775319896</v>
      </c>
      <c r="AS141" s="17">
        <f>(SUMIF('20.01'!$N:$N,$B:$B,'20.01'!$D:$D)+SUMIF('20.01'!$O:$O,$B:$B,'20.01'!$D:$D))*1.2</f>
        <v>0</v>
      </c>
      <c r="AT141" s="110">
        <f>SUMIF('20.01'!$P:$P,$B:$B,'20.01'!$D:$D)*1.2</f>
        <v>0</v>
      </c>
      <c r="AU141" s="110">
        <f t="shared" si="203"/>
        <v>0</v>
      </c>
      <c r="AV141" s="17">
        <f>SUMIF('20.01'!$Q:$Q,$B:$B,'20.01'!$D:$D)*1.2</f>
        <v>0</v>
      </c>
      <c r="AW141" s="17">
        <f>SUMIF('20.01'!$R:$R,$B:$B,'20.01'!$D:$D)*1.2</f>
        <v>0</v>
      </c>
      <c r="AX141" s="110">
        <f t="shared" si="204"/>
        <v>0</v>
      </c>
      <c r="AY141" s="17">
        <f>SUMIF('20.01'!$S:$S,$B:$B,'20.01'!$D:$D)*1.2</f>
        <v>0</v>
      </c>
      <c r="AZ141" s="17">
        <f>SUMIF('20.01'!$T:$T,$B:$B,'20.01'!$D:$D)*1.2</f>
        <v>0</v>
      </c>
      <c r="BA141" s="110">
        <f t="shared" si="205"/>
        <v>0</v>
      </c>
      <c r="BB141" s="17">
        <f>SUMIF('20.01'!$U:$U,$B:$B,'20.01'!$D:$D)*1.2</f>
        <v>0</v>
      </c>
      <c r="BC141" s="17">
        <f>SUMIF('20.01'!$V:$V,$B:$B,'20.01'!$D:$D)*1.2</f>
        <v>0</v>
      </c>
      <c r="BD141" s="17">
        <f>SUMIF('20.01'!$W:$W,$B:$B,'20.01'!$D:$D)*1.2</f>
        <v>0</v>
      </c>
      <c r="BE141" s="110">
        <f>SUMIF('20.01'!$X:$X,$B:$B,'20.01'!$D:$D)*1.2</f>
        <v>0</v>
      </c>
      <c r="BF141" s="110">
        <f t="shared" si="206"/>
        <v>0</v>
      </c>
      <c r="BG141" s="17">
        <f>SUMIF('20.01'!$Y:$Y,$B:$B,'20.01'!$D:$D)*1.2</f>
        <v>0</v>
      </c>
      <c r="BH141" s="17">
        <f>SUMIF('20.01'!$Z:$Z,$B:$B,'20.01'!$D:$D)*1.2</f>
        <v>0</v>
      </c>
      <c r="BI141" s="17">
        <f>SUMIF('20.01'!$AA:$AA,$B:$B,'20.01'!$D:$D)*1.2</f>
        <v>0</v>
      </c>
      <c r="BJ141" s="17">
        <f>SUMIF('20.01'!$AB:$AB,$B:$B,'20.01'!$D:$D)*1.2</f>
        <v>0</v>
      </c>
      <c r="BK141" s="17">
        <f>SUMIF('20.01'!$AC:$AC,$B:$B,'20.01'!$D:$D)*1.2</f>
        <v>0</v>
      </c>
      <c r="BL141" s="17">
        <f>SUMIF('20.01'!$AD:$AD,$B:$B,'20.01'!$D:$D)*1.2</f>
        <v>0</v>
      </c>
      <c r="BM141" s="110">
        <f t="shared" si="207"/>
        <v>0</v>
      </c>
      <c r="BN141" s="17">
        <f>SUMIF('20.01'!$AE:$AE,$B:$B,'20.01'!$D:$D)*1.2</f>
        <v>0</v>
      </c>
      <c r="BO141" s="17">
        <f>SUMIF('20.01'!$AF:$AF,$B:$B,'20.01'!$D:$D)*1.2</f>
        <v>0</v>
      </c>
      <c r="BP141" s="110">
        <f>SUMIF('20.01'!$AG:$AG,$B:$B,'20.01'!$D:$D)*1.2</f>
        <v>0</v>
      </c>
      <c r="BQ141" s="110">
        <f>SUMIF('20.01'!$AH:$AH,$B:$B,'20.01'!$D:$D)*1.2</f>
        <v>0</v>
      </c>
      <c r="BR141" s="110">
        <f>SUMIF('20.01'!$AI:$AI,$B:$B,'20.01'!$D:$D)*1.2</f>
        <v>0</v>
      </c>
      <c r="BS141" s="110">
        <f t="shared" si="208"/>
        <v>0</v>
      </c>
      <c r="BT141" s="17">
        <f>SUMIF('20.01'!$AJ:$AJ,$B:$B,'20.01'!$D:$D)*1.2</f>
        <v>0</v>
      </c>
      <c r="BU141" s="17">
        <f>SUMIF('20.01'!$AK:$AK,$B:$B,'20.01'!$D:$D)*1.2</f>
        <v>0</v>
      </c>
      <c r="BV141" s="110">
        <f>SUMIF('20.01'!$AL:$AL,$B:$B,'20.01'!$D:$D)*1.2</f>
        <v>281848.5</v>
      </c>
      <c r="BW141" s="110">
        <f>SUMIF('20.01'!$AM:$AM,$B:$B,'20.01'!$D:$D)*1.2</f>
        <v>0</v>
      </c>
      <c r="BX141" s="110">
        <f>SUMIF('20.01'!$AN:$AN,$B:$B,'20.01'!$D:$D)*1.2</f>
        <v>0</v>
      </c>
      <c r="BY141" s="110">
        <f t="shared" si="158"/>
        <v>307396.07441759278</v>
      </c>
      <c r="BZ141" s="17">
        <f t="shared" si="225"/>
        <v>263761.38164555002</v>
      </c>
      <c r="CA141" s="17">
        <f t="shared" si="159"/>
        <v>18838.18752491894</v>
      </c>
      <c r="CB141" s="17">
        <f t="shared" si="160"/>
        <v>1252.2662246577086</v>
      </c>
      <c r="CC141" s="17">
        <f>SUMIF('20.01'!$AO:$AO,$B:$B,'20.01'!$D:$D)*1.2</f>
        <v>0</v>
      </c>
      <c r="CD141" s="17">
        <f t="shared" si="161"/>
        <v>19659.307861745543</v>
      </c>
      <c r="CE141" s="17">
        <f>SUMIF('20.01'!$AQ:$AQ,$B:$B,'20.01'!$D:$D)*1.2</f>
        <v>0</v>
      </c>
      <c r="CF141" s="17">
        <f t="shared" si="162"/>
        <v>1788.6862417297432</v>
      </c>
      <c r="CG141" s="17">
        <f>SUMIF('20.01'!$AR:$AR,$B:$B,'20.01'!$D:$D)*1.2</f>
        <v>0</v>
      </c>
      <c r="CH141" s="17">
        <f t="shared" si="163"/>
        <v>1053.4064071390617</v>
      </c>
      <c r="CI141" s="17">
        <f>SUMIF('20.01'!$AT:$AT,$B:$B,'20.01'!$D:$D)*1.2</f>
        <v>0</v>
      </c>
      <c r="CJ141" s="17">
        <f>SUMIF('20.01'!$AU:$AU,$B:$B,'20.01'!$D:$D)*1.2</f>
        <v>0</v>
      </c>
      <c r="CK141" s="17">
        <f>SUMIF('20.01'!$AV:$AV,$B:$B,'20.01'!$D:$D)*1.2</f>
        <v>0</v>
      </c>
      <c r="CL141" s="17">
        <f t="shared" si="164"/>
        <v>1042.8385118517347</v>
      </c>
      <c r="CM141" s="17">
        <f>SUMIF('20.01'!$AW:$AW,$B:$B,'20.01'!$D:$D)*1.2</f>
        <v>0</v>
      </c>
      <c r="CN141" s="17">
        <f>SUMIF('20.01'!$AX:$AX,$B:$B,'20.01'!$D:$D)*1.2</f>
        <v>0</v>
      </c>
      <c r="CO141" s="110">
        <f t="shared" si="209"/>
        <v>349832.08886515663</v>
      </c>
      <c r="CP141" s="17">
        <f t="shared" si="210"/>
        <v>275962.02694882709</v>
      </c>
      <c r="CQ141" s="17">
        <f t="shared" si="165"/>
        <v>85138.082452101225</v>
      </c>
      <c r="CR141" s="17">
        <f t="shared" si="166"/>
        <v>190823.94449672586</v>
      </c>
      <c r="CS141" s="17">
        <f t="shared" si="211"/>
        <v>73870.061916329549</v>
      </c>
      <c r="CT141" s="17">
        <f t="shared" si="167"/>
        <v>2691.1511563371187</v>
      </c>
      <c r="CU141" s="17">
        <f t="shared" si="168"/>
        <v>2602.971545230007</v>
      </c>
      <c r="CV141" s="17">
        <f t="shared" si="169"/>
        <v>2690.2279826725639</v>
      </c>
      <c r="CW141" s="17">
        <f t="shared" si="170"/>
        <v>28.210002459566507</v>
      </c>
      <c r="CX141" s="17">
        <f t="shared" si="171"/>
        <v>39722.519600168918</v>
      </c>
      <c r="CY141" s="17">
        <f t="shared" si="172"/>
        <v>26134.981629461377</v>
      </c>
      <c r="CZ141" s="110">
        <f t="shared" si="212"/>
        <v>86837.482767085181</v>
      </c>
      <c r="DA141" s="17">
        <f t="shared" si="213"/>
        <v>3280.2328441356408</v>
      </c>
      <c r="DB141" s="17">
        <f t="shared" si="173"/>
        <v>3112.8206415641248</v>
      </c>
      <c r="DC141" s="17">
        <f t="shared" si="174"/>
        <v>167.41220257151596</v>
      </c>
      <c r="DD141" s="17">
        <f t="shared" si="175"/>
        <v>5780.146541918125</v>
      </c>
      <c r="DE141" s="17">
        <f t="shared" si="176"/>
        <v>1994.3028622475658</v>
      </c>
      <c r="DF141" s="17">
        <f t="shared" si="177"/>
        <v>2420.364360105646</v>
      </c>
      <c r="DG141" s="17">
        <f t="shared" si="214"/>
        <v>73362.436158678203</v>
      </c>
      <c r="DH141" s="110">
        <f t="shared" si="215"/>
        <v>54193.372750046503</v>
      </c>
      <c r="DI141" s="17">
        <f t="shared" si="178"/>
        <v>48613.664943608375</v>
      </c>
      <c r="DJ141" s="17">
        <f t="shared" si="179"/>
        <v>5376.385686415023</v>
      </c>
      <c r="DK141" s="17">
        <f t="shared" si="180"/>
        <v>203.32212002310609</v>
      </c>
      <c r="DL141" s="110">
        <f t="shared" si="216"/>
        <v>410088.84375909291</v>
      </c>
      <c r="DM141" s="17">
        <f t="shared" si="181"/>
        <v>170756.23750864094</v>
      </c>
      <c r="DN141" s="17">
        <f t="shared" si="182"/>
        <v>151425.34269634198</v>
      </c>
      <c r="DO141" s="17">
        <f t="shared" si="183"/>
        <v>87907.263554110003</v>
      </c>
      <c r="DP141" s="110">
        <f t="shared" si="217"/>
        <v>134255.52558389469</v>
      </c>
      <c r="DQ141" s="17">
        <f>SUMIF('20.01'!$BB:$BB,$B:$B,'20.01'!$D:$D)*1.2</f>
        <v>2459.424</v>
      </c>
      <c r="DR141" s="17">
        <f t="shared" si="184"/>
        <v>130826.27599138366</v>
      </c>
      <c r="DS141" s="17">
        <f t="shared" si="185"/>
        <v>969.82559251101179</v>
      </c>
      <c r="DT141" s="110">
        <f t="shared" si="218"/>
        <v>6827.424</v>
      </c>
      <c r="DU141" s="17">
        <f>SUMIF('20.01'!$BD:$BD,$B:$B,'20.01'!$D:$D)*1.2</f>
        <v>6827.424</v>
      </c>
      <c r="DV141" s="17">
        <f t="shared" si="186"/>
        <v>0</v>
      </c>
      <c r="DW141" s="17">
        <f t="shared" si="187"/>
        <v>0</v>
      </c>
      <c r="DX141" s="110">
        <f t="shared" si="188"/>
        <v>1756953.6712388378</v>
      </c>
      <c r="DY141" s="110"/>
      <c r="DZ141" s="110">
        <f t="shared" si="219"/>
        <v>1756953.6712388378</v>
      </c>
      <c r="EA141" s="257"/>
      <c r="EB141" s="110">
        <f t="shared" si="189"/>
        <v>886.55421686746979</v>
      </c>
      <c r="EC141" s="110">
        <f>SUMIF(еирц!$B:$B,$B:$B,еирц!$K:$K)</f>
        <v>1477768.6800000002</v>
      </c>
      <c r="ED141" s="110">
        <f>SUMIF(еирц!$B:$B,$B:$B,еирц!$P:$P)</f>
        <v>1470119.96</v>
      </c>
      <c r="EE141" s="110">
        <f>SUMIF(еирц!$B:$B,$B:$B,еирц!$S:$S)</f>
        <v>147752.4</v>
      </c>
      <c r="EF141" s="177">
        <f t="shared" si="220"/>
        <v>-278298.43702197005</v>
      </c>
      <c r="EG141" s="181">
        <f t="shared" si="221"/>
        <v>0</v>
      </c>
      <c r="EH141" s="177">
        <f t="shared" si="222"/>
        <v>-278298.43702197005</v>
      </c>
    </row>
    <row r="142" spans="1:138" ht="12" customHeight="1" x14ac:dyDescent="0.25">
      <c r="A142" s="5">
        <f t="shared" si="223"/>
        <v>138</v>
      </c>
      <c r="B142" s="6" t="s">
        <v>222</v>
      </c>
      <c r="C142" s="7">
        <f t="shared" si="226"/>
        <v>2735.7</v>
      </c>
      <c r="D142" s="8">
        <v>2735.7</v>
      </c>
      <c r="E142" s="8">
        <v>0</v>
      </c>
      <c r="F142" s="8">
        <v>362.6</v>
      </c>
      <c r="G142" s="87">
        <f t="shared" si="156"/>
        <v>2735.7</v>
      </c>
      <c r="H142" s="87">
        <f t="shared" si="157"/>
        <v>2735.7</v>
      </c>
      <c r="I142" s="91">
        <v>0</v>
      </c>
      <c r="J142" s="112">
        <v>0</v>
      </c>
      <c r="K142" s="17">
        <v>4</v>
      </c>
      <c r="L142" s="112">
        <f t="shared" si="190"/>
        <v>9.638554216867469E-3</v>
      </c>
      <c r="M142" s="116">
        <v>3.4064150777996933</v>
      </c>
      <c r="N142" s="120">
        <f t="shared" si="191"/>
        <v>2735.7</v>
      </c>
      <c r="O142" s="116">
        <v>3.0862299948864051</v>
      </c>
      <c r="P142" s="120">
        <f t="shared" si="192"/>
        <v>2735.7</v>
      </c>
      <c r="Q142" s="116">
        <v>0</v>
      </c>
      <c r="R142" s="120">
        <f t="shared" si="193"/>
        <v>0</v>
      </c>
      <c r="S142" s="5" t="s">
        <v>73</v>
      </c>
      <c r="T142" s="87">
        <v>28.44</v>
      </c>
      <c r="U142" s="88">
        <v>4.68</v>
      </c>
      <c r="V142" s="88">
        <v>6.05</v>
      </c>
      <c r="W142" s="88">
        <v>8.24</v>
      </c>
      <c r="X142" s="88">
        <v>6.34</v>
      </c>
      <c r="Y142" s="88">
        <v>2.89</v>
      </c>
      <c r="Z142" s="88">
        <v>0</v>
      </c>
      <c r="AA142" s="88">
        <v>0</v>
      </c>
      <c r="AB142" s="88">
        <v>0.24</v>
      </c>
      <c r="AC142" s="257"/>
      <c r="AD142" s="110">
        <f t="shared" si="194"/>
        <v>83321.659038502141</v>
      </c>
      <c r="AE142" s="110">
        <f t="shared" si="195"/>
        <v>82553.167917837927</v>
      </c>
      <c r="AF142" s="16">
        <f>SUMIF('20.01'!$I:$I,$B:$B,'20.01'!$D:$D)*1.2</f>
        <v>25282.367999999999</v>
      </c>
      <c r="AG142" s="17">
        <f t="shared" si="224"/>
        <v>17503.865646344297</v>
      </c>
      <c r="AH142" s="17">
        <f t="shared" si="196"/>
        <v>2088.9777755167938</v>
      </c>
      <c r="AI142" s="16">
        <f>SUMIF('20.01'!$J:$J,$B:$B,'20.01'!$D:$D)*1.2</f>
        <v>0</v>
      </c>
      <c r="AJ142" s="17">
        <f t="shared" si="197"/>
        <v>848.91360331902399</v>
      </c>
      <c r="AK142" s="17">
        <f t="shared" si="198"/>
        <v>2065.2182067213294</v>
      </c>
      <c r="AL142" s="17">
        <f t="shared" si="199"/>
        <v>34763.824685936488</v>
      </c>
      <c r="AM142" s="110">
        <f t="shared" si="200"/>
        <v>0</v>
      </c>
      <c r="AN142" s="17">
        <f>SUMIF('20.01'!$K:$K,$B:$B,'20.01'!$D:$D)*1.2</f>
        <v>0</v>
      </c>
      <c r="AO142" s="17">
        <f>SUMIF('20.01'!$L:$L,$B:$B,'20.01'!$D:$D)*1.2</f>
        <v>0</v>
      </c>
      <c r="AP142" s="17">
        <f>SUMIF('20.01'!$M:$M,$B:$B,'20.01'!$D:$D)*1.2</f>
        <v>0</v>
      </c>
      <c r="AQ142" s="110">
        <f t="shared" si="201"/>
        <v>768.49112066421696</v>
      </c>
      <c r="AR142" s="17">
        <f t="shared" si="202"/>
        <v>768.49112066421696</v>
      </c>
      <c r="AS142" s="17">
        <f>(SUMIF('20.01'!$N:$N,$B:$B,'20.01'!$D:$D)+SUMIF('20.01'!$O:$O,$B:$B,'20.01'!$D:$D))*1.2</f>
        <v>0</v>
      </c>
      <c r="AT142" s="110">
        <f>SUMIF('20.01'!$P:$P,$B:$B,'20.01'!$D:$D)*1.2</f>
        <v>0</v>
      </c>
      <c r="AU142" s="110">
        <f t="shared" si="203"/>
        <v>0</v>
      </c>
      <c r="AV142" s="17">
        <f>SUMIF('20.01'!$Q:$Q,$B:$B,'20.01'!$D:$D)*1.2</f>
        <v>0</v>
      </c>
      <c r="AW142" s="17">
        <f>SUMIF('20.01'!$R:$R,$B:$B,'20.01'!$D:$D)*1.2</f>
        <v>0</v>
      </c>
      <c r="AX142" s="110">
        <f t="shared" si="204"/>
        <v>0</v>
      </c>
      <c r="AY142" s="17">
        <f>SUMIF('20.01'!$S:$S,$B:$B,'20.01'!$D:$D)*1.2</f>
        <v>0</v>
      </c>
      <c r="AZ142" s="17">
        <f>SUMIF('20.01'!$T:$T,$B:$B,'20.01'!$D:$D)*1.2</f>
        <v>0</v>
      </c>
      <c r="BA142" s="110">
        <f t="shared" si="205"/>
        <v>0</v>
      </c>
      <c r="BB142" s="17">
        <f>SUMIF('20.01'!$U:$U,$B:$B,'20.01'!$D:$D)*1.2</f>
        <v>0</v>
      </c>
      <c r="BC142" s="17">
        <f>SUMIF('20.01'!$V:$V,$B:$B,'20.01'!$D:$D)*1.2</f>
        <v>0</v>
      </c>
      <c r="BD142" s="17">
        <f>SUMIF('20.01'!$W:$W,$B:$B,'20.01'!$D:$D)*1.2</f>
        <v>0</v>
      </c>
      <c r="BE142" s="110">
        <f>SUMIF('20.01'!$X:$X,$B:$B,'20.01'!$D:$D)*1.2</f>
        <v>0</v>
      </c>
      <c r="BF142" s="110">
        <f t="shared" si="206"/>
        <v>0</v>
      </c>
      <c r="BG142" s="17">
        <f>SUMIF('20.01'!$Y:$Y,$B:$B,'20.01'!$D:$D)*1.2</f>
        <v>0</v>
      </c>
      <c r="BH142" s="17">
        <f>SUMIF('20.01'!$Z:$Z,$B:$B,'20.01'!$D:$D)*1.2</f>
        <v>0</v>
      </c>
      <c r="BI142" s="17">
        <f>SUMIF('20.01'!$AA:$AA,$B:$B,'20.01'!$D:$D)*1.2</f>
        <v>0</v>
      </c>
      <c r="BJ142" s="17">
        <f>SUMIF('20.01'!$AB:$AB,$B:$B,'20.01'!$D:$D)*1.2</f>
        <v>0</v>
      </c>
      <c r="BK142" s="17">
        <f>SUMIF('20.01'!$AC:$AC,$B:$B,'20.01'!$D:$D)*1.2</f>
        <v>0</v>
      </c>
      <c r="BL142" s="17">
        <f>SUMIF('20.01'!$AD:$AD,$B:$B,'20.01'!$D:$D)*1.2</f>
        <v>0</v>
      </c>
      <c r="BM142" s="110">
        <f t="shared" si="207"/>
        <v>0</v>
      </c>
      <c r="BN142" s="17">
        <f>SUMIF('20.01'!$AE:$AE,$B:$B,'20.01'!$D:$D)*1.2</f>
        <v>0</v>
      </c>
      <c r="BO142" s="17">
        <f>SUMIF('20.01'!$AF:$AF,$B:$B,'20.01'!$D:$D)*1.2</f>
        <v>0</v>
      </c>
      <c r="BP142" s="110">
        <f>SUMIF('20.01'!$AG:$AG,$B:$B,'20.01'!$D:$D)*1.2</f>
        <v>0</v>
      </c>
      <c r="BQ142" s="110">
        <f>SUMIF('20.01'!$AH:$AH,$B:$B,'20.01'!$D:$D)*1.2</f>
        <v>0</v>
      </c>
      <c r="BR142" s="110">
        <f>SUMIF('20.01'!$AI:$AI,$B:$B,'20.01'!$D:$D)*1.2</f>
        <v>0</v>
      </c>
      <c r="BS142" s="110">
        <f t="shared" si="208"/>
        <v>0</v>
      </c>
      <c r="BT142" s="17">
        <f>SUMIF('20.01'!$AJ:$AJ,$B:$B,'20.01'!$D:$D)*1.2</f>
        <v>0</v>
      </c>
      <c r="BU142" s="17">
        <f>SUMIF('20.01'!$AK:$AK,$B:$B,'20.01'!$D:$D)*1.2</f>
        <v>0</v>
      </c>
      <c r="BV142" s="110">
        <f>SUMIF('20.01'!$AL:$AL,$B:$B,'20.01'!$D:$D)*1.2</f>
        <v>0</v>
      </c>
      <c r="BW142" s="110">
        <f>SUMIF('20.01'!$AM:$AM,$B:$B,'20.01'!$D:$D)*1.2</f>
        <v>0</v>
      </c>
      <c r="BX142" s="110">
        <f>SUMIF('20.01'!$AN:$AN,$B:$B,'20.01'!$D:$D)*1.2</f>
        <v>0</v>
      </c>
      <c r="BY142" s="110">
        <f t="shared" si="158"/>
        <v>333018.84992322401</v>
      </c>
      <c r="BZ142" s="17">
        <f t="shared" si="225"/>
        <v>237570.21425862811</v>
      </c>
      <c r="CA142" s="17">
        <f t="shared" si="159"/>
        <v>16967.579630566866</v>
      </c>
      <c r="CB142" s="17">
        <f t="shared" si="160"/>
        <v>1127.9177923801049</v>
      </c>
      <c r="CC142" s="17">
        <f>SUMIF('20.01'!$AO:$AO,$B:$B,'20.01'!$D:$D)*1.2</f>
        <v>0</v>
      </c>
      <c r="CD142" s="17">
        <f t="shared" si="161"/>
        <v>17707.163769590516</v>
      </c>
      <c r="CE142" s="17">
        <f>SUMIF('20.01'!$AQ:$AQ,$B:$B,'20.01'!$D:$D)*1.2</f>
        <v>0</v>
      </c>
      <c r="CF142" s="17">
        <f t="shared" si="162"/>
        <v>1611.0719887729424</v>
      </c>
      <c r="CG142" s="17">
        <f>SUMIF('20.01'!$AR:$AR,$B:$B,'20.01'!$D:$D)*1.2</f>
        <v>56146.811999999998</v>
      </c>
      <c r="CH142" s="17">
        <f t="shared" si="163"/>
        <v>948.80450005278726</v>
      </c>
      <c r="CI142" s="17">
        <f>SUMIF('20.01'!$AT:$AT,$B:$B,'20.01'!$D:$D)*1.2</f>
        <v>0</v>
      </c>
      <c r="CJ142" s="17">
        <f>SUMIF('20.01'!$AU:$AU,$B:$B,'20.01'!$D:$D)*1.2</f>
        <v>0</v>
      </c>
      <c r="CK142" s="17">
        <f>SUMIF('20.01'!$AV:$AV,$B:$B,'20.01'!$D:$D)*1.2</f>
        <v>0</v>
      </c>
      <c r="CL142" s="17">
        <f t="shared" si="164"/>
        <v>939.28598323273638</v>
      </c>
      <c r="CM142" s="17">
        <f>SUMIF('20.01'!$AW:$AW,$B:$B,'20.01'!$D:$D)*1.2</f>
        <v>0</v>
      </c>
      <c r="CN142" s="17">
        <f>SUMIF('20.01'!$AX:$AX,$B:$B,'20.01'!$D:$D)*1.2</f>
        <v>0</v>
      </c>
      <c r="CO142" s="110">
        <f t="shared" si="209"/>
        <v>315094.21048576327</v>
      </c>
      <c r="CP142" s="17">
        <f t="shared" si="210"/>
        <v>248559.35110917792</v>
      </c>
      <c r="CQ142" s="17">
        <f t="shared" si="165"/>
        <v>76683.979904590684</v>
      </c>
      <c r="CR142" s="17">
        <f t="shared" si="166"/>
        <v>171875.37120458725</v>
      </c>
      <c r="CS142" s="17">
        <f t="shared" si="211"/>
        <v>66534.859376585358</v>
      </c>
      <c r="CT142" s="17">
        <f t="shared" si="167"/>
        <v>2423.9232931852152</v>
      </c>
      <c r="CU142" s="17">
        <f t="shared" si="168"/>
        <v>2344.4998045256411</v>
      </c>
      <c r="CV142" s="17">
        <f t="shared" si="169"/>
        <v>2423.0917894832028</v>
      </c>
      <c r="CW142" s="17">
        <f t="shared" si="170"/>
        <v>25.408785345088098</v>
      </c>
      <c r="CX142" s="17">
        <f t="shared" si="171"/>
        <v>35778.124278201722</v>
      </c>
      <c r="CY142" s="17">
        <f t="shared" si="172"/>
        <v>23539.811425844495</v>
      </c>
      <c r="CZ142" s="110">
        <f t="shared" si="212"/>
        <v>78214.631944791385</v>
      </c>
      <c r="DA142" s="17">
        <f t="shared" si="213"/>
        <v>2954.509923847454</v>
      </c>
      <c r="DB142" s="17">
        <f t="shared" si="173"/>
        <v>2803.7215385793224</v>
      </c>
      <c r="DC142" s="17">
        <f t="shared" si="174"/>
        <v>150.78838526813161</v>
      </c>
      <c r="DD142" s="17">
        <f t="shared" si="175"/>
        <v>5206.1853931865189</v>
      </c>
      <c r="DE142" s="17">
        <f t="shared" si="176"/>
        <v>1796.2711422153443</v>
      </c>
      <c r="DF142" s="17">
        <f t="shared" si="177"/>
        <v>2180.0252790112977</v>
      </c>
      <c r="DG142" s="17">
        <f t="shared" si="214"/>
        <v>66077.640206530778</v>
      </c>
      <c r="DH142" s="110">
        <f t="shared" si="215"/>
        <v>48812.040243736941</v>
      </c>
      <c r="DI142" s="17">
        <f t="shared" si="178"/>
        <v>43786.390276307713</v>
      </c>
      <c r="DJ142" s="17">
        <f t="shared" si="179"/>
        <v>4842.5174735210803</v>
      </c>
      <c r="DK142" s="17">
        <f t="shared" si="180"/>
        <v>183.13249390814582</v>
      </c>
      <c r="DL142" s="110">
        <f t="shared" si="216"/>
        <v>290189.36192235595</v>
      </c>
      <c r="DM142" s="17">
        <f t="shared" si="181"/>
        <v>153800.36181884864</v>
      </c>
      <c r="DN142" s="17">
        <f t="shared" si="182"/>
        <v>136389.00010350728</v>
      </c>
      <c r="DO142" s="17">
        <f t="shared" si="183"/>
        <v>0</v>
      </c>
      <c r="DP142" s="110">
        <f t="shared" si="217"/>
        <v>0</v>
      </c>
      <c r="DQ142" s="17">
        <f>SUMIF('20.01'!$BB:$BB,$B:$B,'20.01'!$D:$D)*1.2</f>
        <v>0</v>
      </c>
      <c r="DR142" s="17">
        <f t="shared" si="184"/>
        <v>0</v>
      </c>
      <c r="DS142" s="17">
        <f t="shared" si="185"/>
        <v>0</v>
      </c>
      <c r="DT142" s="110">
        <f t="shared" si="218"/>
        <v>5689.5240000000003</v>
      </c>
      <c r="DU142" s="17">
        <f>SUMIF('20.01'!$BD:$BD,$B:$B,'20.01'!$D:$D)*1.2</f>
        <v>5689.5240000000003</v>
      </c>
      <c r="DV142" s="17">
        <f t="shared" si="186"/>
        <v>0</v>
      </c>
      <c r="DW142" s="17">
        <f t="shared" si="187"/>
        <v>0</v>
      </c>
      <c r="DX142" s="110">
        <f t="shared" si="188"/>
        <v>1154340.2775583735</v>
      </c>
      <c r="DY142" s="110"/>
      <c r="DZ142" s="110">
        <f t="shared" si="219"/>
        <v>1154340.2775583735</v>
      </c>
      <c r="EA142" s="257"/>
      <c r="EB142" s="110">
        <f t="shared" si="189"/>
        <v>3546.2168674698792</v>
      </c>
      <c r="EC142" s="110">
        <f>SUMIF(еирц!$B:$B,$B:$B,еирц!$K:$K)</f>
        <v>915749.03999999992</v>
      </c>
      <c r="ED142" s="110">
        <f>SUMIF(еирц!$B:$B,$B:$B,еирц!$P:$P)</f>
        <v>905110.3899999999</v>
      </c>
      <c r="EE142" s="110">
        <f>SUMIF(еирц!$B:$B,$B:$B,еирц!$S:$S)</f>
        <v>81231.27</v>
      </c>
      <c r="EF142" s="177">
        <f t="shared" si="220"/>
        <v>-235045.02069090377</v>
      </c>
      <c r="EG142" s="181">
        <f t="shared" si="221"/>
        <v>0</v>
      </c>
      <c r="EH142" s="177">
        <f t="shared" si="222"/>
        <v>-235045.02069090377</v>
      </c>
    </row>
    <row r="143" spans="1:138" ht="12" customHeight="1" x14ac:dyDescent="0.25">
      <c r="A143" s="5">
        <f t="shared" si="223"/>
        <v>139</v>
      </c>
      <c r="B143" s="6" t="s">
        <v>223</v>
      </c>
      <c r="C143" s="7">
        <f t="shared" si="226"/>
        <v>3002.9</v>
      </c>
      <c r="D143" s="8">
        <v>3002.9</v>
      </c>
      <c r="E143" s="8">
        <v>0</v>
      </c>
      <c r="F143" s="8">
        <v>516.70000000000005</v>
      </c>
      <c r="G143" s="87">
        <f t="shared" si="156"/>
        <v>3002.9</v>
      </c>
      <c r="H143" s="87">
        <f t="shared" si="157"/>
        <v>3002.9</v>
      </c>
      <c r="I143" s="91">
        <v>1</v>
      </c>
      <c r="J143" s="112">
        <v>4.7166842805970574E-3</v>
      </c>
      <c r="K143" s="17">
        <v>1</v>
      </c>
      <c r="L143" s="112">
        <f t="shared" si="190"/>
        <v>2.4096385542168672E-3</v>
      </c>
      <c r="M143" s="116">
        <v>3.4064189784426753</v>
      </c>
      <c r="N143" s="120">
        <f t="shared" si="191"/>
        <v>3002.9</v>
      </c>
      <c r="O143" s="116">
        <v>3.0862334588345055</v>
      </c>
      <c r="P143" s="120">
        <f t="shared" si="192"/>
        <v>3002.9</v>
      </c>
      <c r="Q143" s="116">
        <v>1.6009275980408491</v>
      </c>
      <c r="R143" s="120">
        <f t="shared" si="193"/>
        <v>3002.9</v>
      </c>
      <c r="S143" s="5" t="s">
        <v>73</v>
      </c>
      <c r="T143" s="87">
        <v>41.34</v>
      </c>
      <c r="U143" s="88">
        <v>4.68</v>
      </c>
      <c r="V143" s="88">
        <v>7.92</v>
      </c>
      <c r="W143" s="88">
        <v>12.32</v>
      </c>
      <c r="X143" s="88">
        <v>6.34</v>
      </c>
      <c r="Y143" s="88">
        <v>2.89</v>
      </c>
      <c r="Z143" s="88">
        <v>1.66</v>
      </c>
      <c r="AA143" s="88">
        <v>5.29</v>
      </c>
      <c r="AB143" s="88">
        <v>0.24</v>
      </c>
      <c r="AC143" s="257"/>
      <c r="AD143" s="110">
        <f t="shared" si="194"/>
        <v>146715.83329631103</v>
      </c>
      <c r="AE143" s="110">
        <f t="shared" si="195"/>
        <v>145872.28247339823</v>
      </c>
      <c r="AF143" s="16">
        <f>SUMIF('20.01'!$I:$I,$B:$B,'20.01'!$D:$D)*1.2</f>
        <v>83007.756000000008</v>
      </c>
      <c r="AG143" s="17">
        <f t="shared" si="224"/>
        <v>19213.494955370577</v>
      </c>
      <c r="AH143" s="17">
        <f t="shared" si="196"/>
        <v>2293.011427458925</v>
      </c>
      <c r="AI143" s="16">
        <f>SUMIF('20.01'!$J:$J,$B:$B,'20.01'!$D:$D)*1.2</f>
        <v>0</v>
      </c>
      <c r="AJ143" s="17">
        <f t="shared" si="197"/>
        <v>931.82829235906615</v>
      </c>
      <c r="AK143" s="17">
        <f t="shared" si="198"/>
        <v>2266.9312252672007</v>
      </c>
      <c r="AL143" s="17">
        <f t="shared" si="199"/>
        <v>38159.260572942461</v>
      </c>
      <c r="AM143" s="110">
        <f t="shared" si="200"/>
        <v>0</v>
      </c>
      <c r="AN143" s="17">
        <f>SUMIF('20.01'!$K:$K,$B:$B,'20.01'!$D:$D)*1.2</f>
        <v>0</v>
      </c>
      <c r="AO143" s="17">
        <f>SUMIF('20.01'!$L:$L,$B:$B,'20.01'!$D:$D)*1.2</f>
        <v>0</v>
      </c>
      <c r="AP143" s="17">
        <f>SUMIF('20.01'!$M:$M,$B:$B,'20.01'!$D:$D)*1.2</f>
        <v>0</v>
      </c>
      <c r="AQ143" s="110">
        <f t="shared" si="201"/>
        <v>843.5508229128111</v>
      </c>
      <c r="AR143" s="17">
        <f t="shared" si="202"/>
        <v>843.5508229128111</v>
      </c>
      <c r="AS143" s="17">
        <f>(SUMIF('20.01'!$N:$N,$B:$B,'20.01'!$D:$D)+SUMIF('20.01'!$O:$O,$B:$B,'20.01'!$D:$D))*1.2</f>
        <v>0</v>
      </c>
      <c r="AT143" s="110">
        <f>SUMIF('20.01'!$P:$P,$B:$B,'20.01'!$D:$D)*1.2</f>
        <v>0</v>
      </c>
      <c r="AU143" s="110">
        <f t="shared" si="203"/>
        <v>0</v>
      </c>
      <c r="AV143" s="17">
        <f>SUMIF('20.01'!$Q:$Q,$B:$B,'20.01'!$D:$D)*1.2</f>
        <v>0</v>
      </c>
      <c r="AW143" s="17">
        <f>SUMIF('20.01'!$R:$R,$B:$B,'20.01'!$D:$D)*1.2</f>
        <v>0</v>
      </c>
      <c r="AX143" s="110">
        <f t="shared" si="204"/>
        <v>0</v>
      </c>
      <c r="AY143" s="17">
        <f>SUMIF('20.01'!$S:$S,$B:$B,'20.01'!$D:$D)*1.2</f>
        <v>0</v>
      </c>
      <c r="AZ143" s="17">
        <f>SUMIF('20.01'!$T:$T,$B:$B,'20.01'!$D:$D)*1.2</f>
        <v>0</v>
      </c>
      <c r="BA143" s="110">
        <f t="shared" si="205"/>
        <v>0</v>
      </c>
      <c r="BB143" s="17">
        <f>SUMIF('20.01'!$U:$U,$B:$B,'20.01'!$D:$D)*1.2</f>
        <v>0</v>
      </c>
      <c r="BC143" s="17">
        <f>SUMIF('20.01'!$V:$V,$B:$B,'20.01'!$D:$D)*1.2</f>
        <v>0</v>
      </c>
      <c r="BD143" s="17">
        <f>SUMIF('20.01'!$W:$W,$B:$B,'20.01'!$D:$D)*1.2</f>
        <v>0</v>
      </c>
      <c r="BE143" s="110">
        <f>SUMIF('20.01'!$X:$X,$B:$B,'20.01'!$D:$D)*1.2</f>
        <v>0</v>
      </c>
      <c r="BF143" s="110">
        <f t="shared" si="206"/>
        <v>0</v>
      </c>
      <c r="BG143" s="17">
        <f>SUMIF('20.01'!$Y:$Y,$B:$B,'20.01'!$D:$D)*1.2</f>
        <v>0</v>
      </c>
      <c r="BH143" s="17">
        <f>SUMIF('20.01'!$Z:$Z,$B:$B,'20.01'!$D:$D)*1.2</f>
        <v>0</v>
      </c>
      <c r="BI143" s="17">
        <f>SUMIF('20.01'!$AA:$AA,$B:$B,'20.01'!$D:$D)*1.2</f>
        <v>0</v>
      </c>
      <c r="BJ143" s="17">
        <f>SUMIF('20.01'!$AB:$AB,$B:$B,'20.01'!$D:$D)*1.2</f>
        <v>0</v>
      </c>
      <c r="BK143" s="17">
        <f>SUMIF('20.01'!$AC:$AC,$B:$B,'20.01'!$D:$D)*1.2</f>
        <v>0</v>
      </c>
      <c r="BL143" s="17">
        <f>SUMIF('20.01'!$AD:$AD,$B:$B,'20.01'!$D:$D)*1.2</f>
        <v>0</v>
      </c>
      <c r="BM143" s="110">
        <f t="shared" si="207"/>
        <v>0</v>
      </c>
      <c r="BN143" s="17">
        <f>SUMIF('20.01'!$AE:$AE,$B:$B,'20.01'!$D:$D)*1.2</f>
        <v>0</v>
      </c>
      <c r="BO143" s="17">
        <f>SUMIF('20.01'!$AF:$AF,$B:$B,'20.01'!$D:$D)*1.2</f>
        <v>0</v>
      </c>
      <c r="BP143" s="110">
        <f>SUMIF('20.01'!$AG:$AG,$B:$B,'20.01'!$D:$D)*1.2</f>
        <v>0</v>
      </c>
      <c r="BQ143" s="110">
        <f>SUMIF('20.01'!$AH:$AH,$B:$B,'20.01'!$D:$D)*1.2</f>
        <v>0</v>
      </c>
      <c r="BR143" s="110">
        <f>SUMIF('20.01'!$AI:$AI,$B:$B,'20.01'!$D:$D)*1.2</f>
        <v>0</v>
      </c>
      <c r="BS143" s="110">
        <f t="shared" si="208"/>
        <v>0</v>
      </c>
      <c r="BT143" s="17">
        <f>SUMIF('20.01'!$AJ:$AJ,$B:$B,'20.01'!$D:$D)*1.2</f>
        <v>0</v>
      </c>
      <c r="BU143" s="17">
        <f>SUMIF('20.01'!$AK:$AK,$B:$B,'20.01'!$D:$D)*1.2</f>
        <v>0</v>
      </c>
      <c r="BV143" s="110">
        <f>SUMIF('20.01'!$AL:$AL,$B:$B,'20.01'!$D:$D)*1.2</f>
        <v>0</v>
      </c>
      <c r="BW143" s="110">
        <f>SUMIF('20.01'!$AM:$AM,$B:$B,'20.01'!$D:$D)*1.2</f>
        <v>0</v>
      </c>
      <c r="BX143" s="110">
        <f>SUMIF('20.01'!$AN:$AN,$B:$B,'20.01'!$D:$D)*1.2</f>
        <v>0</v>
      </c>
      <c r="BY143" s="110">
        <f t="shared" si="158"/>
        <v>303914.55301372585</v>
      </c>
      <c r="BZ143" s="17">
        <f t="shared" si="225"/>
        <v>260774.06016640511</v>
      </c>
      <c r="CA143" s="17">
        <f t="shared" si="159"/>
        <v>18624.829064820427</v>
      </c>
      <c r="CB143" s="17">
        <f t="shared" si="160"/>
        <v>1238.083246970873</v>
      </c>
      <c r="CC143" s="17">
        <f>SUMIF('20.01'!$AO:$AO,$B:$B,'20.01'!$D:$D)*1.2</f>
        <v>0</v>
      </c>
      <c r="CD143" s="17">
        <f t="shared" si="161"/>
        <v>19436.649517016987</v>
      </c>
      <c r="CE143" s="17">
        <f>SUMIF('20.01'!$AQ:$AQ,$B:$B,'20.01'!$D:$D)*1.2</f>
        <v>0</v>
      </c>
      <c r="CF143" s="17">
        <f t="shared" si="162"/>
        <v>1768.427852135201</v>
      </c>
      <c r="CG143" s="17">
        <f>SUMIF('20.01'!$AR:$AR,$B:$B,'20.01'!$D:$D)*1.2</f>
        <v>0</v>
      </c>
      <c r="CH143" s="17">
        <f t="shared" si="163"/>
        <v>1041.4756856411577</v>
      </c>
      <c r="CI143" s="17">
        <f>SUMIF('20.01'!$AT:$AT,$B:$B,'20.01'!$D:$D)*1.2</f>
        <v>0</v>
      </c>
      <c r="CJ143" s="17">
        <f>SUMIF('20.01'!$AU:$AU,$B:$B,'20.01'!$D:$D)*1.2</f>
        <v>0</v>
      </c>
      <c r="CK143" s="17">
        <f>SUMIF('20.01'!$AV:$AV,$B:$B,'20.01'!$D:$D)*1.2</f>
        <v>0</v>
      </c>
      <c r="CL143" s="17">
        <f t="shared" si="164"/>
        <v>1031.0274807360399</v>
      </c>
      <c r="CM143" s="17">
        <f>SUMIF('20.01'!$AW:$AW,$B:$B,'20.01'!$D:$D)*1.2</f>
        <v>0</v>
      </c>
      <c r="CN143" s="17">
        <f>SUMIF('20.01'!$AX:$AX,$B:$B,'20.01'!$D:$D)*1.2</f>
        <v>0</v>
      </c>
      <c r="CO143" s="110">
        <f t="shared" si="209"/>
        <v>345869.94358580938</v>
      </c>
      <c r="CP143" s="17">
        <f t="shared" si="210"/>
        <v>272836.52280796523</v>
      </c>
      <c r="CQ143" s="17">
        <f t="shared" si="165"/>
        <v>84173.82141883079</v>
      </c>
      <c r="CR143" s="17">
        <f t="shared" si="166"/>
        <v>188662.70138913445</v>
      </c>
      <c r="CS143" s="17">
        <f t="shared" si="211"/>
        <v>73033.420777844134</v>
      </c>
      <c r="CT143" s="17">
        <f t="shared" si="167"/>
        <v>2660.6715857388908</v>
      </c>
      <c r="CU143" s="17">
        <f t="shared" si="168"/>
        <v>2573.4906835581564</v>
      </c>
      <c r="CV143" s="17">
        <f t="shared" si="169"/>
        <v>2659.7588677995068</v>
      </c>
      <c r="CW143" s="17">
        <f t="shared" si="170"/>
        <v>27.890500242265258</v>
      </c>
      <c r="CX143" s="17">
        <f t="shared" si="171"/>
        <v>39272.628356549314</v>
      </c>
      <c r="CY143" s="17">
        <f t="shared" si="172"/>
        <v>25838.980783956002</v>
      </c>
      <c r="CZ143" s="110">
        <f t="shared" si="212"/>
        <v>85853.97458311003</v>
      </c>
      <c r="DA143" s="17">
        <f t="shared" si="213"/>
        <v>3243.0814235192165</v>
      </c>
      <c r="DB143" s="17">
        <f t="shared" si="173"/>
        <v>3077.5653062104207</v>
      </c>
      <c r="DC143" s="17">
        <f t="shared" si="174"/>
        <v>165.51611730879571</v>
      </c>
      <c r="DD143" s="17">
        <f t="shared" si="175"/>
        <v>5714.6814772086846</v>
      </c>
      <c r="DE143" s="17">
        <f t="shared" si="176"/>
        <v>1971.7156899361985</v>
      </c>
      <c r="DF143" s="17">
        <f t="shared" si="177"/>
        <v>2392.9516797686247</v>
      </c>
      <c r="DG143" s="17">
        <f t="shared" si="214"/>
        <v>72531.544312677303</v>
      </c>
      <c r="DH143" s="110">
        <f t="shared" si="215"/>
        <v>53579.586814313581</v>
      </c>
      <c r="DI143" s="17">
        <f t="shared" si="178"/>
        <v>48063.073933810156</v>
      </c>
      <c r="DJ143" s="17">
        <f t="shared" si="179"/>
        <v>5315.4935560318945</v>
      </c>
      <c r="DK143" s="17">
        <f t="shared" si="180"/>
        <v>201.01932447153237</v>
      </c>
      <c r="DL143" s="110">
        <f t="shared" si="216"/>
        <v>405444.23959575285</v>
      </c>
      <c r="DM143" s="17">
        <f t="shared" si="181"/>
        <v>168822.27821245772</v>
      </c>
      <c r="DN143" s="17">
        <f t="shared" si="182"/>
        <v>149710.32218840593</v>
      </c>
      <c r="DO143" s="17">
        <f t="shared" si="183"/>
        <v>86911.639194889183</v>
      </c>
      <c r="DP143" s="110">
        <f t="shared" si="217"/>
        <v>132861.61696526752</v>
      </c>
      <c r="DQ143" s="17">
        <f>SUMIF('20.01'!$BB:$BB,$B:$B,'20.01'!$D:$D)*1.2</f>
        <v>2596.14</v>
      </c>
      <c r="DR143" s="17">
        <f t="shared" si="184"/>
        <v>129306.91452022317</v>
      </c>
      <c r="DS143" s="17">
        <f t="shared" si="185"/>
        <v>958.56244504433857</v>
      </c>
      <c r="DT143" s="110">
        <f t="shared" si="218"/>
        <v>6827.424</v>
      </c>
      <c r="DU143" s="17">
        <f>SUMIF('20.01'!$BD:$BD,$B:$B,'20.01'!$D:$D)*1.2</f>
        <v>6827.424</v>
      </c>
      <c r="DV143" s="17">
        <f t="shared" si="186"/>
        <v>0</v>
      </c>
      <c r="DW143" s="17">
        <f t="shared" si="187"/>
        <v>0</v>
      </c>
      <c r="DX143" s="110">
        <f t="shared" si="188"/>
        <v>1481067.1718542904</v>
      </c>
      <c r="DY143" s="110"/>
      <c r="DZ143" s="110">
        <f t="shared" si="219"/>
        <v>1481067.1718542904</v>
      </c>
      <c r="EA143" s="257"/>
      <c r="EB143" s="110">
        <f t="shared" si="189"/>
        <v>886.55421686746979</v>
      </c>
      <c r="EC143" s="110">
        <f>SUMIF(еирц!$B:$B,$B:$B,еирц!$K:$K)</f>
        <v>1461032.1</v>
      </c>
      <c r="ED143" s="110">
        <f>SUMIF(еирц!$B:$B,$B:$B,еирц!$P:$P)</f>
        <v>1406652.01</v>
      </c>
      <c r="EE143" s="110">
        <f>SUMIF(еирц!$B:$B,$B:$B,еирц!$S:$S)</f>
        <v>320185.21999999997</v>
      </c>
      <c r="EF143" s="177">
        <f t="shared" si="220"/>
        <v>-19148.517637422774</v>
      </c>
      <c r="EG143" s="181">
        <f t="shared" si="221"/>
        <v>0</v>
      </c>
      <c r="EH143" s="177">
        <f t="shared" si="222"/>
        <v>-19148.517637422774</v>
      </c>
    </row>
    <row r="144" spans="1:138" ht="12" customHeight="1" x14ac:dyDescent="0.25">
      <c r="A144" s="5">
        <f t="shared" si="223"/>
        <v>140</v>
      </c>
      <c r="B144" s="6" t="s">
        <v>224</v>
      </c>
      <c r="C144" s="7">
        <f t="shared" si="226"/>
        <v>6958.9</v>
      </c>
      <c r="D144" s="8">
        <v>6930.2</v>
      </c>
      <c r="E144" s="8">
        <v>28.7</v>
      </c>
      <c r="F144" s="8">
        <v>1296.2</v>
      </c>
      <c r="G144" s="87">
        <f t="shared" si="156"/>
        <v>6958.9</v>
      </c>
      <c r="H144" s="87">
        <f t="shared" si="157"/>
        <v>6958.9</v>
      </c>
      <c r="I144" s="91">
        <v>4</v>
      </c>
      <c r="J144" s="112">
        <v>1.0927936792003349E-2</v>
      </c>
      <c r="K144" s="17">
        <v>4</v>
      </c>
      <c r="L144" s="112">
        <f t="shared" si="190"/>
        <v>9.638554216867469E-3</v>
      </c>
      <c r="M144" s="116">
        <v>3.4064173228346464</v>
      </c>
      <c r="N144" s="120">
        <f t="shared" si="191"/>
        <v>6958.9</v>
      </c>
      <c r="O144" s="116">
        <v>3.0862314960629926</v>
      </c>
      <c r="P144" s="120">
        <f t="shared" si="192"/>
        <v>6958.9</v>
      </c>
      <c r="Q144" s="116">
        <v>1.6009275590551182</v>
      </c>
      <c r="R144" s="120">
        <f t="shared" si="193"/>
        <v>6958.9</v>
      </c>
      <c r="S144" s="5" t="s">
        <v>73</v>
      </c>
      <c r="T144" s="87">
        <v>41.34</v>
      </c>
      <c r="U144" s="88">
        <v>4.68</v>
      </c>
      <c r="V144" s="88">
        <v>7.92</v>
      </c>
      <c r="W144" s="88">
        <v>12.32</v>
      </c>
      <c r="X144" s="88">
        <v>6.34</v>
      </c>
      <c r="Y144" s="88">
        <v>2.89</v>
      </c>
      <c r="Z144" s="88">
        <v>1.66</v>
      </c>
      <c r="AA144" s="88">
        <v>5.29</v>
      </c>
      <c r="AB144" s="88">
        <v>0.24</v>
      </c>
      <c r="AC144" s="257"/>
      <c r="AD144" s="110">
        <f t="shared" si="194"/>
        <v>331124.33225698455</v>
      </c>
      <c r="AE144" s="110">
        <f t="shared" si="195"/>
        <v>251691.0013274271</v>
      </c>
      <c r="AF144" s="16">
        <f>SUMIF('20.01'!$I:$I,$B:$B,'20.01'!$D:$D)*1.2</f>
        <v>106009.17599999999</v>
      </c>
      <c r="AG144" s="17">
        <f t="shared" si="224"/>
        <v>44525.222300086018</v>
      </c>
      <c r="AH144" s="17">
        <f t="shared" si="196"/>
        <v>5313.8090587578381</v>
      </c>
      <c r="AI144" s="16">
        <f>SUMIF('20.01'!$J:$J,$B:$B,'20.01'!$D:$D)*1.2</f>
        <v>0</v>
      </c>
      <c r="AJ144" s="17">
        <f t="shared" si="197"/>
        <v>2159.4125357812463</v>
      </c>
      <c r="AK144" s="17">
        <f t="shared" si="198"/>
        <v>5253.3709758939431</v>
      </c>
      <c r="AL144" s="17">
        <f t="shared" si="199"/>
        <v>88430.010456908072</v>
      </c>
      <c r="AM144" s="110">
        <f t="shared" si="200"/>
        <v>0</v>
      </c>
      <c r="AN144" s="17">
        <f>SUMIF('20.01'!$K:$K,$B:$B,'20.01'!$D:$D)*1.2</f>
        <v>0</v>
      </c>
      <c r="AO144" s="17">
        <f>SUMIF('20.01'!$L:$L,$B:$B,'20.01'!$D:$D)*1.2</f>
        <v>0</v>
      </c>
      <c r="AP144" s="17">
        <f>SUMIF('20.01'!$M:$M,$B:$B,'20.01'!$D:$D)*1.2</f>
        <v>0</v>
      </c>
      <c r="AQ144" s="110">
        <f t="shared" si="201"/>
        <v>1954.8389295574145</v>
      </c>
      <c r="AR144" s="17">
        <f t="shared" si="202"/>
        <v>1954.8389295574145</v>
      </c>
      <c r="AS144" s="17">
        <f>(SUMIF('20.01'!$N:$N,$B:$B,'20.01'!$D:$D)+SUMIF('20.01'!$O:$O,$B:$B,'20.01'!$D:$D))*1.2</f>
        <v>0</v>
      </c>
      <c r="AT144" s="110">
        <f>SUMIF('20.01'!$P:$P,$B:$B,'20.01'!$D:$D)*1.2</f>
        <v>0</v>
      </c>
      <c r="AU144" s="110">
        <f t="shared" si="203"/>
        <v>0</v>
      </c>
      <c r="AV144" s="17">
        <f>SUMIF('20.01'!$Q:$Q,$B:$B,'20.01'!$D:$D)*1.2</f>
        <v>0</v>
      </c>
      <c r="AW144" s="17">
        <f>SUMIF('20.01'!$R:$R,$B:$B,'20.01'!$D:$D)*1.2</f>
        <v>0</v>
      </c>
      <c r="AX144" s="110">
        <f t="shared" si="204"/>
        <v>77478.491999999998</v>
      </c>
      <c r="AY144" s="17">
        <f>SUMIF('20.01'!$S:$S,$B:$B,'20.01'!$D:$D)*1.2</f>
        <v>77478.491999999998</v>
      </c>
      <c r="AZ144" s="17">
        <f>SUMIF('20.01'!$T:$T,$B:$B,'20.01'!$D:$D)*1.2</f>
        <v>0</v>
      </c>
      <c r="BA144" s="110">
        <f t="shared" si="205"/>
        <v>0</v>
      </c>
      <c r="BB144" s="17">
        <f>SUMIF('20.01'!$U:$U,$B:$B,'20.01'!$D:$D)*1.2</f>
        <v>0</v>
      </c>
      <c r="BC144" s="17">
        <f>SUMIF('20.01'!$V:$V,$B:$B,'20.01'!$D:$D)*1.2</f>
        <v>0</v>
      </c>
      <c r="BD144" s="17">
        <f>SUMIF('20.01'!$W:$W,$B:$B,'20.01'!$D:$D)*1.2</f>
        <v>0</v>
      </c>
      <c r="BE144" s="110">
        <f>SUMIF('20.01'!$X:$X,$B:$B,'20.01'!$D:$D)*1.2</f>
        <v>0</v>
      </c>
      <c r="BF144" s="110">
        <f t="shared" si="206"/>
        <v>0</v>
      </c>
      <c r="BG144" s="17">
        <f>SUMIF('20.01'!$Y:$Y,$B:$B,'20.01'!$D:$D)*1.2</f>
        <v>0</v>
      </c>
      <c r="BH144" s="17">
        <f>SUMIF('20.01'!$Z:$Z,$B:$B,'20.01'!$D:$D)*1.2</f>
        <v>0</v>
      </c>
      <c r="BI144" s="17">
        <f>SUMIF('20.01'!$AA:$AA,$B:$B,'20.01'!$D:$D)*1.2</f>
        <v>0</v>
      </c>
      <c r="BJ144" s="17">
        <f>SUMIF('20.01'!$AB:$AB,$B:$B,'20.01'!$D:$D)*1.2</f>
        <v>0</v>
      </c>
      <c r="BK144" s="17">
        <f>SUMIF('20.01'!$AC:$AC,$B:$B,'20.01'!$D:$D)*1.2</f>
        <v>0</v>
      </c>
      <c r="BL144" s="17">
        <f>SUMIF('20.01'!$AD:$AD,$B:$B,'20.01'!$D:$D)*1.2</f>
        <v>0</v>
      </c>
      <c r="BM144" s="110">
        <f t="shared" si="207"/>
        <v>0</v>
      </c>
      <c r="BN144" s="17">
        <f>SUMIF('20.01'!$AE:$AE,$B:$B,'20.01'!$D:$D)*1.2</f>
        <v>0</v>
      </c>
      <c r="BO144" s="17">
        <f>SUMIF('20.01'!$AF:$AF,$B:$B,'20.01'!$D:$D)*1.2</f>
        <v>0</v>
      </c>
      <c r="BP144" s="110">
        <f>SUMIF('20.01'!$AG:$AG,$B:$B,'20.01'!$D:$D)*1.2</f>
        <v>0</v>
      </c>
      <c r="BQ144" s="110">
        <f>SUMIF('20.01'!$AH:$AH,$B:$B,'20.01'!$D:$D)*1.2</f>
        <v>0</v>
      </c>
      <c r="BR144" s="110">
        <f>SUMIF('20.01'!$AI:$AI,$B:$B,'20.01'!$D:$D)*1.2</f>
        <v>0</v>
      </c>
      <c r="BS144" s="110">
        <f t="shared" si="208"/>
        <v>0</v>
      </c>
      <c r="BT144" s="17">
        <f>SUMIF('20.01'!$AJ:$AJ,$B:$B,'20.01'!$D:$D)*1.2</f>
        <v>0</v>
      </c>
      <c r="BU144" s="17">
        <f>SUMIF('20.01'!$AK:$AK,$B:$B,'20.01'!$D:$D)*1.2</f>
        <v>0</v>
      </c>
      <c r="BV144" s="110">
        <f>SUMIF('20.01'!$AL:$AL,$B:$B,'20.01'!$D:$D)*1.2</f>
        <v>0</v>
      </c>
      <c r="BW144" s="110">
        <f>SUMIF('20.01'!$AM:$AM,$B:$B,'20.01'!$D:$D)*1.2</f>
        <v>0</v>
      </c>
      <c r="BX144" s="110">
        <f>SUMIF('20.01'!$AN:$AN,$B:$B,'20.01'!$D:$D)*1.2</f>
        <v>0</v>
      </c>
      <c r="BY144" s="110">
        <f t="shared" si="158"/>
        <v>704289.51445842895</v>
      </c>
      <c r="BZ144" s="17">
        <f t="shared" si="225"/>
        <v>604316.03026807297</v>
      </c>
      <c r="CA144" s="17">
        <f t="shared" si="159"/>
        <v>43161.051976149341</v>
      </c>
      <c r="CB144" s="17">
        <f t="shared" si="160"/>
        <v>2869.1256809569441</v>
      </c>
      <c r="CC144" s="17">
        <f>SUMIF('20.01'!$AO:$AO,$B:$B,'20.01'!$D:$D)*1.2</f>
        <v>0</v>
      </c>
      <c r="CD144" s="17">
        <f t="shared" si="161"/>
        <v>45042.359160801054</v>
      </c>
      <c r="CE144" s="17">
        <f>SUMIF('20.01'!$AQ:$AQ,$B:$B,'20.01'!$D:$D)*1.2</f>
        <v>0</v>
      </c>
      <c r="CF144" s="17">
        <f t="shared" si="162"/>
        <v>4098.1426555075586</v>
      </c>
      <c r="CG144" s="17">
        <f>SUMIF('20.01'!$AR:$AR,$B:$B,'20.01'!$D:$D)*1.2</f>
        <v>0</v>
      </c>
      <c r="CH144" s="17">
        <f t="shared" si="163"/>
        <v>2413.508657900114</v>
      </c>
      <c r="CI144" s="17">
        <f>SUMIF('20.01'!$AT:$AT,$B:$B,'20.01'!$D:$D)*1.2</f>
        <v>0</v>
      </c>
      <c r="CJ144" s="17">
        <f>SUMIF('20.01'!$AU:$AU,$B:$B,'20.01'!$D:$D)*1.2</f>
        <v>0</v>
      </c>
      <c r="CK144" s="17">
        <f>SUMIF('20.01'!$AV:$AV,$B:$B,'20.01'!$D:$D)*1.2</f>
        <v>0</v>
      </c>
      <c r="CL144" s="17">
        <f t="shared" si="164"/>
        <v>2389.2960590409361</v>
      </c>
      <c r="CM144" s="17">
        <f>SUMIF('20.01'!$AW:$AW,$B:$B,'20.01'!$D:$D)*1.2</f>
        <v>0</v>
      </c>
      <c r="CN144" s="17">
        <f>SUMIF('20.01'!$AX:$AX,$B:$B,'20.01'!$D:$D)*1.2</f>
        <v>0</v>
      </c>
      <c r="CO144" s="110">
        <f t="shared" si="209"/>
        <v>801516.65071074257</v>
      </c>
      <c r="CP144" s="17">
        <f t="shared" si="210"/>
        <v>632269.49900707626</v>
      </c>
      <c r="CQ144" s="17">
        <f t="shared" si="165"/>
        <v>195063.84024493041</v>
      </c>
      <c r="CR144" s="17">
        <f t="shared" si="166"/>
        <v>437205.65876214579</v>
      </c>
      <c r="CS144" s="17">
        <f t="shared" si="211"/>
        <v>169247.15170366628</v>
      </c>
      <c r="CT144" s="17">
        <f t="shared" si="167"/>
        <v>6165.8222045350722</v>
      </c>
      <c r="CU144" s="17">
        <f t="shared" si="168"/>
        <v>5963.7897758209901</v>
      </c>
      <c r="CV144" s="17">
        <f t="shared" si="169"/>
        <v>6163.7070782010678</v>
      </c>
      <c r="CW144" s="17">
        <f t="shared" si="170"/>
        <v>64.633255231909047</v>
      </c>
      <c r="CX144" s="17">
        <f t="shared" si="171"/>
        <v>91010.121372803289</v>
      </c>
      <c r="CY144" s="17">
        <f t="shared" si="172"/>
        <v>59879.078017073967</v>
      </c>
      <c r="CZ144" s="110">
        <f t="shared" si="212"/>
        <v>198957.41574025253</v>
      </c>
      <c r="DA144" s="17">
        <f t="shared" si="213"/>
        <v>7515.4947944080304</v>
      </c>
      <c r="DB144" s="17">
        <f t="shared" si="173"/>
        <v>7131.9288718864082</v>
      </c>
      <c r="DC144" s="17">
        <f t="shared" si="174"/>
        <v>383.56592252162193</v>
      </c>
      <c r="DD144" s="17">
        <f t="shared" si="175"/>
        <v>13243.163918794336</v>
      </c>
      <c r="DE144" s="17">
        <f t="shared" si="176"/>
        <v>4569.2405057434516</v>
      </c>
      <c r="DF144" s="17">
        <f t="shared" si="177"/>
        <v>5545.409918526052</v>
      </c>
      <c r="DG144" s="17">
        <f t="shared" si="214"/>
        <v>168084.10660278067</v>
      </c>
      <c r="DH144" s="110">
        <f t="shared" si="215"/>
        <v>124164.96942359942</v>
      </c>
      <c r="DI144" s="17">
        <f t="shared" si="178"/>
        <v>111381.04006060523</v>
      </c>
      <c r="DJ144" s="17">
        <f t="shared" si="179"/>
        <v>12318.088550091694</v>
      </c>
      <c r="DK144" s="17">
        <f t="shared" si="180"/>
        <v>465.84081290250975</v>
      </c>
      <c r="DL144" s="110">
        <f t="shared" si="216"/>
        <v>939573.71837986074</v>
      </c>
      <c r="DM144" s="17">
        <f t="shared" si="181"/>
        <v>391227.59727352625</v>
      </c>
      <c r="DN144" s="17">
        <f t="shared" si="182"/>
        <v>346937.6806010516</v>
      </c>
      <c r="DO144" s="17">
        <f t="shared" si="183"/>
        <v>201408.44050528301</v>
      </c>
      <c r="DP144" s="110">
        <f t="shared" si="217"/>
        <v>312192.52800679969</v>
      </c>
      <c r="DQ144" s="17">
        <f>SUMIF('20.01'!$BB:$BB,$B:$B,'20.01'!$D:$D)*1.2</f>
        <v>10384.56</v>
      </c>
      <c r="DR144" s="17">
        <f t="shared" si="184"/>
        <v>299587.1049624522</v>
      </c>
      <c r="DS144" s="17">
        <f t="shared" si="185"/>
        <v>2220.8630443474867</v>
      </c>
      <c r="DT144" s="110">
        <f t="shared" si="218"/>
        <v>13560.012000000001</v>
      </c>
      <c r="DU144" s="17">
        <f>SUMIF('20.01'!$BD:$BD,$B:$B,'20.01'!$D:$D)*1.2</f>
        <v>13560.012000000001</v>
      </c>
      <c r="DV144" s="17">
        <f t="shared" si="186"/>
        <v>0</v>
      </c>
      <c r="DW144" s="17">
        <f t="shared" si="187"/>
        <v>0</v>
      </c>
      <c r="DX144" s="110">
        <f t="shared" si="188"/>
        <v>3425379.1409766683</v>
      </c>
      <c r="DY144" s="110"/>
      <c r="DZ144" s="110">
        <f t="shared" si="219"/>
        <v>3425379.1409766683</v>
      </c>
      <c r="EA144" s="257"/>
      <c r="EB144" s="110">
        <f t="shared" si="189"/>
        <v>3546.2168674698792</v>
      </c>
      <c r="EC144" s="110">
        <f>SUMIF(еирц!$B:$B,$B:$B,еирц!$K:$K)</f>
        <v>3371821.38</v>
      </c>
      <c r="ED144" s="110">
        <f>SUMIF(еирц!$B:$B,$B:$B,еирц!$P:$P)</f>
        <v>3280302.86</v>
      </c>
      <c r="EE144" s="110">
        <f>SUMIF(еирц!$B:$B,$B:$B,еирц!$S:$S)</f>
        <v>669043.05999999994</v>
      </c>
      <c r="EF144" s="177">
        <f t="shared" si="220"/>
        <v>-50011.54410919873</v>
      </c>
      <c r="EG144" s="181">
        <f t="shared" si="221"/>
        <v>0</v>
      </c>
      <c r="EH144" s="177">
        <f t="shared" si="222"/>
        <v>-50011.54410919873</v>
      </c>
    </row>
    <row r="145" spans="1:138" ht="12" customHeight="1" x14ac:dyDescent="0.25">
      <c r="A145" s="5">
        <f t="shared" si="223"/>
        <v>141</v>
      </c>
      <c r="B145" s="6" t="s">
        <v>225</v>
      </c>
      <c r="C145" s="7">
        <f t="shared" si="226"/>
        <v>3314.2</v>
      </c>
      <c r="D145" s="8">
        <v>3314.2</v>
      </c>
      <c r="E145" s="8">
        <v>0</v>
      </c>
      <c r="F145" s="8">
        <v>845.1</v>
      </c>
      <c r="G145" s="87">
        <f t="shared" si="156"/>
        <v>3314.2</v>
      </c>
      <c r="H145" s="87">
        <f t="shared" si="157"/>
        <v>3314.2</v>
      </c>
      <c r="I145" s="91">
        <v>2</v>
      </c>
      <c r="J145" s="112">
        <v>5.2048761764724918E-3</v>
      </c>
      <c r="K145" s="17">
        <v>1</v>
      </c>
      <c r="L145" s="112">
        <f t="shared" si="190"/>
        <v>2.4096385542168672E-3</v>
      </c>
      <c r="M145" s="116">
        <v>3.406414747876378</v>
      </c>
      <c r="N145" s="120">
        <f t="shared" si="191"/>
        <v>3314.2</v>
      </c>
      <c r="O145" s="116">
        <v>3.0862314115308154</v>
      </c>
      <c r="P145" s="120">
        <f t="shared" si="192"/>
        <v>3314.2</v>
      </c>
      <c r="Q145" s="116">
        <v>1.6009265859389119</v>
      </c>
      <c r="R145" s="120">
        <f t="shared" si="193"/>
        <v>3314.2</v>
      </c>
      <c r="S145" s="5" t="s">
        <v>73</v>
      </c>
      <c r="T145" s="87">
        <v>41.34</v>
      </c>
      <c r="U145" s="88">
        <v>4.68</v>
      </c>
      <c r="V145" s="88">
        <v>7.92</v>
      </c>
      <c r="W145" s="88">
        <v>12.32</v>
      </c>
      <c r="X145" s="88">
        <v>6.34</v>
      </c>
      <c r="Y145" s="88">
        <v>2.89</v>
      </c>
      <c r="Z145" s="88">
        <v>1.66</v>
      </c>
      <c r="AA145" s="88">
        <v>5.29</v>
      </c>
      <c r="AB145" s="88">
        <v>0.24</v>
      </c>
      <c r="AC145" s="257"/>
      <c r="AD145" s="110">
        <f t="shared" si="194"/>
        <v>556088.4998728676</v>
      </c>
      <c r="AE145" s="110">
        <f t="shared" si="195"/>
        <v>145752.06112589044</v>
      </c>
      <c r="AF145" s="16">
        <f>SUMIF('20.01'!$I:$I,$B:$B,'20.01'!$D:$D)*1.2</f>
        <v>76370.592000000004</v>
      </c>
      <c r="AG145" s="17">
        <f t="shared" si="224"/>
        <v>21205.289880145581</v>
      </c>
      <c r="AH145" s="17">
        <f t="shared" si="196"/>
        <v>2530.719795159469</v>
      </c>
      <c r="AI145" s="16">
        <f>SUMIF('20.01'!$J:$J,$B:$B,'20.01'!$D:$D)*1.2</f>
        <v>0</v>
      </c>
      <c r="AJ145" s="17">
        <f t="shared" si="197"/>
        <v>1028.4276288042947</v>
      </c>
      <c r="AK145" s="17">
        <f t="shared" si="198"/>
        <v>2501.9359508410389</v>
      </c>
      <c r="AL145" s="17">
        <f t="shared" si="199"/>
        <v>42115.095870940058</v>
      </c>
      <c r="AM145" s="110">
        <f t="shared" si="200"/>
        <v>0</v>
      </c>
      <c r="AN145" s="17">
        <f>SUMIF('20.01'!$K:$K,$B:$B,'20.01'!$D:$D)*1.2</f>
        <v>0</v>
      </c>
      <c r="AO145" s="17">
        <f>SUMIF('20.01'!$L:$L,$B:$B,'20.01'!$D:$D)*1.2</f>
        <v>0</v>
      </c>
      <c r="AP145" s="17">
        <f>SUMIF('20.01'!$M:$M,$B:$B,'20.01'!$D:$D)*1.2</f>
        <v>0</v>
      </c>
      <c r="AQ145" s="110">
        <f t="shared" si="201"/>
        <v>930.99874697713483</v>
      </c>
      <c r="AR145" s="17">
        <f t="shared" si="202"/>
        <v>930.99874697713483</v>
      </c>
      <c r="AS145" s="17">
        <f>(SUMIF('20.01'!$N:$N,$B:$B,'20.01'!$D:$D)+SUMIF('20.01'!$O:$O,$B:$B,'20.01'!$D:$D))*1.2</f>
        <v>0</v>
      </c>
      <c r="AT145" s="110">
        <f>SUMIF('20.01'!$P:$P,$B:$B,'20.01'!$D:$D)*1.2</f>
        <v>0</v>
      </c>
      <c r="AU145" s="110">
        <f t="shared" si="203"/>
        <v>0</v>
      </c>
      <c r="AV145" s="17">
        <f>SUMIF('20.01'!$Q:$Q,$B:$B,'20.01'!$D:$D)*1.2</f>
        <v>0</v>
      </c>
      <c r="AW145" s="17">
        <f>SUMIF('20.01'!$R:$R,$B:$B,'20.01'!$D:$D)*1.2</f>
        <v>0</v>
      </c>
      <c r="AX145" s="110">
        <f t="shared" si="204"/>
        <v>0</v>
      </c>
      <c r="AY145" s="17">
        <f>SUMIF('20.01'!$S:$S,$B:$B,'20.01'!$D:$D)*1.2</f>
        <v>0</v>
      </c>
      <c r="AZ145" s="17">
        <f>SUMIF('20.01'!$T:$T,$B:$B,'20.01'!$D:$D)*1.2</f>
        <v>0</v>
      </c>
      <c r="BA145" s="110">
        <f t="shared" si="205"/>
        <v>409405.44</v>
      </c>
      <c r="BB145" s="17">
        <f>SUMIF('20.01'!$U:$U,$B:$B,'20.01'!$D:$D)*1.2</f>
        <v>409405.44</v>
      </c>
      <c r="BC145" s="17">
        <f>SUMIF('20.01'!$V:$V,$B:$B,'20.01'!$D:$D)*1.2</f>
        <v>0</v>
      </c>
      <c r="BD145" s="17">
        <f>SUMIF('20.01'!$W:$W,$B:$B,'20.01'!$D:$D)*1.2</f>
        <v>0</v>
      </c>
      <c r="BE145" s="110">
        <f>SUMIF('20.01'!$X:$X,$B:$B,'20.01'!$D:$D)*1.2</f>
        <v>0</v>
      </c>
      <c r="BF145" s="110">
        <f t="shared" si="206"/>
        <v>0</v>
      </c>
      <c r="BG145" s="17">
        <f>SUMIF('20.01'!$Y:$Y,$B:$B,'20.01'!$D:$D)*1.2</f>
        <v>0</v>
      </c>
      <c r="BH145" s="17">
        <f>SUMIF('20.01'!$Z:$Z,$B:$B,'20.01'!$D:$D)*1.2</f>
        <v>0</v>
      </c>
      <c r="BI145" s="17">
        <f>SUMIF('20.01'!$AA:$AA,$B:$B,'20.01'!$D:$D)*1.2</f>
        <v>0</v>
      </c>
      <c r="BJ145" s="17">
        <f>SUMIF('20.01'!$AB:$AB,$B:$B,'20.01'!$D:$D)*1.2</f>
        <v>0</v>
      </c>
      <c r="BK145" s="17">
        <f>SUMIF('20.01'!$AC:$AC,$B:$B,'20.01'!$D:$D)*1.2</f>
        <v>0</v>
      </c>
      <c r="BL145" s="17">
        <f>SUMIF('20.01'!$AD:$AD,$B:$B,'20.01'!$D:$D)*1.2</f>
        <v>0</v>
      </c>
      <c r="BM145" s="110">
        <f t="shared" si="207"/>
        <v>0</v>
      </c>
      <c r="BN145" s="17">
        <f>SUMIF('20.01'!$AE:$AE,$B:$B,'20.01'!$D:$D)*1.2</f>
        <v>0</v>
      </c>
      <c r="BO145" s="17">
        <f>SUMIF('20.01'!$AF:$AF,$B:$B,'20.01'!$D:$D)*1.2</f>
        <v>0</v>
      </c>
      <c r="BP145" s="110">
        <f>SUMIF('20.01'!$AG:$AG,$B:$B,'20.01'!$D:$D)*1.2</f>
        <v>0</v>
      </c>
      <c r="BQ145" s="110">
        <f>SUMIF('20.01'!$AH:$AH,$B:$B,'20.01'!$D:$D)*1.2</f>
        <v>0</v>
      </c>
      <c r="BR145" s="110">
        <f>SUMIF('20.01'!$AI:$AI,$B:$B,'20.01'!$D:$D)*1.2</f>
        <v>0</v>
      </c>
      <c r="BS145" s="110">
        <f t="shared" si="208"/>
        <v>0</v>
      </c>
      <c r="BT145" s="17">
        <f>SUMIF('20.01'!$AJ:$AJ,$B:$B,'20.01'!$D:$D)*1.2</f>
        <v>0</v>
      </c>
      <c r="BU145" s="17">
        <f>SUMIF('20.01'!$AK:$AK,$B:$B,'20.01'!$D:$D)*1.2</f>
        <v>0</v>
      </c>
      <c r="BV145" s="110">
        <f>SUMIF('20.01'!$AL:$AL,$B:$B,'20.01'!$D:$D)*1.2</f>
        <v>0</v>
      </c>
      <c r="BW145" s="110">
        <f>SUMIF('20.01'!$AM:$AM,$B:$B,'20.01'!$D:$D)*1.2</f>
        <v>0</v>
      </c>
      <c r="BX145" s="110">
        <f>SUMIF('20.01'!$AN:$AN,$B:$B,'20.01'!$D:$D)*1.2</f>
        <v>0</v>
      </c>
      <c r="BY145" s="110">
        <f t="shared" si="158"/>
        <v>335420.2975783709</v>
      </c>
      <c r="BZ145" s="17">
        <f t="shared" si="225"/>
        <v>287807.58273785328</v>
      </c>
      <c r="CA145" s="17">
        <f t="shared" si="159"/>
        <v>20555.599083095625</v>
      </c>
      <c r="CB145" s="17">
        <f t="shared" si="160"/>
        <v>1366.4309491194736</v>
      </c>
      <c r="CC145" s="17">
        <f>SUMIF('20.01'!$AO:$AO,$B:$B,'20.01'!$D:$D)*1.2</f>
        <v>0</v>
      </c>
      <c r="CD145" s="17">
        <f t="shared" si="161"/>
        <v>21451.578084284421</v>
      </c>
      <c r="CE145" s="17">
        <f>SUMIF('20.01'!$AQ:$AQ,$B:$B,'20.01'!$D:$D)*1.2</f>
        <v>0</v>
      </c>
      <c r="CF145" s="17">
        <f t="shared" si="162"/>
        <v>1951.7544998323231</v>
      </c>
      <c r="CG145" s="17">
        <f>SUMIF('20.01'!$AR:$AR,$B:$B,'20.01'!$D:$D)*1.2</f>
        <v>0</v>
      </c>
      <c r="CH145" s="17">
        <f t="shared" si="163"/>
        <v>1149.4417787312013</v>
      </c>
      <c r="CI145" s="17">
        <f>SUMIF('20.01'!$AT:$AT,$B:$B,'20.01'!$D:$D)*1.2</f>
        <v>0</v>
      </c>
      <c r="CJ145" s="17">
        <f>SUMIF('20.01'!$AU:$AU,$B:$B,'20.01'!$D:$D)*1.2</f>
        <v>0</v>
      </c>
      <c r="CK145" s="17">
        <f>SUMIF('20.01'!$AV:$AV,$B:$B,'20.01'!$D:$D)*1.2</f>
        <v>0</v>
      </c>
      <c r="CL145" s="17">
        <f t="shared" si="164"/>
        <v>1137.9104454545218</v>
      </c>
      <c r="CM145" s="17">
        <f>SUMIF('20.01'!$AW:$AW,$B:$B,'20.01'!$D:$D)*1.2</f>
        <v>0</v>
      </c>
      <c r="CN145" s="17">
        <f>SUMIF('20.01'!$AX:$AX,$B:$B,'20.01'!$D:$D)*1.2</f>
        <v>0</v>
      </c>
      <c r="CO145" s="110">
        <f t="shared" si="209"/>
        <v>381725.05479106505</v>
      </c>
      <c r="CP145" s="17">
        <f t="shared" si="210"/>
        <v>301120.5181291945</v>
      </c>
      <c r="CQ145" s="17">
        <f t="shared" si="165"/>
        <v>92899.823153048375</v>
      </c>
      <c r="CR145" s="17">
        <f t="shared" si="166"/>
        <v>208220.69497614616</v>
      </c>
      <c r="CS145" s="17">
        <f t="shared" si="211"/>
        <v>80604.536661870545</v>
      </c>
      <c r="CT145" s="17">
        <f t="shared" si="167"/>
        <v>2936.4939789722707</v>
      </c>
      <c r="CU145" s="17">
        <f t="shared" si="168"/>
        <v>2840.2753416525493</v>
      </c>
      <c r="CV145" s="17">
        <f t="shared" si="169"/>
        <v>2935.4866427990023</v>
      </c>
      <c r="CW145" s="17">
        <f t="shared" si="170"/>
        <v>30.781809551738487</v>
      </c>
      <c r="CX145" s="17">
        <f t="shared" si="171"/>
        <v>43343.882546630171</v>
      </c>
      <c r="CY145" s="17">
        <f t="shared" si="172"/>
        <v>28517.616342264802</v>
      </c>
      <c r="CZ145" s="110">
        <f t="shared" si="212"/>
        <v>94754.15184100144</v>
      </c>
      <c r="DA145" s="17">
        <f t="shared" si="213"/>
        <v>3579.2801804347082</v>
      </c>
      <c r="DB145" s="17">
        <f t="shared" si="173"/>
        <v>3396.6055938734471</v>
      </c>
      <c r="DC145" s="17">
        <f t="shared" si="174"/>
        <v>182.67458656126104</v>
      </c>
      <c r="DD145" s="17">
        <f t="shared" si="175"/>
        <v>6307.1022517449865</v>
      </c>
      <c r="DE145" s="17">
        <f t="shared" si="176"/>
        <v>2176.1164672771483</v>
      </c>
      <c r="DF145" s="17">
        <f t="shared" si="177"/>
        <v>2641.0204992138183</v>
      </c>
      <c r="DG145" s="17">
        <f t="shared" si="214"/>
        <v>80050.632442330781</v>
      </c>
      <c r="DH145" s="110">
        <f t="shared" si="215"/>
        <v>59133.992680408286</v>
      </c>
      <c r="DI145" s="17">
        <f t="shared" si="178"/>
        <v>53045.602461431816</v>
      </c>
      <c r="DJ145" s="17">
        <f t="shared" si="179"/>
        <v>5866.5319335978229</v>
      </c>
      <c r="DK145" s="17">
        <f t="shared" si="180"/>
        <v>221.85828537865149</v>
      </c>
      <c r="DL145" s="110">
        <f t="shared" si="216"/>
        <v>447475.20692272269</v>
      </c>
      <c r="DM145" s="17">
        <f t="shared" si="181"/>
        <v>186323.48544797607</v>
      </c>
      <c r="DN145" s="17">
        <f t="shared" si="182"/>
        <v>165230.26068028068</v>
      </c>
      <c r="DO145" s="17">
        <f t="shared" si="183"/>
        <v>95921.460794465922</v>
      </c>
      <c r="DP145" s="110">
        <f t="shared" si="217"/>
        <v>149214.08211298133</v>
      </c>
      <c r="DQ145" s="17">
        <f>SUMIF('20.01'!$BB:$BB,$B:$B,'20.01'!$D:$D)*1.2</f>
        <v>5465.7120000000004</v>
      </c>
      <c r="DR145" s="17">
        <f t="shared" si="184"/>
        <v>142690.59339165266</v>
      </c>
      <c r="DS145" s="17">
        <f t="shared" si="185"/>
        <v>1057.7767213286845</v>
      </c>
      <c r="DT145" s="110">
        <f t="shared" si="218"/>
        <v>6542.94</v>
      </c>
      <c r="DU145" s="17">
        <f>SUMIF('20.01'!$BD:$BD,$B:$B,'20.01'!$D:$D)*1.2</f>
        <v>6542.94</v>
      </c>
      <c r="DV145" s="17">
        <f t="shared" si="186"/>
        <v>0</v>
      </c>
      <c r="DW145" s="17">
        <f t="shared" si="187"/>
        <v>0</v>
      </c>
      <c r="DX145" s="110">
        <f t="shared" si="188"/>
        <v>2030354.2257994171</v>
      </c>
      <c r="DY145" s="110"/>
      <c r="DZ145" s="110">
        <f t="shared" si="219"/>
        <v>2030354.2257994171</v>
      </c>
      <c r="EA145" s="257"/>
      <c r="EB145" s="110">
        <f t="shared" si="189"/>
        <v>886.55421686746979</v>
      </c>
      <c r="EC145" s="110">
        <f>SUMIF(еирц!$B:$B,$B:$B,еирц!$K:$K)</f>
        <v>1612491.7200000002</v>
      </c>
      <c r="ED145" s="110">
        <f>SUMIF(еирц!$B:$B,$B:$B,еирц!$P:$P)</f>
        <v>1545648.88</v>
      </c>
      <c r="EE145" s="110">
        <f>SUMIF(еирц!$B:$B,$B:$B,еирц!$S:$S)</f>
        <v>216467.11</v>
      </c>
      <c r="EF145" s="177">
        <f t="shared" si="220"/>
        <v>-416975.95158254937</v>
      </c>
      <c r="EG145" s="181">
        <f t="shared" si="221"/>
        <v>0</v>
      </c>
      <c r="EH145" s="177">
        <f t="shared" si="222"/>
        <v>-416975.95158254937</v>
      </c>
    </row>
    <row r="146" spans="1:138" ht="12" customHeight="1" x14ac:dyDescent="0.25">
      <c r="A146" s="5">
        <f t="shared" si="223"/>
        <v>142</v>
      </c>
      <c r="B146" s="6" t="s">
        <v>226</v>
      </c>
      <c r="C146" s="7">
        <f t="shared" si="226"/>
        <v>7068.4</v>
      </c>
      <c r="D146" s="8">
        <v>7068.4</v>
      </c>
      <c r="E146" s="8">
        <v>0</v>
      </c>
      <c r="F146" s="8">
        <v>1732.7</v>
      </c>
      <c r="G146" s="87">
        <f t="shared" si="156"/>
        <v>7068.4</v>
      </c>
      <c r="H146" s="87">
        <f t="shared" si="157"/>
        <v>7068.4</v>
      </c>
      <c r="I146" s="91">
        <v>4</v>
      </c>
      <c r="J146" s="112">
        <v>1.1116424995536039E-2</v>
      </c>
      <c r="K146" s="17">
        <v>4</v>
      </c>
      <c r="L146" s="112">
        <f t="shared" si="190"/>
        <v>9.638554216867469E-3</v>
      </c>
      <c r="M146" s="116">
        <v>3.4064162377468294</v>
      </c>
      <c r="N146" s="120">
        <f t="shared" si="191"/>
        <v>7068.4</v>
      </c>
      <c r="O146" s="116">
        <v>3.0862312268708152</v>
      </c>
      <c r="P146" s="120">
        <f t="shared" si="192"/>
        <v>7068.4</v>
      </c>
      <c r="Q146" s="116">
        <v>1.6009266024463966</v>
      </c>
      <c r="R146" s="120">
        <f t="shared" si="193"/>
        <v>7068.4</v>
      </c>
      <c r="S146" s="5" t="s">
        <v>73</v>
      </c>
      <c r="T146" s="87">
        <v>41.34</v>
      </c>
      <c r="U146" s="88">
        <v>4.68</v>
      </c>
      <c r="V146" s="88">
        <v>7.92</v>
      </c>
      <c r="W146" s="88">
        <v>12.32</v>
      </c>
      <c r="X146" s="88">
        <v>6.34</v>
      </c>
      <c r="Y146" s="88">
        <v>2.89</v>
      </c>
      <c r="Z146" s="88">
        <v>1.66</v>
      </c>
      <c r="AA146" s="88">
        <v>5.29</v>
      </c>
      <c r="AB146" s="88">
        <v>0.24</v>
      </c>
      <c r="AC146" s="257"/>
      <c r="AD146" s="110">
        <f t="shared" si="194"/>
        <v>332719.12741577975</v>
      </c>
      <c r="AE146" s="110">
        <f t="shared" si="195"/>
        <v>217398.67661572748</v>
      </c>
      <c r="AF146" s="16">
        <f>SUMIF('20.01'!$I:$I,$B:$B,'20.01'!$D:$D)*1.2</f>
        <v>69424.512000000002</v>
      </c>
      <c r="AG146" s="17">
        <f t="shared" si="224"/>
        <v>45225.837604496111</v>
      </c>
      <c r="AH146" s="17">
        <f t="shared" si="196"/>
        <v>5397.4231489062786</v>
      </c>
      <c r="AI146" s="16">
        <f>SUMIF('20.01'!$J:$J,$B:$B,'20.01'!$D:$D)*1.2</f>
        <v>0</v>
      </c>
      <c r="AJ146" s="17">
        <f t="shared" si="197"/>
        <v>2193.3914221954851</v>
      </c>
      <c r="AK146" s="17">
        <f t="shared" si="198"/>
        <v>5336.0340579701888</v>
      </c>
      <c r="AL146" s="17">
        <f t="shared" si="199"/>
        <v>89821.478382159403</v>
      </c>
      <c r="AM146" s="110">
        <f t="shared" si="200"/>
        <v>113334.852</v>
      </c>
      <c r="AN146" s="17">
        <f>SUMIF('20.01'!$K:$K,$B:$B,'20.01'!$D:$D)*1.2</f>
        <v>113334.852</v>
      </c>
      <c r="AO146" s="17">
        <f>SUMIF('20.01'!$L:$L,$B:$B,'20.01'!$D:$D)*1.2</f>
        <v>0</v>
      </c>
      <c r="AP146" s="17">
        <f>SUMIF('20.01'!$M:$M,$B:$B,'20.01'!$D:$D)*1.2</f>
        <v>0</v>
      </c>
      <c r="AQ146" s="110">
        <f t="shared" si="201"/>
        <v>1985.5988000522539</v>
      </c>
      <c r="AR146" s="17">
        <f t="shared" si="202"/>
        <v>1985.5988000522539</v>
      </c>
      <c r="AS146" s="17">
        <f>(SUMIF('20.01'!$N:$N,$B:$B,'20.01'!$D:$D)+SUMIF('20.01'!$O:$O,$B:$B,'20.01'!$D:$D))*1.2</f>
        <v>0</v>
      </c>
      <c r="AT146" s="110">
        <f>SUMIF('20.01'!$P:$P,$B:$B,'20.01'!$D:$D)*1.2</f>
        <v>0</v>
      </c>
      <c r="AU146" s="110">
        <f t="shared" si="203"/>
        <v>0</v>
      </c>
      <c r="AV146" s="17">
        <f>SUMIF('20.01'!$Q:$Q,$B:$B,'20.01'!$D:$D)*1.2</f>
        <v>0</v>
      </c>
      <c r="AW146" s="17">
        <f>SUMIF('20.01'!$R:$R,$B:$B,'20.01'!$D:$D)*1.2</f>
        <v>0</v>
      </c>
      <c r="AX146" s="110">
        <f t="shared" si="204"/>
        <v>0</v>
      </c>
      <c r="AY146" s="17">
        <f>SUMIF('20.01'!$S:$S,$B:$B,'20.01'!$D:$D)*1.2</f>
        <v>0</v>
      </c>
      <c r="AZ146" s="17">
        <f>SUMIF('20.01'!$T:$T,$B:$B,'20.01'!$D:$D)*1.2</f>
        <v>0</v>
      </c>
      <c r="BA146" s="110">
        <f t="shared" si="205"/>
        <v>0</v>
      </c>
      <c r="BB146" s="17">
        <f>SUMIF('20.01'!$U:$U,$B:$B,'20.01'!$D:$D)*1.2</f>
        <v>0</v>
      </c>
      <c r="BC146" s="17">
        <f>SUMIF('20.01'!$V:$V,$B:$B,'20.01'!$D:$D)*1.2</f>
        <v>0</v>
      </c>
      <c r="BD146" s="17">
        <f>SUMIF('20.01'!$W:$W,$B:$B,'20.01'!$D:$D)*1.2</f>
        <v>0</v>
      </c>
      <c r="BE146" s="110">
        <f>SUMIF('20.01'!$X:$X,$B:$B,'20.01'!$D:$D)*1.2</f>
        <v>0</v>
      </c>
      <c r="BF146" s="110">
        <f t="shared" si="206"/>
        <v>0</v>
      </c>
      <c r="BG146" s="17">
        <f>SUMIF('20.01'!$Y:$Y,$B:$B,'20.01'!$D:$D)*1.2</f>
        <v>0</v>
      </c>
      <c r="BH146" s="17">
        <f>SUMIF('20.01'!$Z:$Z,$B:$B,'20.01'!$D:$D)*1.2</f>
        <v>0</v>
      </c>
      <c r="BI146" s="17">
        <f>SUMIF('20.01'!$AA:$AA,$B:$B,'20.01'!$D:$D)*1.2</f>
        <v>0</v>
      </c>
      <c r="BJ146" s="17">
        <f>SUMIF('20.01'!$AB:$AB,$B:$B,'20.01'!$D:$D)*1.2</f>
        <v>0</v>
      </c>
      <c r="BK146" s="17">
        <f>SUMIF('20.01'!$AC:$AC,$B:$B,'20.01'!$D:$D)*1.2</f>
        <v>0</v>
      </c>
      <c r="BL146" s="17">
        <f>SUMIF('20.01'!$AD:$AD,$B:$B,'20.01'!$D:$D)*1.2</f>
        <v>0</v>
      </c>
      <c r="BM146" s="110">
        <f t="shared" si="207"/>
        <v>0</v>
      </c>
      <c r="BN146" s="17">
        <f>SUMIF('20.01'!$AE:$AE,$B:$B,'20.01'!$D:$D)*1.2</f>
        <v>0</v>
      </c>
      <c r="BO146" s="17">
        <f>SUMIF('20.01'!$AF:$AF,$B:$B,'20.01'!$D:$D)*1.2</f>
        <v>0</v>
      </c>
      <c r="BP146" s="110">
        <f>SUMIF('20.01'!$AG:$AG,$B:$B,'20.01'!$D:$D)*1.2</f>
        <v>0</v>
      </c>
      <c r="BQ146" s="110">
        <f>SUMIF('20.01'!$AH:$AH,$B:$B,'20.01'!$D:$D)*1.2</f>
        <v>0</v>
      </c>
      <c r="BR146" s="110">
        <f>SUMIF('20.01'!$AI:$AI,$B:$B,'20.01'!$D:$D)*1.2</f>
        <v>0</v>
      </c>
      <c r="BS146" s="110">
        <f t="shared" si="208"/>
        <v>0</v>
      </c>
      <c r="BT146" s="17">
        <f>SUMIF('20.01'!$AJ:$AJ,$B:$B,'20.01'!$D:$D)*1.2</f>
        <v>0</v>
      </c>
      <c r="BU146" s="17">
        <f>SUMIF('20.01'!$AK:$AK,$B:$B,'20.01'!$D:$D)*1.2</f>
        <v>0</v>
      </c>
      <c r="BV146" s="110">
        <f>SUMIF('20.01'!$AL:$AL,$B:$B,'20.01'!$D:$D)*1.2</f>
        <v>0</v>
      </c>
      <c r="BW146" s="110">
        <f>SUMIF('20.01'!$AM:$AM,$B:$B,'20.01'!$D:$D)*1.2</f>
        <v>0</v>
      </c>
      <c r="BX146" s="110">
        <f>SUMIF('20.01'!$AN:$AN,$B:$B,'20.01'!$D:$D)*1.2</f>
        <v>0</v>
      </c>
      <c r="BY146" s="110">
        <f t="shared" si="158"/>
        <v>715371.68288062175</v>
      </c>
      <c r="BZ146" s="17">
        <f t="shared" si="225"/>
        <v>613825.0913717465</v>
      </c>
      <c r="CA146" s="17">
        <f t="shared" si="159"/>
        <v>43840.201725590829</v>
      </c>
      <c r="CB146" s="17">
        <f t="shared" si="160"/>
        <v>2914.2720779542838</v>
      </c>
      <c r="CC146" s="17">
        <f>SUMIF('20.01'!$AO:$AO,$B:$B,'20.01'!$D:$D)*1.2</f>
        <v>0</v>
      </c>
      <c r="CD146" s="17">
        <f t="shared" si="161"/>
        <v>45751.111740678294</v>
      </c>
      <c r="CE146" s="17">
        <f>SUMIF('20.01'!$AQ:$AQ,$B:$B,'20.01'!$D:$D)*1.2</f>
        <v>0</v>
      </c>
      <c r="CF146" s="17">
        <f t="shared" si="162"/>
        <v>4162.6279363390231</v>
      </c>
      <c r="CG146" s="17">
        <f>SUMIF('20.01'!$AR:$AR,$B:$B,'20.01'!$D:$D)*1.2</f>
        <v>0</v>
      </c>
      <c r="CH146" s="17">
        <f t="shared" si="163"/>
        <v>2451.4858091797792</v>
      </c>
      <c r="CI146" s="17">
        <f>SUMIF('20.01'!$AT:$AT,$B:$B,'20.01'!$D:$D)*1.2</f>
        <v>0</v>
      </c>
      <c r="CJ146" s="17">
        <f>SUMIF('20.01'!$AU:$AU,$B:$B,'20.01'!$D:$D)*1.2</f>
        <v>0</v>
      </c>
      <c r="CK146" s="17">
        <f>SUMIF('20.01'!$AV:$AV,$B:$B,'20.01'!$D:$D)*1.2</f>
        <v>0</v>
      </c>
      <c r="CL146" s="17">
        <f t="shared" si="164"/>
        <v>2426.8922191330462</v>
      </c>
      <c r="CM146" s="17">
        <f>SUMIF('20.01'!$AW:$AW,$B:$B,'20.01'!$D:$D)*1.2</f>
        <v>0</v>
      </c>
      <c r="CN146" s="17">
        <f>SUMIF('20.01'!$AX:$AX,$B:$B,'20.01'!$D:$D)*1.2</f>
        <v>0</v>
      </c>
      <c r="CO146" s="110">
        <f t="shared" si="209"/>
        <v>814128.71199238568</v>
      </c>
      <c r="CP146" s="17">
        <f t="shared" si="210"/>
        <v>642218.41480429634</v>
      </c>
      <c r="CQ146" s="17">
        <f t="shared" si="165"/>
        <v>198133.21766188135</v>
      </c>
      <c r="CR146" s="17">
        <f t="shared" si="166"/>
        <v>444085.19714241492</v>
      </c>
      <c r="CS146" s="17">
        <f t="shared" si="211"/>
        <v>171910.29718808932</v>
      </c>
      <c r="CT146" s="17">
        <f t="shared" si="167"/>
        <v>6262.8429307125698</v>
      </c>
      <c r="CU146" s="17">
        <f t="shared" si="168"/>
        <v>6057.6314721310964</v>
      </c>
      <c r="CV146" s="17">
        <f t="shared" si="169"/>
        <v>6260.694522346409</v>
      </c>
      <c r="CW146" s="17">
        <f t="shared" si="170"/>
        <v>65.650275371283669</v>
      </c>
      <c r="CX146" s="17">
        <f t="shared" si="171"/>
        <v>92442.187976766843</v>
      </c>
      <c r="CY146" s="17">
        <f t="shared" si="172"/>
        <v>60821.290010761128</v>
      </c>
      <c r="CZ146" s="110">
        <f t="shared" si="212"/>
        <v>202088.05952354553</v>
      </c>
      <c r="DA146" s="17">
        <f t="shared" si="213"/>
        <v>7633.7529501492645</v>
      </c>
      <c r="DB146" s="17">
        <f t="shared" si="173"/>
        <v>7244.1515236663672</v>
      </c>
      <c r="DC146" s="17">
        <f t="shared" si="174"/>
        <v>389.60142648289707</v>
      </c>
      <c r="DD146" s="17">
        <f t="shared" si="175"/>
        <v>13451.548354424676</v>
      </c>
      <c r="DE146" s="17">
        <f t="shared" si="176"/>
        <v>4641.1386269089962</v>
      </c>
      <c r="DF146" s="17">
        <f t="shared" si="177"/>
        <v>5632.6683050639531</v>
      </c>
      <c r="DG146" s="17">
        <f t="shared" si="214"/>
        <v>170728.95128699864</v>
      </c>
      <c r="DH146" s="110">
        <f t="shared" si="215"/>
        <v>126118.7357015865</v>
      </c>
      <c r="DI146" s="17">
        <f t="shared" si="178"/>
        <v>113133.6480714455</v>
      </c>
      <c r="DJ146" s="17">
        <f t="shared" si="179"/>
        <v>12511.916697677525</v>
      </c>
      <c r="DK146" s="17">
        <f t="shared" si="180"/>
        <v>473.17093246347844</v>
      </c>
      <c r="DL146" s="110">
        <f t="shared" si="216"/>
        <v>954358.14151607419</v>
      </c>
      <c r="DM146" s="17">
        <f t="shared" si="181"/>
        <v>397383.65956806293</v>
      </c>
      <c r="DN146" s="17">
        <f t="shared" si="182"/>
        <v>352396.8301829992</v>
      </c>
      <c r="DO146" s="17">
        <f t="shared" si="183"/>
        <v>204577.65176501207</v>
      </c>
      <c r="DP146" s="110">
        <f t="shared" si="217"/>
        <v>317398.19882867712</v>
      </c>
      <c r="DQ146" s="17">
        <f>SUMIF('20.01'!$BB:$BB,$B:$B,'20.01'!$D:$D)*1.2</f>
        <v>10384.56</v>
      </c>
      <c r="DR146" s="17">
        <f t="shared" si="184"/>
        <v>304754.46969842445</v>
      </c>
      <c r="DS146" s="17">
        <f t="shared" si="185"/>
        <v>2259.1691302526979</v>
      </c>
      <c r="DT146" s="110">
        <f t="shared" si="218"/>
        <v>13654.836000000001</v>
      </c>
      <c r="DU146" s="17">
        <f>SUMIF('20.01'!$BD:$BD,$B:$B,'20.01'!$D:$D)*1.2</f>
        <v>13654.836000000001</v>
      </c>
      <c r="DV146" s="17">
        <f t="shared" si="186"/>
        <v>0</v>
      </c>
      <c r="DW146" s="17">
        <f t="shared" si="187"/>
        <v>0</v>
      </c>
      <c r="DX146" s="110">
        <f t="shared" si="188"/>
        <v>3475837.4938586704</v>
      </c>
      <c r="DY146" s="110"/>
      <c r="DZ146" s="110">
        <f t="shared" si="219"/>
        <v>3475837.4938586704</v>
      </c>
      <c r="EA146" s="257"/>
      <c r="EB146" s="110">
        <f t="shared" si="189"/>
        <v>3546.2168674698792</v>
      </c>
      <c r="EC146" s="110">
        <f>SUMIF(еирц!$B:$B,$B:$B,еирц!$K:$K)</f>
        <v>3439062.4800000004</v>
      </c>
      <c r="ED146" s="110">
        <f>SUMIF(еирц!$B:$B,$B:$B,еирц!$P:$P)</f>
        <v>3345129.4099999997</v>
      </c>
      <c r="EE146" s="110">
        <f>SUMIF(еирц!$B:$B,$B:$B,еирц!$S:$S)</f>
        <v>530372.30000000005</v>
      </c>
      <c r="EF146" s="177">
        <f t="shared" si="220"/>
        <v>-33228.796991200186</v>
      </c>
      <c r="EG146" s="181">
        <f t="shared" si="221"/>
        <v>0</v>
      </c>
      <c r="EH146" s="177">
        <f t="shared" si="222"/>
        <v>-33228.796991200186</v>
      </c>
    </row>
    <row r="147" spans="1:138" ht="12" customHeight="1" x14ac:dyDescent="0.25">
      <c r="A147" s="5">
        <f t="shared" si="223"/>
        <v>143</v>
      </c>
      <c r="B147" s="6" t="s">
        <v>227</v>
      </c>
      <c r="C147" s="7">
        <f t="shared" si="226"/>
        <v>6953.13</v>
      </c>
      <c r="D147" s="8">
        <v>6953.13</v>
      </c>
      <c r="E147" s="8">
        <v>0</v>
      </c>
      <c r="F147" s="8">
        <v>1296.2</v>
      </c>
      <c r="G147" s="87">
        <f t="shared" si="156"/>
        <v>6953.13</v>
      </c>
      <c r="H147" s="87">
        <f t="shared" si="157"/>
        <v>6953.13</v>
      </c>
      <c r="I147" s="91">
        <v>4</v>
      </c>
      <c r="J147" s="112">
        <v>1.0923091226001162E-2</v>
      </c>
      <c r="K147" s="17">
        <v>4</v>
      </c>
      <c r="L147" s="112">
        <f t="shared" si="190"/>
        <v>9.638554216867469E-3</v>
      </c>
      <c r="M147" s="116">
        <v>3.4064174024003311</v>
      </c>
      <c r="N147" s="120">
        <f t="shared" si="191"/>
        <v>6953.13</v>
      </c>
      <c r="O147" s="116">
        <v>3.0862325838046627</v>
      </c>
      <c r="P147" s="120">
        <f t="shared" si="192"/>
        <v>6953.13</v>
      </c>
      <c r="Q147" s="116">
        <v>1.6009272428380927</v>
      </c>
      <c r="R147" s="120">
        <f t="shared" si="193"/>
        <v>6953.13</v>
      </c>
      <c r="S147" s="5" t="s">
        <v>73</v>
      </c>
      <c r="T147" s="87">
        <v>41.34</v>
      </c>
      <c r="U147" s="88">
        <v>4.68</v>
      </c>
      <c r="V147" s="88">
        <v>7.92</v>
      </c>
      <c r="W147" s="88">
        <v>12.32</v>
      </c>
      <c r="X147" s="88">
        <v>6.34</v>
      </c>
      <c r="Y147" s="88">
        <v>2.89</v>
      </c>
      <c r="Z147" s="88">
        <v>1.66</v>
      </c>
      <c r="AA147" s="88">
        <v>5.29</v>
      </c>
      <c r="AB147" s="88">
        <v>0.24</v>
      </c>
      <c r="AC147" s="257"/>
      <c r="AD147" s="110">
        <f t="shared" si="194"/>
        <v>198546.35072140236</v>
      </c>
      <c r="AE147" s="110">
        <f t="shared" si="195"/>
        <v>196593.13265442717</v>
      </c>
      <c r="AF147" s="16">
        <f>SUMIF('20.01'!$I:$I,$B:$B,'20.01'!$D:$D)*1.2</f>
        <v>51032.1</v>
      </c>
      <c r="AG147" s="17">
        <f t="shared" si="224"/>
        <v>44488.304032447239</v>
      </c>
      <c r="AH147" s="17">
        <f t="shared" si="196"/>
        <v>5309.403092546364</v>
      </c>
      <c r="AI147" s="16">
        <f>SUMIF('20.01'!$J:$J,$B:$B,'20.01'!$D:$D)*1.2</f>
        <v>0</v>
      </c>
      <c r="AJ147" s="17">
        <f t="shared" si="197"/>
        <v>2157.6220501683683</v>
      </c>
      <c r="AK147" s="17">
        <f t="shared" si="198"/>
        <v>5249.0151221626193</v>
      </c>
      <c r="AL147" s="17">
        <f t="shared" si="199"/>
        <v>88356.688357102597</v>
      </c>
      <c r="AM147" s="110">
        <f t="shared" si="200"/>
        <v>0</v>
      </c>
      <c r="AN147" s="17">
        <f>SUMIF('20.01'!$K:$K,$B:$B,'20.01'!$D:$D)*1.2</f>
        <v>0</v>
      </c>
      <c r="AO147" s="17">
        <f>SUMIF('20.01'!$L:$L,$B:$B,'20.01'!$D:$D)*1.2</f>
        <v>0</v>
      </c>
      <c r="AP147" s="17">
        <f>SUMIF('20.01'!$M:$M,$B:$B,'20.01'!$D:$D)*1.2</f>
        <v>0</v>
      </c>
      <c r="AQ147" s="110">
        <f t="shared" si="201"/>
        <v>1953.2180669751754</v>
      </c>
      <c r="AR147" s="17">
        <f t="shared" si="202"/>
        <v>1953.2180669751754</v>
      </c>
      <c r="AS147" s="17">
        <f>(SUMIF('20.01'!$N:$N,$B:$B,'20.01'!$D:$D)+SUMIF('20.01'!$O:$O,$B:$B,'20.01'!$D:$D))*1.2</f>
        <v>0</v>
      </c>
      <c r="AT147" s="110">
        <f>SUMIF('20.01'!$P:$P,$B:$B,'20.01'!$D:$D)*1.2</f>
        <v>0</v>
      </c>
      <c r="AU147" s="110">
        <f t="shared" si="203"/>
        <v>0</v>
      </c>
      <c r="AV147" s="17">
        <f>SUMIF('20.01'!$Q:$Q,$B:$B,'20.01'!$D:$D)*1.2</f>
        <v>0</v>
      </c>
      <c r="AW147" s="17">
        <f>SUMIF('20.01'!$R:$R,$B:$B,'20.01'!$D:$D)*1.2</f>
        <v>0</v>
      </c>
      <c r="AX147" s="110">
        <f t="shared" si="204"/>
        <v>0</v>
      </c>
      <c r="AY147" s="17">
        <f>SUMIF('20.01'!$S:$S,$B:$B,'20.01'!$D:$D)*1.2</f>
        <v>0</v>
      </c>
      <c r="AZ147" s="17">
        <f>SUMIF('20.01'!$T:$T,$B:$B,'20.01'!$D:$D)*1.2</f>
        <v>0</v>
      </c>
      <c r="BA147" s="110">
        <f t="shared" si="205"/>
        <v>0</v>
      </c>
      <c r="BB147" s="17">
        <f>SUMIF('20.01'!$U:$U,$B:$B,'20.01'!$D:$D)*1.2</f>
        <v>0</v>
      </c>
      <c r="BC147" s="17">
        <f>SUMIF('20.01'!$V:$V,$B:$B,'20.01'!$D:$D)*1.2</f>
        <v>0</v>
      </c>
      <c r="BD147" s="17">
        <f>SUMIF('20.01'!$W:$W,$B:$B,'20.01'!$D:$D)*1.2</f>
        <v>0</v>
      </c>
      <c r="BE147" s="110">
        <f>SUMIF('20.01'!$X:$X,$B:$B,'20.01'!$D:$D)*1.2</f>
        <v>0</v>
      </c>
      <c r="BF147" s="110">
        <f t="shared" si="206"/>
        <v>0</v>
      </c>
      <c r="BG147" s="17">
        <f>SUMIF('20.01'!$Y:$Y,$B:$B,'20.01'!$D:$D)*1.2</f>
        <v>0</v>
      </c>
      <c r="BH147" s="17">
        <f>SUMIF('20.01'!$Z:$Z,$B:$B,'20.01'!$D:$D)*1.2</f>
        <v>0</v>
      </c>
      <c r="BI147" s="17">
        <f>SUMIF('20.01'!$AA:$AA,$B:$B,'20.01'!$D:$D)*1.2</f>
        <v>0</v>
      </c>
      <c r="BJ147" s="17">
        <f>SUMIF('20.01'!$AB:$AB,$B:$B,'20.01'!$D:$D)*1.2</f>
        <v>0</v>
      </c>
      <c r="BK147" s="17">
        <f>SUMIF('20.01'!$AC:$AC,$B:$B,'20.01'!$D:$D)*1.2</f>
        <v>0</v>
      </c>
      <c r="BL147" s="17">
        <f>SUMIF('20.01'!$AD:$AD,$B:$B,'20.01'!$D:$D)*1.2</f>
        <v>0</v>
      </c>
      <c r="BM147" s="110">
        <f t="shared" si="207"/>
        <v>0</v>
      </c>
      <c r="BN147" s="17">
        <f>SUMIF('20.01'!$AE:$AE,$B:$B,'20.01'!$D:$D)*1.2</f>
        <v>0</v>
      </c>
      <c r="BO147" s="17">
        <f>SUMIF('20.01'!$AF:$AF,$B:$B,'20.01'!$D:$D)*1.2</f>
        <v>0</v>
      </c>
      <c r="BP147" s="110">
        <f>SUMIF('20.01'!$AG:$AG,$B:$B,'20.01'!$D:$D)*1.2</f>
        <v>0</v>
      </c>
      <c r="BQ147" s="110">
        <f>SUMIF('20.01'!$AH:$AH,$B:$B,'20.01'!$D:$D)*1.2</f>
        <v>0</v>
      </c>
      <c r="BR147" s="110">
        <f>SUMIF('20.01'!$AI:$AI,$B:$B,'20.01'!$D:$D)*1.2</f>
        <v>0</v>
      </c>
      <c r="BS147" s="110">
        <f t="shared" si="208"/>
        <v>0</v>
      </c>
      <c r="BT147" s="17">
        <f>SUMIF('20.01'!$AJ:$AJ,$B:$B,'20.01'!$D:$D)*1.2</f>
        <v>0</v>
      </c>
      <c r="BU147" s="17">
        <f>SUMIF('20.01'!$AK:$AK,$B:$B,'20.01'!$D:$D)*1.2</f>
        <v>0</v>
      </c>
      <c r="BV147" s="110">
        <f>SUMIF('20.01'!$AL:$AL,$B:$B,'20.01'!$D:$D)*1.2</f>
        <v>0</v>
      </c>
      <c r="BW147" s="110">
        <f>SUMIF('20.01'!$AM:$AM,$B:$B,'20.01'!$D:$D)*1.2</f>
        <v>0</v>
      </c>
      <c r="BX147" s="110">
        <f>SUMIF('20.01'!$AN:$AN,$B:$B,'20.01'!$D:$D)*1.2</f>
        <v>0</v>
      </c>
      <c r="BY147" s="110">
        <f t="shared" si="158"/>
        <v>703705.54996714089</v>
      </c>
      <c r="BZ147" s="17">
        <f t="shared" si="225"/>
        <v>603814.9591943908</v>
      </c>
      <c r="CA147" s="17">
        <f t="shared" si="159"/>
        <v>43125.264815836315</v>
      </c>
      <c r="CB147" s="17">
        <f t="shared" si="160"/>
        <v>2866.7467338274955</v>
      </c>
      <c r="CC147" s="17">
        <f>SUMIF('20.01'!$AO:$AO,$B:$B,'20.01'!$D:$D)*1.2</f>
        <v>0</v>
      </c>
      <c r="CD147" s="17">
        <f t="shared" si="161"/>
        <v>45005.012107048628</v>
      </c>
      <c r="CE147" s="17">
        <f>SUMIF('20.01'!$AQ:$AQ,$B:$B,'20.01'!$D:$D)*1.2</f>
        <v>0</v>
      </c>
      <c r="CF147" s="17">
        <f t="shared" si="162"/>
        <v>4094.7446639970794</v>
      </c>
      <c r="CG147" s="17">
        <f>SUMIF('20.01'!$AR:$AR,$B:$B,'20.01'!$D:$D)*1.2</f>
        <v>0</v>
      </c>
      <c r="CH147" s="17">
        <f t="shared" si="163"/>
        <v>2411.5074874628203</v>
      </c>
      <c r="CI147" s="17">
        <f>SUMIF('20.01'!$AT:$AT,$B:$B,'20.01'!$D:$D)*1.2</f>
        <v>0</v>
      </c>
      <c r="CJ147" s="17">
        <f>SUMIF('20.01'!$AU:$AU,$B:$B,'20.01'!$D:$D)*1.2</f>
        <v>0</v>
      </c>
      <c r="CK147" s="17">
        <f>SUMIF('20.01'!$AV:$AV,$B:$B,'20.01'!$D:$D)*1.2</f>
        <v>0</v>
      </c>
      <c r="CL147" s="17">
        <f t="shared" si="164"/>
        <v>2387.3149645776352</v>
      </c>
      <c r="CM147" s="17">
        <f>SUMIF('20.01'!$AW:$AW,$B:$B,'20.01'!$D:$D)*1.2</f>
        <v>0</v>
      </c>
      <c r="CN147" s="17">
        <f>SUMIF('20.01'!$AX:$AX,$B:$B,'20.01'!$D:$D)*1.2</f>
        <v>0</v>
      </c>
      <c r="CO147" s="110">
        <f t="shared" si="209"/>
        <v>800852.06994731724</v>
      </c>
      <c r="CP147" s="17">
        <f t="shared" si="210"/>
        <v>631745.25020205381</v>
      </c>
      <c r="CQ147" s="17">
        <f t="shared" si="165"/>
        <v>194902.10227510572</v>
      </c>
      <c r="CR147" s="17">
        <f t="shared" si="166"/>
        <v>436843.14792694809</v>
      </c>
      <c r="CS147" s="17">
        <f t="shared" si="211"/>
        <v>169106.81974526338</v>
      </c>
      <c r="CT147" s="17">
        <f t="shared" si="167"/>
        <v>6160.7097881876371</v>
      </c>
      <c r="CU147" s="17">
        <f t="shared" si="168"/>
        <v>5958.8448754766132</v>
      </c>
      <c r="CV147" s="17">
        <f t="shared" si="169"/>
        <v>6158.5964156191631</v>
      </c>
      <c r="CW147" s="17">
        <f t="shared" si="170"/>
        <v>64.579664307669859</v>
      </c>
      <c r="CX147" s="17">
        <f t="shared" si="171"/>
        <v>90934.659963626415</v>
      </c>
      <c r="CY147" s="17">
        <f t="shared" si="172"/>
        <v>59829.429038045884</v>
      </c>
      <c r="CZ147" s="110">
        <f t="shared" si="212"/>
        <v>198792.44939660325</v>
      </c>
      <c r="DA147" s="17">
        <f t="shared" si="213"/>
        <v>7509.2632915895201</v>
      </c>
      <c r="DB147" s="17">
        <f t="shared" si="173"/>
        <v>7126.0154042994645</v>
      </c>
      <c r="DC147" s="17">
        <f t="shared" si="174"/>
        <v>383.24788729005519</v>
      </c>
      <c r="DD147" s="17">
        <f t="shared" si="175"/>
        <v>13232.183296021853</v>
      </c>
      <c r="DE147" s="17">
        <f t="shared" si="176"/>
        <v>4565.4519015505275</v>
      </c>
      <c r="DF147" s="17">
        <f t="shared" si="177"/>
        <v>5540.8119195276622</v>
      </c>
      <c r="DG147" s="17">
        <f t="shared" si="214"/>
        <v>167944.73898791368</v>
      </c>
      <c r="DH147" s="110">
        <f t="shared" si="215"/>
        <v>124062.01753844888</v>
      </c>
      <c r="DI147" s="17">
        <f t="shared" si="178"/>
        <v>111288.68802204315</v>
      </c>
      <c r="DJ147" s="17">
        <f t="shared" si="179"/>
        <v>12307.874957291966</v>
      </c>
      <c r="DK147" s="17">
        <f t="shared" si="180"/>
        <v>465.45455911377201</v>
      </c>
      <c r="DL147" s="110">
        <f t="shared" si="216"/>
        <v>938794.66704199836</v>
      </c>
      <c r="DM147" s="17">
        <f t="shared" si="181"/>
        <v>390903.20933343977</v>
      </c>
      <c r="DN147" s="17">
        <f t="shared" si="182"/>
        <v>346650.01582399377</v>
      </c>
      <c r="DO147" s="17">
        <f t="shared" si="183"/>
        <v>201241.44188456488</v>
      </c>
      <c r="DP147" s="110">
        <f t="shared" si="217"/>
        <v>312058.70307197451</v>
      </c>
      <c r="DQ147" s="17">
        <f>SUMIF('20.01'!$BB:$BB,$B:$B,'20.01'!$D:$D)*1.2</f>
        <v>10384.56</v>
      </c>
      <c r="DR147" s="17">
        <f t="shared" si="184"/>
        <v>299454.26478245022</v>
      </c>
      <c r="DS147" s="17">
        <f t="shared" si="185"/>
        <v>2219.8782895243185</v>
      </c>
      <c r="DT147" s="110">
        <f t="shared" si="218"/>
        <v>6637.7640000000001</v>
      </c>
      <c r="DU147" s="17">
        <f>SUMIF('20.01'!$BD:$BD,$B:$B,'20.01'!$D:$D)*1.2</f>
        <v>6637.7640000000001</v>
      </c>
      <c r="DV147" s="17">
        <f t="shared" si="186"/>
        <v>0</v>
      </c>
      <c r="DW147" s="17">
        <f t="shared" si="187"/>
        <v>0</v>
      </c>
      <c r="DX147" s="110">
        <f t="shared" si="188"/>
        <v>3283449.5716848858</v>
      </c>
      <c r="DY147" s="110">
        <f>EC147*EG147</f>
        <v>270647.75280000002</v>
      </c>
      <c r="DZ147" s="110">
        <f t="shared" si="219"/>
        <v>3554097.3244848857</v>
      </c>
      <c r="EA147" s="257"/>
      <c r="EB147" s="110">
        <f t="shared" si="189"/>
        <v>3546.2168674698792</v>
      </c>
      <c r="EC147" s="110">
        <f>SUMIF(еирц!$B:$B,$B:$B,еирц!$K:$K)</f>
        <v>3383096.91</v>
      </c>
      <c r="ED147" s="110">
        <f>SUMIF(еирц!$B:$B,$B:$B,еирц!$P:$P)</f>
        <v>3238353.33</v>
      </c>
      <c r="EE147" s="110">
        <f>SUMIF(еирц!$B:$B,$B:$B,еирц!$S:$S)</f>
        <v>960000.85</v>
      </c>
      <c r="EF147" s="177">
        <f t="shared" si="220"/>
        <v>103193.5551825841</v>
      </c>
      <c r="EG147" s="182">
        <v>0.08</v>
      </c>
      <c r="EH147" s="177">
        <f t="shared" si="222"/>
        <v>-167454.1976174158</v>
      </c>
    </row>
    <row r="148" spans="1:138" ht="12" customHeight="1" x14ac:dyDescent="0.25">
      <c r="A148" s="5">
        <f t="shared" si="223"/>
        <v>144</v>
      </c>
      <c r="B148" s="6" t="s">
        <v>228</v>
      </c>
      <c r="C148" s="7">
        <f t="shared" si="226"/>
        <v>2231.3000000000002</v>
      </c>
      <c r="D148" s="8">
        <v>2231.3000000000002</v>
      </c>
      <c r="E148" s="8">
        <v>0</v>
      </c>
      <c r="F148" s="8">
        <v>485.7</v>
      </c>
      <c r="G148" s="87">
        <f t="shared" si="156"/>
        <v>2231.3000000000002</v>
      </c>
      <c r="H148" s="87">
        <f t="shared" si="157"/>
        <v>2231.3000000000002</v>
      </c>
      <c r="I148" s="91">
        <v>1</v>
      </c>
      <c r="J148" s="112">
        <v>3.503992930774213E-3</v>
      </c>
      <c r="K148" s="17">
        <v>1</v>
      </c>
      <c r="L148" s="112">
        <f t="shared" si="190"/>
        <v>2.4096385542168672E-3</v>
      </c>
      <c r="M148" s="116">
        <v>3.4064157375873818</v>
      </c>
      <c r="N148" s="120">
        <f t="shared" si="191"/>
        <v>2231.3000000000002</v>
      </c>
      <c r="O148" s="116">
        <v>3.0862350241978849</v>
      </c>
      <c r="P148" s="120">
        <f t="shared" si="192"/>
        <v>2231.3000000000002</v>
      </c>
      <c r="Q148" s="116">
        <v>1.6009281233195916</v>
      </c>
      <c r="R148" s="120">
        <f t="shared" si="193"/>
        <v>2231.3000000000002</v>
      </c>
      <c r="S148" s="5" t="s">
        <v>73</v>
      </c>
      <c r="T148" s="87">
        <v>39.75</v>
      </c>
      <c r="U148" s="88">
        <v>4.49</v>
      </c>
      <c r="V148" s="88">
        <v>7.61</v>
      </c>
      <c r="W148" s="88">
        <v>11.85</v>
      </c>
      <c r="X148" s="88">
        <v>6.1</v>
      </c>
      <c r="Y148" s="88">
        <v>2.78</v>
      </c>
      <c r="Z148" s="88">
        <v>1.6</v>
      </c>
      <c r="AA148" s="88">
        <v>5.09</v>
      </c>
      <c r="AB148" s="88">
        <v>0.23</v>
      </c>
      <c r="AC148" s="257"/>
      <c r="AD148" s="110">
        <f t="shared" si="194"/>
        <v>185020.29204584195</v>
      </c>
      <c r="AE148" s="110">
        <f t="shared" si="195"/>
        <v>184393.49296789552</v>
      </c>
      <c r="AF148" s="16">
        <f>SUMIF('20.01'!$I:$I,$B:$B,'20.01'!$D:$D)*1.2</f>
        <v>137682.10799999998</v>
      </c>
      <c r="AG148" s="17">
        <f t="shared" si="224"/>
        <v>14276.556426760257</v>
      </c>
      <c r="AH148" s="17">
        <f t="shared" si="196"/>
        <v>1703.818441536215</v>
      </c>
      <c r="AI148" s="16">
        <f>SUMIF('20.01'!$J:$J,$B:$B,'20.01'!$D:$D)*1.2</f>
        <v>0</v>
      </c>
      <c r="AJ148" s="17">
        <f t="shared" si="197"/>
        <v>692.39350918804632</v>
      </c>
      <c r="AK148" s="17">
        <f t="shared" si="198"/>
        <v>1684.4395893765043</v>
      </c>
      <c r="AL148" s="17">
        <f t="shared" si="199"/>
        <v>28354.177001034506</v>
      </c>
      <c r="AM148" s="110">
        <f t="shared" si="200"/>
        <v>0</v>
      </c>
      <c r="AN148" s="17">
        <f>SUMIF('20.01'!$K:$K,$B:$B,'20.01'!$D:$D)*1.2</f>
        <v>0</v>
      </c>
      <c r="AO148" s="17">
        <f>SUMIF('20.01'!$L:$L,$B:$B,'20.01'!$D:$D)*1.2</f>
        <v>0</v>
      </c>
      <c r="AP148" s="17">
        <f>SUMIF('20.01'!$M:$M,$B:$B,'20.01'!$D:$D)*1.2</f>
        <v>0</v>
      </c>
      <c r="AQ148" s="110">
        <f t="shared" si="201"/>
        <v>626.79907794643691</v>
      </c>
      <c r="AR148" s="17">
        <f t="shared" si="202"/>
        <v>626.79907794643691</v>
      </c>
      <c r="AS148" s="17">
        <f>(SUMIF('20.01'!$N:$N,$B:$B,'20.01'!$D:$D)+SUMIF('20.01'!$O:$O,$B:$B,'20.01'!$D:$D))*1.2</f>
        <v>0</v>
      </c>
      <c r="AT148" s="110">
        <f>SUMIF('20.01'!$P:$P,$B:$B,'20.01'!$D:$D)*1.2</f>
        <v>0</v>
      </c>
      <c r="AU148" s="110">
        <f t="shared" si="203"/>
        <v>0</v>
      </c>
      <c r="AV148" s="17">
        <f>SUMIF('20.01'!$Q:$Q,$B:$B,'20.01'!$D:$D)*1.2</f>
        <v>0</v>
      </c>
      <c r="AW148" s="17">
        <f>SUMIF('20.01'!$R:$R,$B:$B,'20.01'!$D:$D)*1.2</f>
        <v>0</v>
      </c>
      <c r="AX148" s="110">
        <f t="shared" si="204"/>
        <v>0</v>
      </c>
      <c r="AY148" s="17">
        <f>SUMIF('20.01'!$S:$S,$B:$B,'20.01'!$D:$D)*1.2</f>
        <v>0</v>
      </c>
      <c r="AZ148" s="17">
        <f>SUMIF('20.01'!$T:$T,$B:$B,'20.01'!$D:$D)*1.2</f>
        <v>0</v>
      </c>
      <c r="BA148" s="110">
        <f t="shared" si="205"/>
        <v>0</v>
      </c>
      <c r="BB148" s="17">
        <f>SUMIF('20.01'!$U:$U,$B:$B,'20.01'!$D:$D)*1.2</f>
        <v>0</v>
      </c>
      <c r="BC148" s="17">
        <f>SUMIF('20.01'!$V:$V,$B:$B,'20.01'!$D:$D)*1.2</f>
        <v>0</v>
      </c>
      <c r="BD148" s="17">
        <f>SUMIF('20.01'!$W:$W,$B:$B,'20.01'!$D:$D)*1.2</f>
        <v>0</v>
      </c>
      <c r="BE148" s="110">
        <f>SUMIF('20.01'!$X:$X,$B:$B,'20.01'!$D:$D)*1.2</f>
        <v>0</v>
      </c>
      <c r="BF148" s="110">
        <f t="shared" si="206"/>
        <v>0</v>
      </c>
      <c r="BG148" s="17">
        <f>SUMIF('20.01'!$Y:$Y,$B:$B,'20.01'!$D:$D)*1.2</f>
        <v>0</v>
      </c>
      <c r="BH148" s="17">
        <f>SUMIF('20.01'!$Z:$Z,$B:$B,'20.01'!$D:$D)*1.2</f>
        <v>0</v>
      </c>
      <c r="BI148" s="17">
        <f>SUMIF('20.01'!$AA:$AA,$B:$B,'20.01'!$D:$D)*1.2</f>
        <v>0</v>
      </c>
      <c r="BJ148" s="17">
        <f>SUMIF('20.01'!$AB:$AB,$B:$B,'20.01'!$D:$D)*1.2</f>
        <v>0</v>
      </c>
      <c r="BK148" s="17">
        <f>SUMIF('20.01'!$AC:$AC,$B:$B,'20.01'!$D:$D)*1.2</f>
        <v>0</v>
      </c>
      <c r="BL148" s="17">
        <f>SUMIF('20.01'!$AD:$AD,$B:$B,'20.01'!$D:$D)*1.2</f>
        <v>0</v>
      </c>
      <c r="BM148" s="110">
        <f t="shared" si="207"/>
        <v>0</v>
      </c>
      <c r="BN148" s="17">
        <f>SUMIF('20.01'!$AE:$AE,$B:$B,'20.01'!$D:$D)*1.2</f>
        <v>0</v>
      </c>
      <c r="BO148" s="17">
        <f>SUMIF('20.01'!$AF:$AF,$B:$B,'20.01'!$D:$D)*1.2</f>
        <v>0</v>
      </c>
      <c r="BP148" s="110">
        <f>SUMIF('20.01'!$AG:$AG,$B:$B,'20.01'!$D:$D)*1.2</f>
        <v>0</v>
      </c>
      <c r="BQ148" s="110">
        <f>SUMIF('20.01'!$AH:$AH,$B:$B,'20.01'!$D:$D)*1.2</f>
        <v>0</v>
      </c>
      <c r="BR148" s="110">
        <f>SUMIF('20.01'!$AI:$AI,$B:$B,'20.01'!$D:$D)*1.2</f>
        <v>0</v>
      </c>
      <c r="BS148" s="110">
        <f t="shared" si="208"/>
        <v>0</v>
      </c>
      <c r="BT148" s="17">
        <f>SUMIF('20.01'!$AJ:$AJ,$B:$B,'20.01'!$D:$D)*1.2</f>
        <v>0</v>
      </c>
      <c r="BU148" s="17">
        <f>SUMIF('20.01'!$AK:$AK,$B:$B,'20.01'!$D:$D)*1.2</f>
        <v>0</v>
      </c>
      <c r="BV148" s="110">
        <f>SUMIF('20.01'!$AL:$AL,$B:$B,'20.01'!$D:$D)*1.2</f>
        <v>0</v>
      </c>
      <c r="BW148" s="110">
        <f>SUMIF('20.01'!$AM:$AM,$B:$B,'20.01'!$D:$D)*1.2</f>
        <v>0</v>
      </c>
      <c r="BX148" s="110">
        <f>SUMIF('20.01'!$AN:$AN,$B:$B,'20.01'!$D:$D)*1.2</f>
        <v>0</v>
      </c>
      <c r="BY148" s="110">
        <f t="shared" si="158"/>
        <v>225823.2182688489</v>
      </c>
      <c r="BZ148" s="17">
        <f t="shared" si="225"/>
        <v>193767.74466325875</v>
      </c>
      <c r="CA148" s="17">
        <f t="shared" si="159"/>
        <v>13839.149186564262</v>
      </c>
      <c r="CB148" s="17">
        <f t="shared" si="160"/>
        <v>919.95575908825106</v>
      </c>
      <c r="CC148" s="17">
        <f>SUMIF('20.01'!$AO:$AO,$B:$B,'20.01'!$D:$D)*1.2</f>
        <v>0</v>
      </c>
      <c r="CD148" s="17">
        <f t="shared" si="161"/>
        <v>14442.371063745048</v>
      </c>
      <c r="CE148" s="17">
        <f>SUMIF('20.01'!$AQ:$AQ,$B:$B,'20.01'!$D:$D)*1.2</f>
        <v>0</v>
      </c>
      <c r="CF148" s="17">
        <f t="shared" si="162"/>
        <v>1314.0274622762245</v>
      </c>
      <c r="CG148" s="17">
        <f>SUMIF('20.01'!$AR:$AR,$B:$B,'20.01'!$D:$D)*1.2</f>
        <v>0</v>
      </c>
      <c r="CH148" s="17">
        <f t="shared" si="163"/>
        <v>773.86682785677692</v>
      </c>
      <c r="CI148" s="17">
        <f>SUMIF('20.01'!$AT:$AT,$B:$B,'20.01'!$D:$D)*1.2</f>
        <v>0</v>
      </c>
      <c r="CJ148" s="17">
        <f>SUMIF('20.01'!$AU:$AU,$B:$B,'20.01'!$D:$D)*1.2</f>
        <v>0</v>
      </c>
      <c r="CK148" s="17">
        <f>SUMIF('20.01'!$AV:$AV,$B:$B,'20.01'!$D:$D)*1.2</f>
        <v>0</v>
      </c>
      <c r="CL148" s="17">
        <f t="shared" si="164"/>
        <v>766.10330605958438</v>
      </c>
      <c r="CM148" s="17">
        <f>SUMIF('20.01'!$AW:$AW,$B:$B,'20.01'!$D:$D)*1.2</f>
        <v>0</v>
      </c>
      <c r="CN148" s="17">
        <f>SUMIF('20.01'!$AX:$AX,$B:$B,'20.01'!$D:$D)*1.2</f>
        <v>0</v>
      </c>
      <c r="CO148" s="110">
        <f t="shared" si="209"/>
        <v>256998.10354091597</v>
      </c>
      <c r="CP148" s="17">
        <f t="shared" si="210"/>
        <v>202730.7380670062</v>
      </c>
      <c r="CQ148" s="17">
        <f t="shared" si="165"/>
        <v>62545.222195823088</v>
      </c>
      <c r="CR148" s="17">
        <f t="shared" si="166"/>
        <v>140185.5158711831</v>
      </c>
      <c r="CS148" s="17">
        <f t="shared" si="211"/>
        <v>54267.365473909769</v>
      </c>
      <c r="CT148" s="17">
        <f t="shared" si="167"/>
        <v>1977.0077289484125</v>
      </c>
      <c r="CU148" s="17">
        <f t="shared" si="168"/>
        <v>1912.2281002442021</v>
      </c>
      <c r="CV148" s="17">
        <f t="shared" si="169"/>
        <v>1976.3295353561689</v>
      </c>
      <c r="CW148" s="17">
        <f t="shared" si="170"/>
        <v>20.723991205356977</v>
      </c>
      <c r="CX148" s="17">
        <f t="shared" si="171"/>
        <v>29181.463136291084</v>
      </c>
      <c r="CY148" s="17">
        <f t="shared" si="172"/>
        <v>19199.612981864542</v>
      </c>
      <c r="CZ148" s="110">
        <f t="shared" si="212"/>
        <v>63793.657293713884</v>
      </c>
      <c r="DA148" s="17">
        <f t="shared" si="213"/>
        <v>2409.7664192275561</v>
      </c>
      <c r="DB148" s="17">
        <f t="shared" si="173"/>
        <v>2286.7799353116361</v>
      </c>
      <c r="DC148" s="17">
        <f t="shared" si="174"/>
        <v>122.98648391591992</v>
      </c>
      <c r="DD148" s="17">
        <f t="shared" si="175"/>
        <v>4246.2848513422823</v>
      </c>
      <c r="DE148" s="17">
        <f t="shared" si="176"/>
        <v>1465.0801621614571</v>
      </c>
      <c r="DF148" s="17">
        <f t="shared" si="177"/>
        <v>1778.0788847673025</v>
      </c>
      <c r="DG148" s="17">
        <f t="shared" si="214"/>
        <v>53894.446976215288</v>
      </c>
      <c r="DH148" s="110">
        <f t="shared" si="215"/>
        <v>39812.225534908888</v>
      </c>
      <c r="DI148" s="17">
        <f t="shared" si="178"/>
        <v>35713.189539615239</v>
      </c>
      <c r="DJ148" s="17">
        <f t="shared" si="179"/>
        <v>3949.6689105777637</v>
      </c>
      <c r="DK148" s="17">
        <f t="shared" si="180"/>
        <v>149.36708471588472</v>
      </c>
      <c r="DL148" s="110">
        <f t="shared" si="216"/>
        <v>301264.68807153194</v>
      </c>
      <c r="DM148" s="17">
        <f t="shared" si="181"/>
        <v>125443.12144109259</v>
      </c>
      <c r="DN148" s="17">
        <f t="shared" si="182"/>
        <v>111242.01335342175</v>
      </c>
      <c r="DO148" s="17">
        <f t="shared" si="183"/>
        <v>64579.553277017636</v>
      </c>
      <c r="DP148" s="110">
        <f t="shared" si="217"/>
        <v>101965.62399673858</v>
      </c>
      <c r="DQ148" s="17">
        <f>SUMIF('20.01'!$BB:$BB,$B:$B,'20.01'!$D:$D)*1.2</f>
        <v>5192.28</v>
      </c>
      <c r="DR148" s="17">
        <f t="shared" si="184"/>
        <v>96061.234423291389</v>
      </c>
      <c r="DS148" s="17">
        <f t="shared" si="185"/>
        <v>712.10957344718383</v>
      </c>
      <c r="DT148" s="110">
        <f t="shared" si="218"/>
        <v>5120.5559999999996</v>
      </c>
      <c r="DU148" s="17">
        <f>SUMIF('20.01'!$BD:$BD,$B:$B,'20.01'!$D:$D)*1.2</f>
        <v>5120.5559999999996</v>
      </c>
      <c r="DV148" s="17">
        <f t="shared" si="186"/>
        <v>0</v>
      </c>
      <c r="DW148" s="17">
        <f t="shared" si="187"/>
        <v>0</v>
      </c>
      <c r="DX148" s="110">
        <f t="shared" si="188"/>
        <v>1179798.3647525003</v>
      </c>
      <c r="DY148" s="110"/>
      <c r="DZ148" s="110">
        <f t="shared" si="219"/>
        <v>1179798.3647525003</v>
      </c>
      <c r="EA148" s="257"/>
      <c r="EB148" s="110">
        <f t="shared" si="189"/>
        <v>886.55421686746979</v>
      </c>
      <c r="EC148" s="110">
        <f>SUMIF(еирц!$B:$B,$B:$B,еирц!$K:$K)</f>
        <v>1047364.0999999999</v>
      </c>
      <c r="ED148" s="110">
        <f>SUMIF(еирц!$B:$B,$B:$B,еирц!$P:$P)</f>
        <v>1041463.77</v>
      </c>
      <c r="EE148" s="110">
        <f>SUMIF(еирц!$B:$B,$B:$B,еирц!$S:$S)</f>
        <v>243066.2</v>
      </c>
      <c r="EF148" s="177">
        <f t="shared" si="220"/>
        <v>-131547.71053563303</v>
      </c>
      <c r="EG148" s="181">
        <f t="shared" si="221"/>
        <v>0</v>
      </c>
      <c r="EH148" s="177">
        <f t="shared" si="222"/>
        <v>-131547.71053563303</v>
      </c>
    </row>
    <row r="149" spans="1:138" ht="12" customHeight="1" x14ac:dyDescent="0.25">
      <c r="A149" s="5">
        <f t="shared" si="223"/>
        <v>145</v>
      </c>
      <c r="B149" s="6" t="s">
        <v>229</v>
      </c>
      <c r="C149" s="7">
        <f t="shared" si="226"/>
        <v>3500.1</v>
      </c>
      <c r="D149" s="8">
        <v>3454.1</v>
      </c>
      <c r="E149" s="8">
        <v>46</v>
      </c>
      <c r="F149" s="8">
        <v>221.6</v>
      </c>
      <c r="G149" s="87">
        <f t="shared" si="156"/>
        <v>3500.1</v>
      </c>
      <c r="H149" s="87">
        <f t="shared" si="157"/>
        <v>3500.1</v>
      </c>
      <c r="I149" s="91">
        <v>0</v>
      </c>
      <c r="J149" s="112">
        <v>0</v>
      </c>
      <c r="K149" s="17">
        <v>4</v>
      </c>
      <c r="L149" s="112">
        <f t="shared" si="190"/>
        <v>9.638554216867469E-3</v>
      </c>
      <c r="M149" s="116">
        <v>3.4064183179623577</v>
      </c>
      <c r="N149" s="120">
        <f t="shared" si="191"/>
        <v>3500.1</v>
      </c>
      <c r="O149" s="116">
        <v>3.0862338431293184</v>
      </c>
      <c r="P149" s="120">
        <f t="shared" si="192"/>
        <v>3500.1</v>
      </c>
      <c r="Q149" s="116">
        <v>0</v>
      </c>
      <c r="R149" s="120">
        <f t="shared" si="193"/>
        <v>0</v>
      </c>
      <c r="S149" s="5" t="s">
        <v>73</v>
      </c>
      <c r="T149" s="87">
        <v>28.44</v>
      </c>
      <c r="U149" s="88">
        <v>4.68</v>
      </c>
      <c r="V149" s="88">
        <v>6.05</v>
      </c>
      <c r="W149" s="88">
        <v>8.24</v>
      </c>
      <c r="X149" s="88">
        <v>6.34</v>
      </c>
      <c r="Y149" s="88">
        <v>2.89</v>
      </c>
      <c r="Z149" s="88">
        <v>0</v>
      </c>
      <c r="AA149" s="88">
        <v>0</v>
      </c>
      <c r="AB149" s="88">
        <v>0.24</v>
      </c>
      <c r="AC149" s="257"/>
      <c r="AD149" s="110">
        <f t="shared" si="194"/>
        <v>110546.58056346141</v>
      </c>
      <c r="AE149" s="110">
        <f t="shared" si="195"/>
        <v>109563.36026465788</v>
      </c>
      <c r="AF149" s="16">
        <f>SUMIF('20.01'!$I:$I,$B:$B,'20.01'!$D:$D)*1.2</f>
        <v>36290.148000000001</v>
      </c>
      <c r="AG149" s="17">
        <f t="shared" si="224"/>
        <v>22394.736319322175</v>
      </c>
      <c r="AH149" s="17">
        <f t="shared" si="196"/>
        <v>2672.6728486626207</v>
      </c>
      <c r="AI149" s="16">
        <f>SUMIF('20.01'!$J:$J,$B:$B,'20.01'!$D:$D)*1.2</f>
        <v>0</v>
      </c>
      <c r="AJ149" s="17">
        <f t="shared" si="197"/>
        <v>1086.1141583422582</v>
      </c>
      <c r="AK149" s="17">
        <f t="shared" si="198"/>
        <v>2642.2744618727656</v>
      </c>
      <c r="AL149" s="17">
        <f t="shared" si="199"/>
        <v>44477.414476458056</v>
      </c>
      <c r="AM149" s="110">
        <f t="shared" si="200"/>
        <v>0</v>
      </c>
      <c r="AN149" s="17">
        <f>SUMIF('20.01'!$K:$K,$B:$B,'20.01'!$D:$D)*1.2</f>
        <v>0</v>
      </c>
      <c r="AO149" s="17">
        <f>SUMIF('20.01'!$L:$L,$B:$B,'20.01'!$D:$D)*1.2</f>
        <v>0</v>
      </c>
      <c r="AP149" s="17">
        <f>SUMIF('20.01'!$M:$M,$B:$B,'20.01'!$D:$D)*1.2</f>
        <v>0</v>
      </c>
      <c r="AQ149" s="110">
        <f t="shared" si="201"/>
        <v>983.22029880353318</v>
      </c>
      <c r="AR149" s="17">
        <f t="shared" si="202"/>
        <v>983.22029880353318</v>
      </c>
      <c r="AS149" s="17">
        <f>(SUMIF('20.01'!$N:$N,$B:$B,'20.01'!$D:$D)+SUMIF('20.01'!$O:$O,$B:$B,'20.01'!$D:$D))*1.2</f>
        <v>0</v>
      </c>
      <c r="AT149" s="110">
        <f>SUMIF('20.01'!$P:$P,$B:$B,'20.01'!$D:$D)*1.2</f>
        <v>0</v>
      </c>
      <c r="AU149" s="110">
        <f t="shared" si="203"/>
        <v>0</v>
      </c>
      <c r="AV149" s="17">
        <f>SUMIF('20.01'!$Q:$Q,$B:$B,'20.01'!$D:$D)*1.2</f>
        <v>0</v>
      </c>
      <c r="AW149" s="17">
        <f>SUMIF('20.01'!$R:$R,$B:$B,'20.01'!$D:$D)*1.2</f>
        <v>0</v>
      </c>
      <c r="AX149" s="110">
        <f t="shared" si="204"/>
        <v>0</v>
      </c>
      <c r="AY149" s="17">
        <f>SUMIF('20.01'!$S:$S,$B:$B,'20.01'!$D:$D)*1.2</f>
        <v>0</v>
      </c>
      <c r="AZ149" s="17">
        <f>SUMIF('20.01'!$T:$T,$B:$B,'20.01'!$D:$D)*1.2</f>
        <v>0</v>
      </c>
      <c r="BA149" s="110">
        <f t="shared" si="205"/>
        <v>0</v>
      </c>
      <c r="BB149" s="17">
        <f>SUMIF('20.01'!$U:$U,$B:$B,'20.01'!$D:$D)*1.2</f>
        <v>0</v>
      </c>
      <c r="BC149" s="17">
        <f>SUMIF('20.01'!$V:$V,$B:$B,'20.01'!$D:$D)*1.2</f>
        <v>0</v>
      </c>
      <c r="BD149" s="17">
        <f>SUMIF('20.01'!$W:$W,$B:$B,'20.01'!$D:$D)*1.2</f>
        <v>0</v>
      </c>
      <c r="BE149" s="110">
        <f>SUMIF('20.01'!$X:$X,$B:$B,'20.01'!$D:$D)*1.2</f>
        <v>0</v>
      </c>
      <c r="BF149" s="110">
        <f t="shared" si="206"/>
        <v>0</v>
      </c>
      <c r="BG149" s="17">
        <f>SUMIF('20.01'!$Y:$Y,$B:$B,'20.01'!$D:$D)*1.2</f>
        <v>0</v>
      </c>
      <c r="BH149" s="17">
        <f>SUMIF('20.01'!$Z:$Z,$B:$B,'20.01'!$D:$D)*1.2</f>
        <v>0</v>
      </c>
      <c r="BI149" s="17">
        <f>SUMIF('20.01'!$AA:$AA,$B:$B,'20.01'!$D:$D)*1.2</f>
        <v>0</v>
      </c>
      <c r="BJ149" s="17">
        <f>SUMIF('20.01'!$AB:$AB,$B:$B,'20.01'!$D:$D)*1.2</f>
        <v>0</v>
      </c>
      <c r="BK149" s="17">
        <f>SUMIF('20.01'!$AC:$AC,$B:$B,'20.01'!$D:$D)*1.2</f>
        <v>0</v>
      </c>
      <c r="BL149" s="17">
        <f>SUMIF('20.01'!$AD:$AD,$B:$B,'20.01'!$D:$D)*1.2</f>
        <v>0</v>
      </c>
      <c r="BM149" s="110">
        <f t="shared" si="207"/>
        <v>0</v>
      </c>
      <c r="BN149" s="17">
        <f>SUMIF('20.01'!$AE:$AE,$B:$B,'20.01'!$D:$D)*1.2</f>
        <v>0</v>
      </c>
      <c r="BO149" s="17">
        <f>SUMIF('20.01'!$AF:$AF,$B:$B,'20.01'!$D:$D)*1.2</f>
        <v>0</v>
      </c>
      <c r="BP149" s="110">
        <f>SUMIF('20.01'!$AG:$AG,$B:$B,'20.01'!$D:$D)*1.2</f>
        <v>0</v>
      </c>
      <c r="BQ149" s="110">
        <f>SUMIF('20.01'!$AH:$AH,$B:$B,'20.01'!$D:$D)*1.2</f>
        <v>0</v>
      </c>
      <c r="BR149" s="110">
        <f>SUMIF('20.01'!$AI:$AI,$B:$B,'20.01'!$D:$D)*1.2</f>
        <v>0</v>
      </c>
      <c r="BS149" s="110">
        <f t="shared" si="208"/>
        <v>0</v>
      </c>
      <c r="BT149" s="17">
        <f>SUMIF('20.01'!$AJ:$AJ,$B:$B,'20.01'!$D:$D)*1.2</f>
        <v>0</v>
      </c>
      <c r="BU149" s="17">
        <f>SUMIF('20.01'!$AK:$AK,$B:$B,'20.01'!$D:$D)*1.2</f>
        <v>0</v>
      </c>
      <c r="BV149" s="110">
        <f>SUMIF('20.01'!$AL:$AL,$B:$B,'20.01'!$D:$D)*1.2</f>
        <v>0</v>
      </c>
      <c r="BW149" s="110">
        <f>SUMIF('20.01'!$AM:$AM,$B:$B,'20.01'!$D:$D)*1.2</f>
        <v>0</v>
      </c>
      <c r="BX149" s="110">
        <f>SUMIF('20.01'!$AN:$AN,$B:$B,'20.01'!$D:$D)*1.2</f>
        <v>0</v>
      </c>
      <c r="BY149" s="110">
        <f t="shared" si="158"/>
        <v>452967.2141417102</v>
      </c>
      <c r="BZ149" s="17">
        <f t="shared" si="225"/>
        <v>303951.27642893017</v>
      </c>
      <c r="CA149" s="17">
        <f t="shared" si="159"/>
        <v>21708.603086941948</v>
      </c>
      <c r="CB149" s="17">
        <f t="shared" si="160"/>
        <v>1443.0767500492032</v>
      </c>
      <c r="CC149" s="17">
        <f>SUMIF('20.01'!$AO:$AO,$B:$B,'20.01'!$D:$D)*1.2</f>
        <v>0</v>
      </c>
      <c r="CD149" s="17">
        <f t="shared" si="161"/>
        <v>22654.839313500666</v>
      </c>
      <c r="CE149" s="17">
        <f>SUMIF('20.01'!$AQ:$AQ,$B:$B,'20.01'!$D:$D)*1.2</f>
        <v>0</v>
      </c>
      <c r="CF149" s="17">
        <f t="shared" si="162"/>
        <v>2061.2322505772477</v>
      </c>
      <c r="CG149" s="17">
        <f>SUMIF('20.01'!$AR:$AR,$B:$B,'20.01'!$D:$D)*1.2</f>
        <v>98732.531999999992</v>
      </c>
      <c r="CH149" s="17">
        <f t="shared" si="163"/>
        <v>1213.9162300817929</v>
      </c>
      <c r="CI149" s="17">
        <f>SUMIF('20.01'!$AT:$AT,$B:$B,'20.01'!$D:$D)*1.2</f>
        <v>0</v>
      </c>
      <c r="CJ149" s="17">
        <f>SUMIF('20.01'!$AU:$AU,$B:$B,'20.01'!$D:$D)*1.2</f>
        <v>0</v>
      </c>
      <c r="CK149" s="17">
        <f>SUMIF('20.01'!$AV:$AV,$B:$B,'20.01'!$D:$D)*1.2</f>
        <v>0</v>
      </c>
      <c r="CL149" s="17">
        <f t="shared" si="164"/>
        <v>1201.7380816291629</v>
      </c>
      <c r="CM149" s="17">
        <f>SUMIF('20.01'!$AW:$AW,$B:$B,'20.01'!$D:$D)*1.2</f>
        <v>0</v>
      </c>
      <c r="CN149" s="17">
        <f>SUMIF('20.01'!$AX:$AX,$B:$B,'20.01'!$D:$D)*1.2</f>
        <v>0</v>
      </c>
      <c r="CO149" s="110">
        <f t="shared" si="209"/>
        <v>403136.76430939802</v>
      </c>
      <c r="CP149" s="17">
        <f t="shared" si="210"/>
        <v>318010.96056484035</v>
      </c>
      <c r="CQ149" s="17">
        <f t="shared" si="165"/>
        <v>98110.757050867367</v>
      </c>
      <c r="CR149" s="17">
        <f t="shared" si="166"/>
        <v>219900.20351397296</v>
      </c>
      <c r="CS149" s="17">
        <f t="shared" si="211"/>
        <v>85125.803744557677</v>
      </c>
      <c r="CT149" s="17">
        <f t="shared" si="167"/>
        <v>3101.2077049667628</v>
      </c>
      <c r="CU149" s="17">
        <f t="shared" si="168"/>
        <v>2999.5919749315335</v>
      </c>
      <c r="CV149" s="17">
        <f t="shared" si="169"/>
        <v>3100.1438653252035</v>
      </c>
      <c r="CW149" s="17">
        <f t="shared" si="170"/>
        <v>32.508421824886817</v>
      </c>
      <c r="CX149" s="17">
        <f t="shared" si="171"/>
        <v>45775.126214911674</v>
      </c>
      <c r="CY149" s="17">
        <f t="shared" si="172"/>
        <v>30117.225562597621</v>
      </c>
      <c r="CZ149" s="110">
        <f t="shared" si="212"/>
        <v>100069.09868405321</v>
      </c>
      <c r="DA149" s="17">
        <f t="shared" si="213"/>
        <v>3780.0490494054443</v>
      </c>
      <c r="DB149" s="17">
        <f t="shared" si="173"/>
        <v>3587.1278857994248</v>
      </c>
      <c r="DC149" s="17">
        <f t="shared" si="174"/>
        <v>192.92116360601946</v>
      </c>
      <c r="DD149" s="17">
        <f t="shared" si="175"/>
        <v>6660.8800287648992</v>
      </c>
      <c r="DE149" s="17">
        <f t="shared" si="176"/>
        <v>2298.1791222970087</v>
      </c>
      <c r="DF149" s="17">
        <f t="shared" si="177"/>
        <v>2789.1605362676623</v>
      </c>
      <c r="DG149" s="17">
        <f t="shared" si="214"/>
        <v>84540.829947318198</v>
      </c>
      <c r="DH149" s="110">
        <f t="shared" si="215"/>
        <v>62450.934699383579</v>
      </c>
      <c r="DI149" s="17">
        <f t="shared" si="178"/>
        <v>56021.034691707653</v>
      </c>
      <c r="DJ149" s="17">
        <f t="shared" si="179"/>
        <v>6195.5972544764172</v>
      </c>
      <c r="DK149" s="17">
        <f t="shared" si="180"/>
        <v>234.30275319951062</v>
      </c>
      <c r="DL149" s="110">
        <f t="shared" si="216"/>
        <v>371273.08756970358</v>
      </c>
      <c r="DM149" s="17">
        <f t="shared" si="181"/>
        <v>196774.73641194287</v>
      </c>
      <c r="DN149" s="17">
        <f t="shared" si="182"/>
        <v>174498.35115776068</v>
      </c>
      <c r="DO149" s="17">
        <f t="shared" si="183"/>
        <v>0</v>
      </c>
      <c r="DP149" s="110">
        <f t="shared" si="217"/>
        <v>0</v>
      </c>
      <c r="DQ149" s="17">
        <f>SUMIF('20.01'!$BB:$BB,$B:$B,'20.01'!$D:$D)*1.2</f>
        <v>0</v>
      </c>
      <c r="DR149" s="17">
        <f t="shared" si="184"/>
        <v>0</v>
      </c>
      <c r="DS149" s="17">
        <f t="shared" si="185"/>
        <v>0</v>
      </c>
      <c r="DT149" s="110">
        <f t="shared" si="218"/>
        <v>7586.0159999999996</v>
      </c>
      <c r="DU149" s="17">
        <f>SUMIF('20.01'!$BD:$BD,$B:$B,'20.01'!$D:$D)*1.2</f>
        <v>7586.0159999999996</v>
      </c>
      <c r="DV149" s="17">
        <f t="shared" si="186"/>
        <v>0</v>
      </c>
      <c r="DW149" s="17">
        <f t="shared" si="187"/>
        <v>0</v>
      </c>
      <c r="DX149" s="110">
        <f t="shared" si="188"/>
        <v>1508029.6959677101</v>
      </c>
      <c r="DY149" s="110"/>
      <c r="DZ149" s="110">
        <f t="shared" si="219"/>
        <v>1508029.6959677101</v>
      </c>
      <c r="EA149" s="257"/>
      <c r="EB149" s="110">
        <f t="shared" si="189"/>
        <v>3546.2168674698792</v>
      </c>
      <c r="EC149" s="110">
        <f>SUMIF(еирц!$B:$B,$B:$B,еирц!$K:$K)</f>
        <v>1159106.33</v>
      </c>
      <c r="ED149" s="110">
        <f>SUMIF(еирц!$B:$B,$B:$B,еирц!$P:$P)</f>
        <v>1104608.3800000001</v>
      </c>
      <c r="EE149" s="110">
        <f>SUMIF(еирц!$B:$B,$B:$B,еирц!$S:$S)</f>
        <v>464137.11</v>
      </c>
      <c r="EF149" s="177">
        <f t="shared" si="220"/>
        <v>-345377.14910024009</v>
      </c>
      <c r="EG149" s="181">
        <f t="shared" si="221"/>
        <v>0</v>
      </c>
      <c r="EH149" s="177">
        <f t="shared" si="222"/>
        <v>-345377.14910024009</v>
      </c>
    </row>
    <row r="150" spans="1:138" ht="12" customHeight="1" x14ac:dyDescent="0.25">
      <c r="A150" s="5">
        <f t="shared" si="223"/>
        <v>146</v>
      </c>
      <c r="B150" s="6" t="s">
        <v>230</v>
      </c>
      <c r="C150" s="7">
        <f t="shared" si="226"/>
        <v>4927</v>
      </c>
      <c r="D150" s="8">
        <v>4927</v>
      </c>
      <c r="E150" s="8">
        <v>0</v>
      </c>
      <c r="F150" s="8">
        <v>436.6</v>
      </c>
      <c r="G150" s="87">
        <f t="shared" si="156"/>
        <v>4927</v>
      </c>
      <c r="H150" s="87">
        <f t="shared" si="157"/>
        <v>4927</v>
      </c>
      <c r="I150" s="91">
        <v>0</v>
      </c>
      <c r="J150" s="112">
        <v>0</v>
      </c>
      <c r="K150" s="17">
        <v>6</v>
      </c>
      <c r="L150" s="112">
        <f t="shared" si="190"/>
        <v>1.4457831325301205E-2</v>
      </c>
      <c r="M150" s="116">
        <v>3.4064166774926927</v>
      </c>
      <c r="N150" s="120">
        <f t="shared" si="191"/>
        <v>4927</v>
      </c>
      <c r="O150" s="116">
        <v>3.0862331276388439</v>
      </c>
      <c r="P150" s="120">
        <f t="shared" si="192"/>
        <v>4927</v>
      </c>
      <c r="Q150" s="116">
        <v>0</v>
      </c>
      <c r="R150" s="120">
        <f t="shared" si="193"/>
        <v>0</v>
      </c>
      <c r="S150" s="5" t="s">
        <v>73</v>
      </c>
      <c r="T150" s="87">
        <v>28.44</v>
      </c>
      <c r="U150" s="88">
        <v>4.68</v>
      </c>
      <c r="V150" s="88">
        <v>6.05</v>
      </c>
      <c r="W150" s="88">
        <v>8.24</v>
      </c>
      <c r="X150" s="88">
        <v>6.34</v>
      </c>
      <c r="Y150" s="88">
        <v>2.89</v>
      </c>
      <c r="Z150" s="88">
        <v>0</v>
      </c>
      <c r="AA150" s="88">
        <v>0</v>
      </c>
      <c r="AB150" s="88">
        <v>0.24</v>
      </c>
      <c r="AC150" s="257"/>
      <c r="AD150" s="110">
        <f t="shared" si="194"/>
        <v>1063866.5023870673</v>
      </c>
      <c r="AE150" s="110">
        <f t="shared" si="195"/>
        <v>146050.92067082922</v>
      </c>
      <c r="AF150" s="16">
        <f>SUMIF('20.01'!$I:$I,$B:$B,'20.01'!$D:$D)*1.2</f>
        <v>42906.119999999995</v>
      </c>
      <c r="AG150" s="17">
        <f t="shared" si="224"/>
        <v>31524.489541813193</v>
      </c>
      <c r="AH150" s="17">
        <f t="shared" si="196"/>
        <v>3762.2522571814325</v>
      </c>
      <c r="AI150" s="16">
        <f>SUMIF('20.01'!$J:$J,$B:$B,'20.01'!$D:$D)*1.2</f>
        <v>0</v>
      </c>
      <c r="AJ150" s="17">
        <f t="shared" si="197"/>
        <v>1528.8947339082615</v>
      </c>
      <c r="AK150" s="17">
        <f t="shared" si="198"/>
        <v>3719.4612364352779</v>
      </c>
      <c r="AL150" s="17">
        <f t="shared" si="199"/>
        <v>62609.702901491059</v>
      </c>
      <c r="AM150" s="110">
        <f t="shared" si="200"/>
        <v>0</v>
      </c>
      <c r="AN150" s="17">
        <f>SUMIF('20.01'!$K:$K,$B:$B,'20.01'!$D:$D)*1.2</f>
        <v>0</v>
      </c>
      <c r="AO150" s="17">
        <f>SUMIF('20.01'!$L:$L,$B:$B,'20.01'!$D:$D)*1.2</f>
        <v>0</v>
      </c>
      <c r="AP150" s="17">
        <f>SUMIF('20.01'!$M:$M,$B:$B,'20.01'!$D:$D)*1.2</f>
        <v>0</v>
      </c>
      <c r="AQ150" s="110">
        <f t="shared" si="201"/>
        <v>1384.0537162381097</v>
      </c>
      <c r="AR150" s="17">
        <f t="shared" si="202"/>
        <v>1384.0537162381097</v>
      </c>
      <c r="AS150" s="17">
        <f>(SUMIF('20.01'!$N:$N,$B:$B,'20.01'!$D:$D)+SUMIF('20.01'!$O:$O,$B:$B,'20.01'!$D:$D))*1.2</f>
        <v>0</v>
      </c>
      <c r="AT150" s="110">
        <f>SUMIF('20.01'!$P:$P,$B:$B,'20.01'!$D:$D)*1.2</f>
        <v>0</v>
      </c>
      <c r="AU150" s="110">
        <f t="shared" si="203"/>
        <v>0</v>
      </c>
      <c r="AV150" s="17">
        <f>SUMIF('20.01'!$Q:$Q,$B:$B,'20.01'!$D:$D)*1.2</f>
        <v>0</v>
      </c>
      <c r="AW150" s="17">
        <f>SUMIF('20.01'!$R:$R,$B:$B,'20.01'!$D:$D)*1.2</f>
        <v>0</v>
      </c>
      <c r="AX150" s="110">
        <f t="shared" si="204"/>
        <v>0</v>
      </c>
      <c r="AY150" s="17">
        <f>SUMIF('20.01'!$S:$S,$B:$B,'20.01'!$D:$D)*1.2</f>
        <v>0</v>
      </c>
      <c r="AZ150" s="17">
        <f>SUMIF('20.01'!$T:$T,$B:$B,'20.01'!$D:$D)*1.2</f>
        <v>0</v>
      </c>
      <c r="BA150" s="110">
        <f t="shared" si="205"/>
        <v>0</v>
      </c>
      <c r="BB150" s="17">
        <f>SUMIF('20.01'!$U:$U,$B:$B,'20.01'!$D:$D)*1.2</f>
        <v>0</v>
      </c>
      <c r="BC150" s="17">
        <f>SUMIF('20.01'!$V:$V,$B:$B,'20.01'!$D:$D)*1.2</f>
        <v>0</v>
      </c>
      <c r="BD150" s="17">
        <f>SUMIF('20.01'!$W:$W,$B:$B,'20.01'!$D:$D)*1.2</f>
        <v>0</v>
      </c>
      <c r="BE150" s="110">
        <f>SUMIF('20.01'!$X:$X,$B:$B,'20.01'!$D:$D)*1.2</f>
        <v>0</v>
      </c>
      <c r="BF150" s="110">
        <f t="shared" si="206"/>
        <v>562587.20399999991</v>
      </c>
      <c r="BG150" s="17">
        <f>SUMIF('20.01'!$Y:$Y,$B:$B,'20.01'!$D:$D)*1.2</f>
        <v>0</v>
      </c>
      <c r="BH150" s="17">
        <f>SUMIF('20.01'!$Z:$Z,$B:$B,'20.01'!$D:$D)*1.2</f>
        <v>562587.20399999991</v>
      </c>
      <c r="BI150" s="17">
        <f>SUMIF('20.01'!$AA:$AA,$B:$B,'20.01'!$D:$D)*1.2</f>
        <v>0</v>
      </c>
      <c r="BJ150" s="17">
        <f>SUMIF('20.01'!$AB:$AB,$B:$B,'20.01'!$D:$D)*1.2</f>
        <v>0</v>
      </c>
      <c r="BK150" s="17">
        <f>SUMIF('20.01'!$AC:$AC,$B:$B,'20.01'!$D:$D)*1.2</f>
        <v>0</v>
      </c>
      <c r="BL150" s="17">
        <f>SUMIF('20.01'!$AD:$AD,$B:$B,'20.01'!$D:$D)*1.2</f>
        <v>0</v>
      </c>
      <c r="BM150" s="110">
        <f t="shared" si="207"/>
        <v>0</v>
      </c>
      <c r="BN150" s="17">
        <f>SUMIF('20.01'!$AE:$AE,$B:$B,'20.01'!$D:$D)*1.2</f>
        <v>0</v>
      </c>
      <c r="BO150" s="17">
        <f>SUMIF('20.01'!$AF:$AF,$B:$B,'20.01'!$D:$D)*1.2</f>
        <v>0</v>
      </c>
      <c r="BP150" s="110">
        <f>SUMIF('20.01'!$AG:$AG,$B:$B,'20.01'!$D:$D)*1.2</f>
        <v>0</v>
      </c>
      <c r="BQ150" s="110">
        <f>SUMIF('20.01'!$AH:$AH,$B:$B,'20.01'!$D:$D)*1.2</f>
        <v>0</v>
      </c>
      <c r="BR150" s="110">
        <f>SUMIF('20.01'!$AI:$AI,$B:$B,'20.01'!$D:$D)*1.2</f>
        <v>0</v>
      </c>
      <c r="BS150" s="110">
        <f t="shared" si="208"/>
        <v>0</v>
      </c>
      <c r="BT150" s="17">
        <f>SUMIF('20.01'!$AJ:$AJ,$B:$B,'20.01'!$D:$D)*1.2</f>
        <v>0</v>
      </c>
      <c r="BU150" s="17">
        <f>SUMIF('20.01'!$AK:$AK,$B:$B,'20.01'!$D:$D)*1.2</f>
        <v>0</v>
      </c>
      <c r="BV150" s="110">
        <f>SUMIF('20.01'!$AL:$AL,$B:$B,'20.01'!$D:$D)*1.2</f>
        <v>353844.32400000002</v>
      </c>
      <c r="BW150" s="110">
        <f>SUMIF('20.01'!$AM:$AM,$B:$B,'20.01'!$D:$D)*1.2</f>
        <v>0</v>
      </c>
      <c r="BX150" s="110">
        <f>SUMIF('20.01'!$AN:$AN,$B:$B,'20.01'!$D:$D)*1.2</f>
        <v>0</v>
      </c>
      <c r="BY150" s="110">
        <f t="shared" si="158"/>
        <v>631940.25148990203</v>
      </c>
      <c r="BZ150" s="17">
        <f t="shared" si="225"/>
        <v>427864.32929497416</v>
      </c>
      <c r="CA150" s="17">
        <f t="shared" si="159"/>
        <v>30558.63758445844</v>
      </c>
      <c r="CB150" s="17">
        <f t="shared" si="160"/>
        <v>2031.38171694878</v>
      </c>
      <c r="CC150" s="17">
        <f>SUMIF('20.01'!$AO:$AO,$B:$B,'20.01'!$D:$D)*1.2</f>
        <v>0</v>
      </c>
      <c r="CD150" s="17">
        <f t="shared" si="161"/>
        <v>31890.629781325613</v>
      </c>
      <c r="CE150" s="17">
        <f>SUMIF('20.01'!$AQ:$AQ,$B:$B,'20.01'!$D:$D)*1.2</f>
        <v>0</v>
      </c>
      <c r="CF150" s="17">
        <f t="shared" si="162"/>
        <v>2901.5431840787687</v>
      </c>
      <c r="CG150" s="17">
        <f>SUMIF('20.01'!$AR:$AR,$B:$B,'20.01'!$D:$D)*1.2</f>
        <v>133293.27599999998</v>
      </c>
      <c r="CH150" s="17">
        <f t="shared" si="163"/>
        <v>1708.7983959352573</v>
      </c>
      <c r="CI150" s="17">
        <f>SUMIF('20.01'!$AT:$AT,$B:$B,'20.01'!$D:$D)*1.2</f>
        <v>0</v>
      </c>
      <c r="CJ150" s="17">
        <f>SUMIF('20.01'!$AU:$AU,$B:$B,'20.01'!$D:$D)*1.2</f>
        <v>0</v>
      </c>
      <c r="CK150" s="17">
        <f>SUMIF('20.01'!$AV:$AV,$B:$B,'20.01'!$D:$D)*1.2</f>
        <v>0</v>
      </c>
      <c r="CL150" s="17">
        <f t="shared" si="164"/>
        <v>1691.6555321810479</v>
      </c>
      <c r="CM150" s="17">
        <f>SUMIF('20.01'!$AW:$AW,$B:$B,'20.01'!$D:$D)*1.2</f>
        <v>0</v>
      </c>
      <c r="CN150" s="17">
        <f>SUMIF('20.01'!$AX:$AX,$B:$B,'20.01'!$D:$D)*1.2</f>
        <v>0</v>
      </c>
      <c r="CO150" s="110">
        <f t="shared" si="209"/>
        <v>567485.16835301963</v>
      </c>
      <c r="CP150" s="17">
        <f t="shared" si="210"/>
        <v>447655.78203564708</v>
      </c>
      <c r="CQ150" s="17">
        <f t="shared" si="165"/>
        <v>138107.968340797</v>
      </c>
      <c r="CR150" s="17">
        <f t="shared" si="166"/>
        <v>309547.81369485008</v>
      </c>
      <c r="CS150" s="17">
        <f t="shared" si="211"/>
        <v>119829.38631737255</v>
      </c>
      <c r="CT150" s="17">
        <f t="shared" si="167"/>
        <v>4365.4896609728985</v>
      </c>
      <c r="CU150" s="17">
        <f t="shared" si="168"/>
        <v>4222.4478330583888</v>
      </c>
      <c r="CV150" s="17">
        <f t="shared" si="169"/>
        <v>4363.992121498608</v>
      </c>
      <c r="CW150" s="17">
        <f t="shared" si="170"/>
        <v>45.761262344280837</v>
      </c>
      <c r="CX150" s="17">
        <f t="shared" si="171"/>
        <v>64436.458061446763</v>
      </c>
      <c r="CY150" s="17">
        <f t="shared" si="172"/>
        <v>42395.237378051621</v>
      </c>
      <c r="CZ150" s="110">
        <f t="shared" si="212"/>
        <v>140864.67507109232</v>
      </c>
      <c r="DA150" s="17">
        <f t="shared" si="213"/>
        <v>5321.0770167768424</v>
      </c>
      <c r="DB150" s="17">
        <f t="shared" si="173"/>
        <v>5049.506897898279</v>
      </c>
      <c r="DC150" s="17">
        <f t="shared" si="174"/>
        <v>271.57011887856288</v>
      </c>
      <c r="DD150" s="17">
        <f t="shared" si="175"/>
        <v>9376.3480762620093</v>
      </c>
      <c r="DE150" s="17">
        <f t="shared" si="176"/>
        <v>3235.0871505263744</v>
      </c>
      <c r="DF150" s="17">
        <f t="shared" si="177"/>
        <v>3926.2289540843894</v>
      </c>
      <c r="DG150" s="17">
        <f t="shared" si="214"/>
        <v>119005.9338734427</v>
      </c>
      <c r="DH150" s="110">
        <f t="shared" si="215"/>
        <v>87910.561202212193</v>
      </c>
      <c r="DI150" s="17">
        <f t="shared" si="178"/>
        <v>78859.357711506411</v>
      </c>
      <c r="DJ150" s="17">
        <f t="shared" si="179"/>
        <v>8721.3815813277633</v>
      </c>
      <c r="DK150" s="17">
        <f t="shared" si="180"/>
        <v>329.8219093780146</v>
      </c>
      <c r="DL150" s="110">
        <f t="shared" si="216"/>
        <v>522631.49694463855</v>
      </c>
      <c r="DM150" s="17">
        <f t="shared" si="181"/>
        <v>276994.69338065846</v>
      </c>
      <c r="DN150" s="17">
        <f t="shared" si="182"/>
        <v>245636.80356398012</v>
      </c>
      <c r="DO150" s="17">
        <f t="shared" si="183"/>
        <v>0</v>
      </c>
      <c r="DP150" s="110">
        <f t="shared" si="217"/>
        <v>0</v>
      </c>
      <c r="DQ150" s="17">
        <f>SUMIF('20.01'!$BB:$BB,$B:$B,'20.01'!$D:$D)*1.2</f>
        <v>0</v>
      </c>
      <c r="DR150" s="17">
        <f t="shared" si="184"/>
        <v>0</v>
      </c>
      <c r="DS150" s="17">
        <f t="shared" si="185"/>
        <v>0</v>
      </c>
      <c r="DT150" s="110">
        <f t="shared" si="218"/>
        <v>7586.0159999999996</v>
      </c>
      <c r="DU150" s="17">
        <f>SUMIF('20.01'!$BD:$BD,$B:$B,'20.01'!$D:$D)*1.2</f>
        <v>7586.0159999999996</v>
      </c>
      <c r="DV150" s="17">
        <f t="shared" si="186"/>
        <v>0</v>
      </c>
      <c r="DW150" s="17">
        <f t="shared" si="187"/>
        <v>0</v>
      </c>
      <c r="DX150" s="110">
        <f t="shared" si="188"/>
        <v>3022284.6714479318</v>
      </c>
      <c r="DY150" s="110"/>
      <c r="DZ150" s="110">
        <f t="shared" si="219"/>
        <v>3022284.6714479318</v>
      </c>
      <c r="EA150" s="257"/>
      <c r="EB150" s="110">
        <f t="shared" si="189"/>
        <v>5319.3253012048199</v>
      </c>
      <c r="EC150" s="110">
        <f>SUMIF(еирц!$B:$B,$B:$B,еирц!$K:$K)</f>
        <v>1649265.6600000001</v>
      </c>
      <c r="ED150" s="110">
        <f>SUMIF(еирц!$B:$B,$B:$B,еирц!$P:$P)</f>
        <v>1605087.1600000001</v>
      </c>
      <c r="EE150" s="110">
        <f>SUMIF(еирц!$B:$B,$B:$B,еирц!$S:$S)</f>
        <v>529628.66</v>
      </c>
      <c r="EF150" s="177">
        <f t="shared" si="220"/>
        <v>-1367699.6861467268</v>
      </c>
      <c r="EG150" s="181">
        <f t="shared" si="221"/>
        <v>0</v>
      </c>
      <c r="EH150" s="177">
        <f t="shared" si="222"/>
        <v>-1367699.6861467268</v>
      </c>
    </row>
    <row r="151" spans="1:138" ht="12" customHeight="1" x14ac:dyDescent="0.25">
      <c r="A151" s="5">
        <f t="shared" si="223"/>
        <v>147</v>
      </c>
      <c r="B151" s="6" t="s">
        <v>231</v>
      </c>
      <c r="C151" s="7">
        <f t="shared" si="226"/>
        <v>4940.66</v>
      </c>
      <c r="D151" s="8">
        <v>4940.66</v>
      </c>
      <c r="E151" s="8">
        <v>0</v>
      </c>
      <c r="F151" s="8">
        <v>452.8</v>
      </c>
      <c r="G151" s="87">
        <f t="shared" si="156"/>
        <v>4940.66</v>
      </c>
      <c r="H151" s="87">
        <f t="shared" si="157"/>
        <v>4940.66</v>
      </c>
      <c r="I151" s="91">
        <v>0</v>
      </c>
      <c r="J151" s="112">
        <v>0</v>
      </c>
      <c r="K151" s="17">
        <v>0</v>
      </c>
      <c r="L151" s="112">
        <f t="shared" si="190"/>
        <v>0</v>
      </c>
      <c r="M151" s="116">
        <v>3.4064161623684952</v>
      </c>
      <c r="N151" s="120">
        <f t="shared" si="191"/>
        <v>4940.66</v>
      </c>
      <c r="O151" s="116">
        <v>3.0862313524366214</v>
      </c>
      <c r="P151" s="120">
        <f t="shared" si="192"/>
        <v>4940.66</v>
      </c>
      <c r="Q151" s="116">
        <v>0</v>
      </c>
      <c r="R151" s="120">
        <f t="shared" si="193"/>
        <v>0</v>
      </c>
      <c r="S151" s="5" t="s">
        <v>73</v>
      </c>
      <c r="T151" s="87">
        <v>28.44</v>
      </c>
      <c r="U151" s="88">
        <v>4.68</v>
      </c>
      <c r="V151" s="88">
        <v>6.05</v>
      </c>
      <c r="W151" s="88">
        <v>8.24</v>
      </c>
      <c r="X151" s="88">
        <v>6.34</v>
      </c>
      <c r="Y151" s="88">
        <v>2.89</v>
      </c>
      <c r="Z151" s="88">
        <v>0</v>
      </c>
      <c r="AA151" s="88">
        <v>0</v>
      </c>
      <c r="AB151" s="88">
        <v>0.24</v>
      </c>
      <c r="AC151" s="257"/>
      <c r="AD151" s="110">
        <f t="shared" si="194"/>
        <v>639766.35835518735</v>
      </c>
      <c r="AE151" s="110">
        <f t="shared" si="195"/>
        <v>151744.08738021902</v>
      </c>
      <c r="AF151" s="16">
        <f>SUMIF('20.01'!$I:$I,$B:$B,'20.01'!$D:$D)*1.2</f>
        <v>48313.32</v>
      </c>
      <c r="AG151" s="17">
        <f t="shared" si="224"/>
        <v>31611.890501249189</v>
      </c>
      <c r="AH151" s="17">
        <f t="shared" si="196"/>
        <v>3772.6830194775757</v>
      </c>
      <c r="AI151" s="16">
        <f>SUMIF('20.01'!$J:$J,$B:$B,'20.01'!$D:$D)*1.2</f>
        <v>0</v>
      </c>
      <c r="AJ151" s="17">
        <f t="shared" si="197"/>
        <v>1533.1335611997547</v>
      </c>
      <c r="AK151" s="17">
        <f t="shared" si="198"/>
        <v>3729.7733615600405</v>
      </c>
      <c r="AL151" s="17">
        <f t="shared" si="199"/>
        <v>62783.286936732453</v>
      </c>
      <c r="AM151" s="110">
        <f t="shared" si="200"/>
        <v>0</v>
      </c>
      <c r="AN151" s="17">
        <f>SUMIF('20.01'!$K:$K,$B:$B,'20.01'!$D:$D)*1.2</f>
        <v>0</v>
      </c>
      <c r="AO151" s="17">
        <f>SUMIF('20.01'!$L:$L,$B:$B,'20.01'!$D:$D)*1.2</f>
        <v>0</v>
      </c>
      <c r="AP151" s="17">
        <f>SUMIF('20.01'!$M:$M,$B:$B,'20.01'!$D:$D)*1.2</f>
        <v>0</v>
      </c>
      <c r="AQ151" s="110">
        <f t="shared" si="201"/>
        <v>1387.8909749683335</v>
      </c>
      <c r="AR151" s="17">
        <f t="shared" si="202"/>
        <v>1387.8909749683335</v>
      </c>
      <c r="AS151" s="17">
        <f>(SUMIF('20.01'!$N:$N,$B:$B,'20.01'!$D:$D)+SUMIF('20.01'!$O:$O,$B:$B,'20.01'!$D:$D))*1.2</f>
        <v>0</v>
      </c>
      <c r="AT151" s="110">
        <f>SUMIF('20.01'!$P:$P,$B:$B,'20.01'!$D:$D)*1.2</f>
        <v>0</v>
      </c>
      <c r="AU151" s="110">
        <f t="shared" si="203"/>
        <v>0</v>
      </c>
      <c r="AV151" s="17">
        <f>SUMIF('20.01'!$Q:$Q,$B:$B,'20.01'!$D:$D)*1.2</f>
        <v>0</v>
      </c>
      <c r="AW151" s="17">
        <f>SUMIF('20.01'!$R:$R,$B:$B,'20.01'!$D:$D)*1.2</f>
        <v>0</v>
      </c>
      <c r="AX151" s="110">
        <f t="shared" si="204"/>
        <v>0</v>
      </c>
      <c r="AY151" s="17">
        <f>SUMIF('20.01'!$S:$S,$B:$B,'20.01'!$D:$D)*1.2</f>
        <v>0</v>
      </c>
      <c r="AZ151" s="17">
        <f>SUMIF('20.01'!$T:$T,$B:$B,'20.01'!$D:$D)*1.2</f>
        <v>0</v>
      </c>
      <c r="BA151" s="110">
        <f t="shared" si="205"/>
        <v>155498.4</v>
      </c>
      <c r="BB151" s="17">
        <f>SUMIF('20.01'!$U:$U,$B:$B,'20.01'!$D:$D)*1.2</f>
        <v>0</v>
      </c>
      <c r="BC151" s="17">
        <f>SUMIF('20.01'!$V:$V,$B:$B,'20.01'!$D:$D)*1.2</f>
        <v>0</v>
      </c>
      <c r="BD151" s="17">
        <f>SUMIF('20.01'!$W:$W,$B:$B,'20.01'!$D:$D)*1.2</f>
        <v>155498.4</v>
      </c>
      <c r="BE151" s="110">
        <f>SUMIF('20.01'!$X:$X,$B:$B,'20.01'!$D:$D)*1.2</f>
        <v>0</v>
      </c>
      <c r="BF151" s="110">
        <f t="shared" si="206"/>
        <v>0</v>
      </c>
      <c r="BG151" s="17">
        <f>SUMIF('20.01'!$Y:$Y,$B:$B,'20.01'!$D:$D)*1.2</f>
        <v>0</v>
      </c>
      <c r="BH151" s="17">
        <f>SUMIF('20.01'!$Z:$Z,$B:$B,'20.01'!$D:$D)*1.2</f>
        <v>0</v>
      </c>
      <c r="BI151" s="17">
        <f>SUMIF('20.01'!$AA:$AA,$B:$B,'20.01'!$D:$D)*1.2</f>
        <v>0</v>
      </c>
      <c r="BJ151" s="17">
        <f>SUMIF('20.01'!$AB:$AB,$B:$B,'20.01'!$D:$D)*1.2</f>
        <v>0</v>
      </c>
      <c r="BK151" s="17">
        <f>SUMIF('20.01'!$AC:$AC,$B:$B,'20.01'!$D:$D)*1.2</f>
        <v>0</v>
      </c>
      <c r="BL151" s="17">
        <f>SUMIF('20.01'!$AD:$AD,$B:$B,'20.01'!$D:$D)*1.2</f>
        <v>0</v>
      </c>
      <c r="BM151" s="110">
        <f t="shared" si="207"/>
        <v>0</v>
      </c>
      <c r="BN151" s="17">
        <f>SUMIF('20.01'!$AE:$AE,$B:$B,'20.01'!$D:$D)*1.2</f>
        <v>0</v>
      </c>
      <c r="BO151" s="17">
        <f>SUMIF('20.01'!$AF:$AF,$B:$B,'20.01'!$D:$D)*1.2</f>
        <v>0</v>
      </c>
      <c r="BP151" s="110">
        <f>SUMIF('20.01'!$AG:$AG,$B:$B,'20.01'!$D:$D)*1.2</f>
        <v>0</v>
      </c>
      <c r="BQ151" s="110">
        <f>SUMIF('20.01'!$AH:$AH,$B:$B,'20.01'!$D:$D)*1.2</f>
        <v>0</v>
      </c>
      <c r="BR151" s="110">
        <f>SUMIF('20.01'!$AI:$AI,$B:$B,'20.01'!$D:$D)*1.2</f>
        <v>0</v>
      </c>
      <c r="BS151" s="110">
        <f t="shared" si="208"/>
        <v>0</v>
      </c>
      <c r="BT151" s="17">
        <f>SUMIF('20.01'!$AJ:$AJ,$B:$B,'20.01'!$D:$D)*1.2</f>
        <v>0</v>
      </c>
      <c r="BU151" s="17">
        <f>SUMIF('20.01'!$AK:$AK,$B:$B,'20.01'!$D:$D)*1.2</f>
        <v>0</v>
      </c>
      <c r="BV151" s="110">
        <f>SUMIF('20.01'!$AL:$AL,$B:$B,'20.01'!$D:$D)*1.2</f>
        <v>331135.98000000004</v>
      </c>
      <c r="BW151" s="110">
        <f>SUMIF('20.01'!$AM:$AM,$B:$B,'20.01'!$D:$D)*1.2</f>
        <v>0</v>
      </c>
      <c r="BX151" s="110">
        <f>SUMIF('20.01'!$AN:$AN,$B:$B,'20.01'!$D:$D)*1.2</f>
        <v>0</v>
      </c>
      <c r="BY151" s="110">
        <f t="shared" si="158"/>
        <v>577515.45534969342</v>
      </c>
      <c r="BZ151" s="17">
        <f t="shared" si="225"/>
        <v>429050.57381256483</v>
      </c>
      <c r="CA151" s="17">
        <f t="shared" si="159"/>
        <v>30643.360740416163</v>
      </c>
      <c r="CB151" s="17">
        <f t="shared" si="160"/>
        <v>2037.013678437215</v>
      </c>
      <c r="CC151" s="17">
        <f>SUMIF('20.01'!$AO:$AO,$B:$B,'20.01'!$D:$D)*1.2</f>
        <v>0</v>
      </c>
      <c r="CD151" s="17">
        <f t="shared" si="161"/>
        <v>31979.04585658701</v>
      </c>
      <c r="CE151" s="17">
        <f>SUMIF('20.01'!$AQ:$AQ,$B:$B,'20.01'!$D:$D)*1.2</f>
        <v>0</v>
      </c>
      <c r="CF151" s="17">
        <f t="shared" si="162"/>
        <v>2909.5876492491598</v>
      </c>
      <c r="CG151" s="17">
        <f>SUMIF('20.01'!$AR:$AR,$B:$B,'20.01'!$D:$D)*1.2</f>
        <v>77485.991999999998</v>
      </c>
      <c r="CH151" s="17">
        <f t="shared" si="163"/>
        <v>1713.5360022044829</v>
      </c>
      <c r="CI151" s="17">
        <f>SUMIF('20.01'!$AT:$AT,$B:$B,'20.01'!$D:$D)*1.2</f>
        <v>0</v>
      </c>
      <c r="CJ151" s="17">
        <f>SUMIF('20.01'!$AU:$AU,$B:$B,'20.01'!$D:$D)*1.2</f>
        <v>0</v>
      </c>
      <c r="CK151" s="17">
        <f>SUMIF('20.01'!$AV:$AV,$B:$B,'20.01'!$D:$D)*1.2</f>
        <v>0</v>
      </c>
      <c r="CL151" s="17">
        <f t="shared" si="164"/>
        <v>1696.3456102345476</v>
      </c>
      <c r="CM151" s="17">
        <f>SUMIF('20.01'!$AW:$AW,$B:$B,'20.01'!$D:$D)*1.2</f>
        <v>0</v>
      </c>
      <c r="CN151" s="17">
        <f>SUMIF('20.01'!$AX:$AX,$B:$B,'20.01'!$D:$D)*1.2</f>
        <v>0</v>
      </c>
      <c r="CO151" s="110">
        <f t="shared" si="209"/>
        <v>569058.50860057434</v>
      </c>
      <c r="CP151" s="17">
        <f t="shared" si="210"/>
        <v>448896.89792414044</v>
      </c>
      <c r="CQ151" s="17">
        <f t="shared" si="165"/>
        <v>138490.86966970612</v>
      </c>
      <c r="CR151" s="17">
        <f t="shared" si="166"/>
        <v>310406.02825443435</v>
      </c>
      <c r="CS151" s="17">
        <f t="shared" si="211"/>
        <v>120161.61067643392</v>
      </c>
      <c r="CT151" s="17">
        <f t="shared" si="167"/>
        <v>4377.5928858092875</v>
      </c>
      <c r="CU151" s="17">
        <f t="shared" si="168"/>
        <v>4234.1544775478505</v>
      </c>
      <c r="CV151" s="17">
        <f t="shared" si="169"/>
        <v>4376.0911944394784</v>
      </c>
      <c r="CW151" s="17">
        <f t="shared" si="170"/>
        <v>45.888134445685921</v>
      </c>
      <c r="CX151" s="17">
        <f t="shared" si="171"/>
        <v>64615.106735511981</v>
      </c>
      <c r="CY151" s="17">
        <f t="shared" si="172"/>
        <v>42512.777248679631</v>
      </c>
      <c r="CZ151" s="110">
        <f t="shared" si="212"/>
        <v>141255.21930926383</v>
      </c>
      <c r="DA151" s="17">
        <f t="shared" si="213"/>
        <v>5335.8295867076658</v>
      </c>
      <c r="DB151" s="17">
        <f t="shared" si="173"/>
        <v>5063.5065455997783</v>
      </c>
      <c r="DC151" s="17">
        <f t="shared" si="174"/>
        <v>272.32304110788726</v>
      </c>
      <c r="DD151" s="17">
        <f t="shared" si="175"/>
        <v>9402.3437967251175</v>
      </c>
      <c r="DE151" s="17">
        <f t="shared" si="176"/>
        <v>3244.056359066295</v>
      </c>
      <c r="DF151" s="17">
        <f t="shared" si="177"/>
        <v>3937.1143381949623</v>
      </c>
      <c r="DG151" s="17">
        <f t="shared" si="214"/>
        <v>119335.8752285698</v>
      </c>
      <c r="DH151" s="110">
        <f t="shared" si="215"/>
        <v>88154.291315064285</v>
      </c>
      <c r="DI151" s="17">
        <f t="shared" si="178"/>
        <v>79077.993560164658</v>
      </c>
      <c r="DJ151" s="17">
        <f t="shared" si="179"/>
        <v>8745.5614214740872</v>
      </c>
      <c r="DK151" s="17">
        <f t="shared" si="180"/>
        <v>330.73633342552904</v>
      </c>
      <c r="DL151" s="110">
        <f t="shared" si="216"/>
        <v>524080.48136685567</v>
      </c>
      <c r="DM151" s="17">
        <f t="shared" si="181"/>
        <v>277762.65512443351</v>
      </c>
      <c r="DN151" s="17">
        <f t="shared" si="182"/>
        <v>246317.82624242216</v>
      </c>
      <c r="DO151" s="17">
        <f t="shared" si="183"/>
        <v>0</v>
      </c>
      <c r="DP151" s="110">
        <f t="shared" si="217"/>
        <v>0</v>
      </c>
      <c r="DQ151" s="17">
        <f>SUMIF('20.01'!$BB:$BB,$B:$B,'20.01'!$D:$D)*1.2</f>
        <v>0</v>
      </c>
      <c r="DR151" s="17">
        <f t="shared" si="184"/>
        <v>0</v>
      </c>
      <c r="DS151" s="17">
        <f t="shared" si="185"/>
        <v>0</v>
      </c>
      <c r="DT151" s="110">
        <f t="shared" si="218"/>
        <v>11284.199999999999</v>
      </c>
      <c r="DU151" s="17">
        <f>SUMIF('20.01'!$BD:$BD,$B:$B,'20.01'!$D:$D)*1.2</f>
        <v>11284.199999999999</v>
      </c>
      <c r="DV151" s="17">
        <f t="shared" si="186"/>
        <v>0</v>
      </c>
      <c r="DW151" s="17">
        <f t="shared" si="187"/>
        <v>0</v>
      </c>
      <c r="DX151" s="110">
        <f t="shared" si="188"/>
        <v>2551114.5142966392</v>
      </c>
      <c r="DY151" s="110"/>
      <c r="DZ151" s="110">
        <f t="shared" si="219"/>
        <v>2551114.5142966392</v>
      </c>
      <c r="EA151" s="257"/>
      <c r="EB151" s="110">
        <f t="shared" si="189"/>
        <v>0</v>
      </c>
      <c r="EC151" s="110">
        <f>SUMIF(еирц!$B:$B,$B:$B,еирц!$K:$K)</f>
        <v>1653838.7400000002</v>
      </c>
      <c r="ED151" s="110">
        <f>SUMIF(еирц!$B:$B,$B:$B,еирц!$P:$P)</f>
        <v>1559065.48</v>
      </c>
      <c r="EE151" s="110">
        <f>SUMIF(еирц!$B:$B,$B:$B,еирц!$S:$S)</f>
        <v>659523.68000000005</v>
      </c>
      <c r="EF151" s="177">
        <f t="shared" si="220"/>
        <v>-897275.77429663902</v>
      </c>
      <c r="EG151" s="181">
        <f t="shared" si="221"/>
        <v>0</v>
      </c>
      <c r="EH151" s="177">
        <f t="shared" si="222"/>
        <v>-897275.77429663902</v>
      </c>
    </row>
    <row r="152" spans="1:138" ht="12" customHeight="1" x14ac:dyDescent="0.25">
      <c r="A152" s="5">
        <f t="shared" si="223"/>
        <v>148</v>
      </c>
      <c r="B152" s="6" t="s">
        <v>232</v>
      </c>
      <c r="C152" s="7">
        <f t="shared" si="226"/>
        <v>3456.99</v>
      </c>
      <c r="D152" s="8">
        <v>3456.99</v>
      </c>
      <c r="E152" s="8">
        <v>0</v>
      </c>
      <c r="F152" s="8">
        <v>619</v>
      </c>
      <c r="G152" s="87">
        <f t="shared" si="156"/>
        <v>3456.99</v>
      </c>
      <c r="H152" s="87">
        <f t="shared" si="157"/>
        <v>3456.99</v>
      </c>
      <c r="I152" s="91">
        <v>0</v>
      </c>
      <c r="J152" s="112">
        <v>0</v>
      </c>
      <c r="K152" s="17">
        <v>4</v>
      </c>
      <c r="L152" s="112">
        <f t="shared" si="190"/>
        <v>9.638554216867469E-3</v>
      </c>
      <c r="M152" s="116">
        <v>3.4064187146529568</v>
      </c>
      <c r="N152" s="120">
        <f t="shared" si="191"/>
        <v>3456.99</v>
      </c>
      <c r="O152" s="116">
        <v>3.0862308140531276</v>
      </c>
      <c r="P152" s="120">
        <f t="shared" si="192"/>
        <v>3456.99</v>
      </c>
      <c r="Q152" s="116">
        <v>0</v>
      </c>
      <c r="R152" s="120">
        <f t="shared" si="193"/>
        <v>0</v>
      </c>
      <c r="S152" s="5" t="s">
        <v>73</v>
      </c>
      <c r="T152" s="87">
        <v>28.44</v>
      </c>
      <c r="U152" s="88">
        <v>4.68</v>
      </c>
      <c r="V152" s="88">
        <v>6.05</v>
      </c>
      <c r="W152" s="88">
        <v>8.24</v>
      </c>
      <c r="X152" s="88">
        <v>6.34</v>
      </c>
      <c r="Y152" s="88">
        <v>2.89</v>
      </c>
      <c r="Z152" s="88">
        <v>0</v>
      </c>
      <c r="AA152" s="88">
        <v>0</v>
      </c>
      <c r="AB152" s="88">
        <v>0.24</v>
      </c>
      <c r="AC152" s="257"/>
      <c r="AD152" s="110">
        <f t="shared" si="194"/>
        <v>292070.40360697138</v>
      </c>
      <c r="AE152" s="110">
        <f t="shared" si="195"/>
        <v>122203.25342704482</v>
      </c>
      <c r="AF152" s="16">
        <f>SUMIF('20.01'!$I:$I,$B:$B,'20.01'!$D:$D)*1.2</f>
        <v>49832.531999999999</v>
      </c>
      <c r="AG152" s="17">
        <f t="shared" si="224"/>
        <v>22118.905033722909</v>
      </c>
      <c r="AH152" s="17">
        <f t="shared" si="196"/>
        <v>2639.7540959110288</v>
      </c>
      <c r="AI152" s="16">
        <f>SUMIF('20.01'!$J:$J,$B:$B,'20.01'!$D:$D)*1.2</f>
        <v>0</v>
      </c>
      <c r="AJ152" s="17">
        <f t="shared" si="197"/>
        <v>1072.7367173073922</v>
      </c>
      <c r="AK152" s="17">
        <f t="shared" si="198"/>
        <v>2609.7301196964463</v>
      </c>
      <c r="AL152" s="17">
        <f t="shared" si="199"/>
        <v>43929.595460407058</v>
      </c>
      <c r="AM152" s="110">
        <f t="shared" si="200"/>
        <v>43473.24</v>
      </c>
      <c r="AN152" s="17">
        <f>SUMIF('20.01'!$K:$K,$B:$B,'20.01'!$D:$D)*1.2</f>
        <v>43473.24</v>
      </c>
      <c r="AO152" s="17">
        <f>SUMIF('20.01'!$L:$L,$B:$B,'20.01'!$D:$D)*1.2</f>
        <v>0</v>
      </c>
      <c r="AP152" s="17">
        <f>SUMIF('20.01'!$M:$M,$B:$B,'20.01'!$D:$D)*1.2</f>
        <v>0</v>
      </c>
      <c r="AQ152" s="110">
        <f t="shared" si="201"/>
        <v>971.11017992652387</v>
      </c>
      <c r="AR152" s="17">
        <f t="shared" si="202"/>
        <v>971.11017992652387</v>
      </c>
      <c r="AS152" s="17">
        <f>(SUMIF('20.01'!$N:$N,$B:$B,'20.01'!$D:$D)+SUMIF('20.01'!$O:$O,$B:$B,'20.01'!$D:$D))*1.2</f>
        <v>0</v>
      </c>
      <c r="AT152" s="110">
        <f>SUMIF('20.01'!$P:$P,$B:$B,'20.01'!$D:$D)*1.2</f>
        <v>0</v>
      </c>
      <c r="AU152" s="110">
        <f t="shared" si="203"/>
        <v>0</v>
      </c>
      <c r="AV152" s="17">
        <f>SUMIF('20.01'!$Q:$Q,$B:$B,'20.01'!$D:$D)*1.2</f>
        <v>0</v>
      </c>
      <c r="AW152" s="17">
        <f>SUMIF('20.01'!$R:$R,$B:$B,'20.01'!$D:$D)*1.2</f>
        <v>0</v>
      </c>
      <c r="AX152" s="110">
        <f t="shared" si="204"/>
        <v>125422.79999999999</v>
      </c>
      <c r="AY152" s="17">
        <f>SUMIF('20.01'!$S:$S,$B:$B,'20.01'!$D:$D)*1.2</f>
        <v>125422.79999999999</v>
      </c>
      <c r="AZ152" s="17">
        <f>SUMIF('20.01'!$T:$T,$B:$B,'20.01'!$D:$D)*1.2</f>
        <v>0</v>
      </c>
      <c r="BA152" s="110">
        <f t="shared" si="205"/>
        <v>0</v>
      </c>
      <c r="BB152" s="17">
        <f>SUMIF('20.01'!$U:$U,$B:$B,'20.01'!$D:$D)*1.2</f>
        <v>0</v>
      </c>
      <c r="BC152" s="17">
        <f>SUMIF('20.01'!$V:$V,$B:$B,'20.01'!$D:$D)*1.2</f>
        <v>0</v>
      </c>
      <c r="BD152" s="17">
        <f>SUMIF('20.01'!$W:$W,$B:$B,'20.01'!$D:$D)*1.2</f>
        <v>0</v>
      </c>
      <c r="BE152" s="110">
        <f>SUMIF('20.01'!$X:$X,$B:$B,'20.01'!$D:$D)*1.2</f>
        <v>0</v>
      </c>
      <c r="BF152" s="110">
        <f t="shared" si="206"/>
        <v>0</v>
      </c>
      <c r="BG152" s="17">
        <f>SUMIF('20.01'!$Y:$Y,$B:$B,'20.01'!$D:$D)*1.2</f>
        <v>0</v>
      </c>
      <c r="BH152" s="17">
        <f>SUMIF('20.01'!$Z:$Z,$B:$B,'20.01'!$D:$D)*1.2</f>
        <v>0</v>
      </c>
      <c r="BI152" s="17">
        <f>SUMIF('20.01'!$AA:$AA,$B:$B,'20.01'!$D:$D)*1.2</f>
        <v>0</v>
      </c>
      <c r="BJ152" s="17">
        <f>SUMIF('20.01'!$AB:$AB,$B:$B,'20.01'!$D:$D)*1.2</f>
        <v>0</v>
      </c>
      <c r="BK152" s="17">
        <f>SUMIF('20.01'!$AC:$AC,$B:$B,'20.01'!$D:$D)*1.2</f>
        <v>0</v>
      </c>
      <c r="BL152" s="17">
        <f>SUMIF('20.01'!$AD:$AD,$B:$B,'20.01'!$D:$D)*1.2</f>
        <v>0</v>
      </c>
      <c r="BM152" s="110">
        <f t="shared" si="207"/>
        <v>0</v>
      </c>
      <c r="BN152" s="17">
        <f>SUMIF('20.01'!$AE:$AE,$B:$B,'20.01'!$D:$D)*1.2</f>
        <v>0</v>
      </c>
      <c r="BO152" s="17">
        <f>SUMIF('20.01'!$AF:$AF,$B:$B,'20.01'!$D:$D)*1.2</f>
        <v>0</v>
      </c>
      <c r="BP152" s="110">
        <f>SUMIF('20.01'!$AG:$AG,$B:$B,'20.01'!$D:$D)*1.2</f>
        <v>0</v>
      </c>
      <c r="BQ152" s="110">
        <f>SUMIF('20.01'!$AH:$AH,$B:$B,'20.01'!$D:$D)*1.2</f>
        <v>0</v>
      </c>
      <c r="BR152" s="110">
        <f>SUMIF('20.01'!$AI:$AI,$B:$B,'20.01'!$D:$D)*1.2</f>
        <v>0</v>
      </c>
      <c r="BS152" s="110">
        <f t="shared" si="208"/>
        <v>0</v>
      </c>
      <c r="BT152" s="17">
        <f>SUMIF('20.01'!$AJ:$AJ,$B:$B,'20.01'!$D:$D)*1.2</f>
        <v>0</v>
      </c>
      <c r="BU152" s="17">
        <f>SUMIF('20.01'!$AK:$AK,$B:$B,'20.01'!$D:$D)*1.2</f>
        <v>0</v>
      </c>
      <c r="BV152" s="110">
        <f>SUMIF('20.01'!$AL:$AL,$B:$B,'20.01'!$D:$D)*1.2</f>
        <v>0</v>
      </c>
      <c r="BW152" s="110">
        <f>SUMIF('20.01'!$AM:$AM,$B:$B,'20.01'!$D:$D)*1.2</f>
        <v>0</v>
      </c>
      <c r="BX152" s="110">
        <f>SUMIF('20.01'!$AN:$AN,$B:$B,'20.01'!$D:$D)*1.2</f>
        <v>0</v>
      </c>
      <c r="BY152" s="110">
        <f t="shared" si="158"/>
        <v>395795.05961494549</v>
      </c>
      <c r="BZ152" s="17">
        <f t="shared" si="225"/>
        <v>300207.57209852501</v>
      </c>
      <c r="CA152" s="17">
        <f t="shared" si="159"/>
        <v>21441.222760928958</v>
      </c>
      <c r="CB152" s="17">
        <f t="shared" si="160"/>
        <v>1425.3026753957301</v>
      </c>
      <c r="CC152" s="17">
        <f>SUMIF('20.01'!$AO:$AO,$B:$B,'20.01'!$D:$D)*1.2</f>
        <v>0</v>
      </c>
      <c r="CD152" s="17">
        <f t="shared" si="161"/>
        <v>22375.804393696941</v>
      </c>
      <c r="CE152" s="17">
        <f>SUMIF('20.01'!$AQ:$AQ,$B:$B,'20.01'!$D:$D)*1.2</f>
        <v>0</v>
      </c>
      <c r="CF152" s="17">
        <f t="shared" si="162"/>
        <v>2035.8444838499011</v>
      </c>
      <c r="CG152" s="17">
        <f>SUMIF('20.01'!$AR:$AR,$B:$B,'20.01'!$D:$D)*1.2</f>
        <v>45923.412000000004</v>
      </c>
      <c r="CH152" s="17">
        <f t="shared" si="163"/>
        <v>1198.9646776464836</v>
      </c>
      <c r="CI152" s="17">
        <f>SUMIF('20.01'!$AT:$AT,$B:$B,'20.01'!$D:$D)*1.2</f>
        <v>0</v>
      </c>
      <c r="CJ152" s="17">
        <f>SUMIF('20.01'!$AU:$AU,$B:$B,'20.01'!$D:$D)*1.2</f>
        <v>0</v>
      </c>
      <c r="CK152" s="17">
        <f>SUMIF('20.01'!$AV:$AV,$B:$B,'20.01'!$D:$D)*1.2</f>
        <v>0</v>
      </c>
      <c r="CL152" s="17">
        <f t="shared" si="164"/>
        <v>1186.9365249024884</v>
      </c>
      <c r="CM152" s="17">
        <f>SUMIF('20.01'!$AW:$AW,$B:$B,'20.01'!$D:$D)*1.2</f>
        <v>0</v>
      </c>
      <c r="CN152" s="17">
        <f>SUMIF('20.01'!$AX:$AX,$B:$B,'20.01'!$D:$D)*1.2</f>
        <v>0</v>
      </c>
      <c r="CO152" s="110">
        <f t="shared" si="209"/>
        <v>398171.41305961134</v>
      </c>
      <c r="CP152" s="17">
        <f t="shared" si="210"/>
        <v>314094.08604412654</v>
      </c>
      <c r="CQ152" s="17">
        <f t="shared" si="165"/>
        <v>96902.347366440386</v>
      </c>
      <c r="CR152" s="17">
        <f t="shared" si="166"/>
        <v>217191.73867768617</v>
      </c>
      <c r="CS152" s="17">
        <f t="shared" si="211"/>
        <v>84077.327015484814</v>
      </c>
      <c r="CT152" s="17">
        <f t="shared" si="167"/>
        <v>3063.0107779757859</v>
      </c>
      <c r="CU152" s="17">
        <f t="shared" si="168"/>
        <v>2962.6466276445135</v>
      </c>
      <c r="CV152" s="17">
        <f t="shared" si="169"/>
        <v>3061.9600414246947</v>
      </c>
      <c r="CW152" s="17">
        <f t="shared" si="170"/>
        <v>32.108022389193302</v>
      </c>
      <c r="CX152" s="17">
        <f t="shared" si="171"/>
        <v>45211.323554666291</v>
      </c>
      <c r="CY152" s="17">
        <f t="shared" si="172"/>
        <v>29746.277991384344</v>
      </c>
      <c r="CZ152" s="110">
        <f t="shared" si="212"/>
        <v>98836.568515123887</v>
      </c>
      <c r="DA152" s="17">
        <f t="shared" si="213"/>
        <v>3733.4909754875935</v>
      </c>
      <c r="DB152" s="17">
        <f t="shared" si="173"/>
        <v>3542.9459815233145</v>
      </c>
      <c r="DC152" s="17">
        <f t="shared" si="174"/>
        <v>190.54499396427909</v>
      </c>
      <c r="DD152" s="17">
        <f t="shared" si="175"/>
        <v>6578.8393619153649</v>
      </c>
      <c r="DE152" s="17">
        <f t="shared" si="176"/>
        <v>2269.8729304847107</v>
      </c>
      <c r="DF152" s="17">
        <f t="shared" si="177"/>
        <v>2754.8070290197265</v>
      </c>
      <c r="DG152" s="17">
        <f t="shared" si="214"/>
        <v>83499.558218216494</v>
      </c>
      <c r="DH152" s="110">
        <f t="shared" si="215"/>
        <v>61681.739592132231</v>
      </c>
      <c r="DI152" s="17">
        <f t="shared" si="178"/>
        <v>55331.03531867273</v>
      </c>
      <c r="DJ152" s="17">
        <f t="shared" si="179"/>
        <v>6119.2873782898851</v>
      </c>
      <c r="DK152" s="17">
        <f t="shared" si="180"/>
        <v>231.41689516961694</v>
      </c>
      <c r="DL152" s="110">
        <f t="shared" si="216"/>
        <v>366700.19456518081</v>
      </c>
      <c r="DM152" s="17">
        <f t="shared" si="181"/>
        <v>194351.10311954585</v>
      </c>
      <c r="DN152" s="17">
        <f t="shared" si="182"/>
        <v>172349.09144563499</v>
      </c>
      <c r="DO152" s="17">
        <f t="shared" si="183"/>
        <v>0</v>
      </c>
      <c r="DP152" s="110">
        <f t="shared" si="217"/>
        <v>0</v>
      </c>
      <c r="DQ152" s="17">
        <f>SUMIF('20.01'!$BB:$BB,$B:$B,'20.01'!$D:$D)*1.2</f>
        <v>0</v>
      </c>
      <c r="DR152" s="17">
        <f t="shared" si="184"/>
        <v>0</v>
      </c>
      <c r="DS152" s="17">
        <f t="shared" si="185"/>
        <v>0</v>
      </c>
      <c r="DT152" s="110">
        <f t="shared" si="218"/>
        <v>7586.0159999999996</v>
      </c>
      <c r="DU152" s="17">
        <f>SUMIF('20.01'!$BD:$BD,$B:$B,'20.01'!$D:$D)*1.2</f>
        <v>7586.0159999999996</v>
      </c>
      <c r="DV152" s="17">
        <f t="shared" si="186"/>
        <v>0</v>
      </c>
      <c r="DW152" s="17">
        <f t="shared" si="187"/>
        <v>0</v>
      </c>
      <c r="DX152" s="110">
        <f t="shared" si="188"/>
        <v>1620841.394953965</v>
      </c>
      <c r="DY152" s="110"/>
      <c r="DZ152" s="110">
        <f t="shared" si="219"/>
        <v>1620841.394953965</v>
      </c>
      <c r="EA152" s="257"/>
      <c r="EB152" s="110">
        <f t="shared" si="189"/>
        <v>3546.2168674698792</v>
      </c>
      <c r="EC152" s="110">
        <f>SUMIF(еирц!$B:$B,$B:$B,еирц!$K:$K)</f>
        <v>1157193.8999999999</v>
      </c>
      <c r="ED152" s="110">
        <f>SUMIF(еирц!$B:$B,$B:$B,еирц!$P:$P)</f>
        <v>1106719.08</v>
      </c>
      <c r="EE152" s="110">
        <f>SUMIF(еирц!$B:$B,$B:$B,еирц!$S:$S)</f>
        <v>603051.41</v>
      </c>
      <c r="EF152" s="177">
        <f t="shared" si="220"/>
        <v>-460101.27808649512</v>
      </c>
      <c r="EG152" s="181">
        <f t="shared" si="221"/>
        <v>0</v>
      </c>
      <c r="EH152" s="177">
        <f t="shared" si="222"/>
        <v>-460101.27808649512</v>
      </c>
    </row>
    <row r="153" spans="1:138" ht="12" customHeight="1" x14ac:dyDescent="0.25">
      <c r="A153" s="5">
        <f t="shared" si="223"/>
        <v>149</v>
      </c>
      <c r="B153" s="6" t="s">
        <v>233</v>
      </c>
      <c r="C153" s="7">
        <f t="shared" si="226"/>
        <v>3483.9</v>
      </c>
      <c r="D153" s="8">
        <v>3483.9</v>
      </c>
      <c r="E153" s="8">
        <v>0</v>
      </c>
      <c r="F153" s="8">
        <v>445.9</v>
      </c>
      <c r="G153" s="87">
        <f t="shared" si="156"/>
        <v>3483.9</v>
      </c>
      <c r="H153" s="87">
        <f t="shared" si="157"/>
        <v>3483.9</v>
      </c>
      <c r="I153" s="91">
        <v>0</v>
      </c>
      <c r="J153" s="112">
        <v>0</v>
      </c>
      <c r="K153" s="17">
        <v>4</v>
      </c>
      <c r="L153" s="112">
        <f t="shared" si="190"/>
        <v>9.638554216867469E-3</v>
      </c>
      <c r="M153" s="116">
        <v>3.4064193307696722</v>
      </c>
      <c r="N153" s="120">
        <f t="shared" si="191"/>
        <v>3483.9</v>
      </c>
      <c r="O153" s="116">
        <v>3.086231073867876</v>
      </c>
      <c r="P153" s="120">
        <f t="shared" si="192"/>
        <v>3483.9</v>
      </c>
      <c r="Q153" s="116">
        <v>0</v>
      </c>
      <c r="R153" s="120">
        <f t="shared" si="193"/>
        <v>0</v>
      </c>
      <c r="S153" s="5" t="s">
        <v>73</v>
      </c>
      <c r="T153" s="87">
        <v>28.44</v>
      </c>
      <c r="U153" s="88">
        <v>4.68</v>
      </c>
      <c r="V153" s="88">
        <v>6.05</v>
      </c>
      <c r="W153" s="88">
        <v>8.24</v>
      </c>
      <c r="X153" s="88">
        <v>6.34</v>
      </c>
      <c r="Y153" s="88">
        <v>2.89</v>
      </c>
      <c r="Z153" s="88">
        <v>0</v>
      </c>
      <c r="AA153" s="88">
        <v>0</v>
      </c>
      <c r="AB153" s="88">
        <v>0.24</v>
      </c>
      <c r="AC153" s="257"/>
      <c r="AD153" s="110">
        <f t="shared" si="194"/>
        <v>390294.32518106431</v>
      </c>
      <c r="AE153" s="110">
        <f t="shared" si="195"/>
        <v>109092.32765762167</v>
      </c>
      <c r="AF153" s="16">
        <f>SUMIF('20.01'!$I:$I,$B:$B,'20.01'!$D:$D)*1.2</f>
        <v>36158.256000000001</v>
      </c>
      <c r="AG153" s="17">
        <f t="shared" si="224"/>
        <v>22291.083644149174</v>
      </c>
      <c r="AH153" s="17">
        <f t="shared" si="196"/>
        <v>2660.3025449146321</v>
      </c>
      <c r="AI153" s="16">
        <f>SUMIF('20.01'!$J:$J,$B:$B,'20.01'!$D:$D)*1.2</f>
        <v>0</v>
      </c>
      <c r="AJ153" s="17">
        <f t="shared" si="197"/>
        <v>1081.0871450097407</v>
      </c>
      <c r="AK153" s="17">
        <f t="shared" si="198"/>
        <v>2630.0448552094308</v>
      </c>
      <c r="AL153" s="17">
        <f t="shared" si="199"/>
        <v>44271.553468338687</v>
      </c>
      <c r="AM153" s="110">
        <f t="shared" si="200"/>
        <v>0</v>
      </c>
      <c r="AN153" s="17">
        <f>SUMIF('20.01'!$K:$K,$B:$B,'20.01'!$D:$D)*1.2</f>
        <v>0</v>
      </c>
      <c r="AO153" s="17">
        <f>SUMIF('20.01'!$L:$L,$B:$B,'20.01'!$D:$D)*1.2</f>
        <v>0</v>
      </c>
      <c r="AP153" s="17">
        <f>SUMIF('20.01'!$M:$M,$B:$B,'20.01'!$D:$D)*1.2</f>
        <v>0</v>
      </c>
      <c r="AQ153" s="110">
        <f t="shared" si="201"/>
        <v>978.66952344265292</v>
      </c>
      <c r="AR153" s="17">
        <f t="shared" si="202"/>
        <v>978.66952344265292</v>
      </c>
      <c r="AS153" s="17">
        <f>(SUMIF('20.01'!$N:$N,$B:$B,'20.01'!$D:$D)+SUMIF('20.01'!$O:$O,$B:$B,'20.01'!$D:$D))*1.2</f>
        <v>0</v>
      </c>
      <c r="AT153" s="110">
        <f>SUMIF('20.01'!$P:$P,$B:$B,'20.01'!$D:$D)*1.2</f>
        <v>0</v>
      </c>
      <c r="AU153" s="110">
        <f t="shared" si="203"/>
        <v>0</v>
      </c>
      <c r="AV153" s="17">
        <f>SUMIF('20.01'!$Q:$Q,$B:$B,'20.01'!$D:$D)*1.2</f>
        <v>0</v>
      </c>
      <c r="AW153" s="17">
        <f>SUMIF('20.01'!$R:$R,$B:$B,'20.01'!$D:$D)*1.2</f>
        <v>0</v>
      </c>
      <c r="AX153" s="110">
        <f t="shared" si="204"/>
        <v>130434.06</v>
      </c>
      <c r="AY153" s="17">
        <f>SUMIF('20.01'!$S:$S,$B:$B,'20.01'!$D:$D)*1.2</f>
        <v>121431.95999999999</v>
      </c>
      <c r="AZ153" s="17">
        <f>SUMIF('20.01'!$T:$T,$B:$B,'20.01'!$D:$D)*1.2</f>
        <v>9002.1</v>
      </c>
      <c r="BA153" s="110">
        <f t="shared" si="205"/>
        <v>136966.908</v>
      </c>
      <c r="BB153" s="17">
        <f>SUMIF('20.01'!$U:$U,$B:$B,'20.01'!$D:$D)*1.2</f>
        <v>136966.908</v>
      </c>
      <c r="BC153" s="17">
        <f>SUMIF('20.01'!$V:$V,$B:$B,'20.01'!$D:$D)*1.2</f>
        <v>0</v>
      </c>
      <c r="BD153" s="17">
        <f>SUMIF('20.01'!$W:$W,$B:$B,'20.01'!$D:$D)*1.2</f>
        <v>0</v>
      </c>
      <c r="BE153" s="110">
        <f>SUMIF('20.01'!$X:$X,$B:$B,'20.01'!$D:$D)*1.2</f>
        <v>0</v>
      </c>
      <c r="BF153" s="110">
        <f t="shared" si="206"/>
        <v>0</v>
      </c>
      <c r="BG153" s="17">
        <f>SUMIF('20.01'!$Y:$Y,$B:$B,'20.01'!$D:$D)*1.2</f>
        <v>0</v>
      </c>
      <c r="BH153" s="17">
        <f>SUMIF('20.01'!$Z:$Z,$B:$B,'20.01'!$D:$D)*1.2</f>
        <v>0</v>
      </c>
      <c r="BI153" s="17">
        <f>SUMIF('20.01'!$AA:$AA,$B:$B,'20.01'!$D:$D)*1.2</f>
        <v>0</v>
      </c>
      <c r="BJ153" s="17">
        <f>SUMIF('20.01'!$AB:$AB,$B:$B,'20.01'!$D:$D)*1.2</f>
        <v>0</v>
      </c>
      <c r="BK153" s="17">
        <f>SUMIF('20.01'!$AC:$AC,$B:$B,'20.01'!$D:$D)*1.2</f>
        <v>0</v>
      </c>
      <c r="BL153" s="17">
        <f>SUMIF('20.01'!$AD:$AD,$B:$B,'20.01'!$D:$D)*1.2</f>
        <v>0</v>
      </c>
      <c r="BM153" s="110">
        <f t="shared" si="207"/>
        <v>0</v>
      </c>
      <c r="BN153" s="17">
        <f>SUMIF('20.01'!$AE:$AE,$B:$B,'20.01'!$D:$D)*1.2</f>
        <v>0</v>
      </c>
      <c r="BO153" s="17">
        <f>SUMIF('20.01'!$AF:$AF,$B:$B,'20.01'!$D:$D)*1.2</f>
        <v>0</v>
      </c>
      <c r="BP153" s="110">
        <f>SUMIF('20.01'!$AG:$AG,$B:$B,'20.01'!$D:$D)*1.2</f>
        <v>0</v>
      </c>
      <c r="BQ153" s="110">
        <f>SUMIF('20.01'!$AH:$AH,$B:$B,'20.01'!$D:$D)*1.2</f>
        <v>0</v>
      </c>
      <c r="BR153" s="110">
        <f>SUMIF('20.01'!$AI:$AI,$B:$B,'20.01'!$D:$D)*1.2</f>
        <v>0</v>
      </c>
      <c r="BS153" s="110">
        <f t="shared" si="208"/>
        <v>12822.359999999999</v>
      </c>
      <c r="BT153" s="17">
        <f>SUMIF('20.01'!$AJ:$AJ,$B:$B,'20.01'!$D:$D)*1.2</f>
        <v>12822.359999999999</v>
      </c>
      <c r="BU153" s="17">
        <f>SUMIF('20.01'!$AK:$AK,$B:$B,'20.01'!$D:$D)*1.2</f>
        <v>0</v>
      </c>
      <c r="BV153" s="110">
        <f>SUMIF('20.01'!$AL:$AL,$B:$B,'20.01'!$D:$D)*1.2</f>
        <v>0</v>
      </c>
      <c r="BW153" s="110">
        <f>SUMIF('20.01'!$AM:$AM,$B:$B,'20.01'!$D:$D)*1.2</f>
        <v>0</v>
      </c>
      <c r="BX153" s="110">
        <f>SUMIF('20.01'!$AN:$AN,$B:$B,'20.01'!$D:$D)*1.2</f>
        <v>0</v>
      </c>
      <c r="BY153" s="110">
        <f t="shared" si="158"/>
        <v>398158.96045733104</v>
      </c>
      <c r="BZ153" s="17">
        <f t="shared" si="225"/>
        <v>302544.45643003052</v>
      </c>
      <c r="CA153" s="17">
        <f t="shared" si="159"/>
        <v>21608.126137709511</v>
      </c>
      <c r="CB153" s="17">
        <f t="shared" si="160"/>
        <v>1436.3975570687751</v>
      </c>
      <c r="CC153" s="17">
        <f>SUMIF('20.01'!$AO:$AO,$B:$B,'20.01'!$D:$D)*1.2</f>
        <v>0</v>
      </c>
      <c r="CD153" s="17">
        <f t="shared" si="161"/>
        <v>22549.982767436639</v>
      </c>
      <c r="CE153" s="17">
        <f>SUMIF('20.01'!$AQ:$AQ,$B:$B,'20.01'!$D:$D)*1.2</f>
        <v>0</v>
      </c>
      <c r="CF153" s="17">
        <f t="shared" si="162"/>
        <v>2051.6919624542365</v>
      </c>
      <c r="CG153" s="17">
        <f>SUMIF('20.01'!$AR:$AR,$B:$B,'20.01'!$D:$D)*1.2</f>
        <v>45563.832000000002</v>
      </c>
      <c r="CH153" s="17">
        <f t="shared" si="163"/>
        <v>1208.2976926321987</v>
      </c>
      <c r="CI153" s="17">
        <f>SUMIF('20.01'!$AT:$AT,$B:$B,'20.01'!$D:$D)*1.2</f>
        <v>0</v>
      </c>
      <c r="CJ153" s="17">
        <f>SUMIF('20.01'!$AU:$AU,$B:$B,'20.01'!$D:$D)*1.2</f>
        <v>0</v>
      </c>
      <c r="CK153" s="17">
        <f>SUMIF('20.01'!$AV:$AV,$B:$B,'20.01'!$D:$D)*1.2</f>
        <v>0</v>
      </c>
      <c r="CL153" s="17">
        <f t="shared" si="164"/>
        <v>1196.1759099990975</v>
      </c>
      <c r="CM153" s="17">
        <f>SUMIF('20.01'!$AW:$AW,$B:$B,'20.01'!$D:$D)*1.2</f>
        <v>0</v>
      </c>
      <c r="CN153" s="17">
        <f>SUMIF('20.01'!$AX:$AX,$B:$B,'20.01'!$D:$D)*1.2</f>
        <v>0</v>
      </c>
      <c r="CO153" s="110">
        <f t="shared" si="209"/>
        <v>401270.87031156587</v>
      </c>
      <c r="CP153" s="17">
        <f t="shared" si="210"/>
        <v>316539.06617292284</v>
      </c>
      <c r="CQ153" s="17">
        <f t="shared" si="165"/>
        <v>97656.657378222575</v>
      </c>
      <c r="CR153" s="17">
        <f t="shared" si="166"/>
        <v>218882.40879470028</v>
      </c>
      <c r="CS153" s="17">
        <f t="shared" si="211"/>
        <v>84731.804138643041</v>
      </c>
      <c r="CT153" s="17">
        <f t="shared" si="167"/>
        <v>3086.8539536966673</v>
      </c>
      <c r="CU153" s="17">
        <f t="shared" si="168"/>
        <v>2985.7085458883948</v>
      </c>
      <c r="CV153" s="17">
        <f t="shared" si="169"/>
        <v>3085.7950379721942</v>
      </c>
      <c r="CW153" s="17">
        <f t="shared" si="170"/>
        <v>32.357958571390299</v>
      </c>
      <c r="CX153" s="17">
        <f t="shared" si="171"/>
        <v>45563.258826928024</v>
      </c>
      <c r="CY153" s="17">
        <f t="shared" si="172"/>
        <v>29977.82981558637</v>
      </c>
      <c r="CZ153" s="110">
        <f t="shared" si="212"/>
        <v>99605.934946250971</v>
      </c>
      <c r="DA153" s="17">
        <f t="shared" si="213"/>
        <v>3762.5533222546865</v>
      </c>
      <c r="DB153" s="17">
        <f t="shared" si="173"/>
        <v>3570.5250825223898</v>
      </c>
      <c r="DC153" s="17">
        <f t="shared" si="174"/>
        <v>192.02823973229658</v>
      </c>
      <c r="DD153" s="17">
        <f t="shared" si="175"/>
        <v>6630.0505506168493</v>
      </c>
      <c r="DE153" s="17">
        <f t="shared" si="176"/>
        <v>2287.5421399875859</v>
      </c>
      <c r="DF153" s="17">
        <f t="shared" si="177"/>
        <v>2776.2510763415071</v>
      </c>
      <c r="DG153" s="17">
        <f t="shared" si="214"/>
        <v>84149.537857050338</v>
      </c>
      <c r="DH153" s="110">
        <f t="shared" si="215"/>
        <v>62161.884345927967</v>
      </c>
      <c r="DI153" s="17">
        <f t="shared" si="178"/>
        <v>55761.744739418958</v>
      </c>
      <c r="DJ153" s="17">
        <f t="shared" si="179"/>
        <v>6166.9213093541302</v>
      </c>
      <c r="DK153" s="17">
        <f t="shared" si="180"/>
        <v>233.21829715487416</v>
      </c>
      <c r="DL153" s="110">
        <f t="shared" si="216"/>
        <v>369554.67266194976</v>
      </c>
      <c r="DM153" s="17">
        <f t="shared" si="181"/>
        <v>195863.97651083337</v>
      </c>
      <c r="DN153" s="17">
        <f t="shared" si="182"/>
        <v>173690.69615111637</v>
      </c>
      <c r="DO153" s="17">
        <f t="shared" si="183"/>
        <v>0</v>
      </c>
      <c r="DP153" s="110">
        <f t="shared" si="217"/>
        <v>0</v>
      </c>
      <c r="DQ153" s="17">
        <f>SUMIF('20.01'!$BB:$BB,$B:$B,'20.01'!$D:$D)*1.2</f>
        <v>0</v>
      </c>
      <c r="DR153" s="17">
        <f t="shared" si="184"/>
        <v>0</v>
      </c>
      <c r="DS153" s="17">
        <f t="shared" si="185"/>
        <v>0</v>
      </c>
      <c r="DT153" s="110">
        <f t="shared" si="218"/>
        <v>7586.0159999999996</v>
      </c>
      <c r="DU153" s="17">
        <f>SUMIF('20.01'!$BD:$BD,$B:$B,'20.01'!$D:$D)*1.2</f>
        <v>7586.0159999999996</v>
      </c>
      <c r="DV153" s="17">
        <f t="shared" si="186"/>
        <v>0</v>
      </c>
      <c r="DW153" s="17">
        <f t="shared" si="187"/>
        <v>0</v>
      </c>
      <c r="DX153" s="110">
        <f t="shared" si="188"/>
        <v>1728632.6639040897</v>
      </c>
      <c r="DY153" s="110"/>
      <c r="DZ153" s="110">
        <f t="shared" si="219"/>
        <v>1728632.6639040897</v>
      </c>
      <c r="EA153" s="257"/>
      <c r="EB153" s="110">
        <f t="shared" si="189"/>
        <v>3546.2168674698792</v>
      </c>
      <c r="EC153" s="110">
        <f>SUMIF(еирц!$B:$B,$B:$B,еирц!$K:$K)</f>
        <v>1166202.1200000001</v>
      </c>
      <c r="ED153" s="110">
        <f>SUMIF(еирц!$B:$B,$B:$B,еирц!$P:$P)</f>
        <v>1143097.6000000001</v>
      </c>
      <c r="EE153" s="110">
        <f>SUMIF(еирц!$B:$B,$B:$B,еирц!$S:$S)</f>
        <v>384914.59</v>
      </c>
      <c r="EF153" s="177">
        <f t="shared" si="220"/>
        <v>-558884.32703661965</v>
      </c>
      <c r="EG153" s="181">
        <f t="shared" si="221"/>
        <v>0</v>
      </c>
      <c r="EH153" s="177">
        <f t="shared" si="222"/>
        <v>-558884.32703661965</v>
      </c>
    </row>
    <row r="154" spans="1:138" ht="12" customHeight="1" x14ac:dyDescent="0.25">
      <c r="A154" s="5">
        <f t="shared" si="223"/>
        <v>150</v>
      </c>
      <c r="B154" s="6" t="s">
        <v>234</v>
      </c>
      <c r="C154" s="7">
        <f t="shared" si="226"/>
        <v>4951.3999999999996</v>
      </c>
      <c r="D154" s="8">
        <v>4951.3999999999996</v>
      </c>
      <c r="E154" s="8">
        <v>0</v>
      </c>
      <c r="F154" s="8">
        <v>456</v>
      </c>
      <c r="G154" s="87">
        <f t="shared" si="156"/>
        <v>4951.3999999999996</v>
      </c>
      <c r="H154" s="87">
        <f t="shared" si="157"/>
        <v>4951.3999999999996</v>
      </c>
      <c r="I154" s="91">
        <v>0</v>
      </c>
      <c r="J154" s="112">
        <v>0</v>
      </c>
      <c r="K154" s="17">
        <v>0</v>
      </c>
      <c r="L154" s="112">
        <f t="shared" si="190"/>
        <v>0</v>
      </c>
      <c r="M154" s="116">
        <v>3.4064178101955762</v>
      </c>
      <c r="N154" s="120">
        <f t="shared" si="191"/>
        <v>4951.3999999999996</v>
      </c>
      <c r="O154" s="116">
        <v>3.0862335684514273</v>
      </c>
      <c r="P154" s="120">
        <f t="shared" si="192"/>
        <v>4951.3999999999996</v>
      </c>
      <c r="Q154" s="116">
        <v>0</v>
      </c>
      <c r="R154" s="120">
        <f t="shared" si="193"/>
        <v>0</v>
      </c>
      <c r="S154" s="5" t="s">
        <v>73</v>
      </c>
      <c r="T154" s="87">
        <v>28.44</v>
      </c>
      <c r="U154" s="88">
        <v>4.68</v>
      </c>
      <c r="V154" s="88">
        <v>6.05</v>
      </c>
      <c r="W154" s="88">
        <v>8.24</v>
      </c>
      <c r="X154" s="88">
        <v>6.34</v>
      </c>
      <c r="Y154" s="88">
        <v>2.89</v>
      </c>
      <c r="Z154" s="88">
        <v>0</v>
      </c>
      <c r="AA154" s="88">
        <v>0</v>
      </c>
      <c r="AB154" s="88">
        <v>0.24</v>
      </c>
      <c r="AC154" s="257"/>
      <c r="AD154" s="110">
        <f t="shared" si="194"/>
        <v>870097.64501240617</v>
      </c>
      <c r="AE154" s="110">
        <f t="shared" si="195"/>
        <v>169696.53704192079</v>
      </c>
      <c r="AF154" s="16">
        <f>SUMIF('20.01'!$I:$I,$B:$B,'20.01'!$D:$D)*1.2</f>
        <v>66040.932000000001</v>
      </c>
      <c r="AG154" s="17">
        <f t="shared" si="224"/>
        <v>31680.60838590092</v>
      </c>
      <c r="AH154" s="17">
        <f t="shared" si="196"/>
        <v>3780.8840727030938</v>
      </c>
      <c r="AI154" s="16">
        <f>SUMIF('20.01'!$J:$J,$B:$B,'20.01'!$D:$D)*1.2</f>
        <v>0</v>
      </c>
      <c r="AJ154" s="17">
        <f t="shared" si="197"/>
        <v>1536.4662848535347</v>
      </c>
      <c r="AK154" s="17">
        <f t="shared" si="198"/>
        <v>3737.8811378294367</v>
      </c>
      <c r="AL154" s="17">
        <f t="shared" si="199"/>
        <v>62919.765160633811</v>
      </c>
      <c r="AM154" s="110">
        <f t="shared" si="200"/>
        <v>0</v>
      </c>
      <c r="AN154" s="17">
        <f>SUMIF('20.01'!$K:$K,$B:$B,'20.01'!$D:$D)*1.2</f>
        <v>0</v>
      </c>
      <c r="AO154" s="17">
        <f>SUMIF('20.01'!$L:$L,$B:$B,'20.01'!$D:$D)*1.2</f>
        <v>0</v>
      </c>
      <c r="AP154" s="17">
        <f>SUMIF('20.01'!$M:$M,$B:$B,'20.01'!$D:$D)*1.2</f>
        <v>0</v>
      </c>
      <c r="AQ154" s="110">
        <f t="shared" si="201"/>
        <v>1390.9079704853616</v>
      </c>
      <c r="AR154" s="17">
        <f t="shared" si="202"/>
        <v>1390.9079704853616</v>
      </c>
      <c r="AS154" s="17">
        <f>(SUMIF('20.01'!$N:$N,$B:$B,'20.01'!$D:$D)+SUMIF('20.01'!$O:$O,$B:$B,'20.01'!$D:$D))*1.2</f>
        <v>0</v>
      </c>
      <c r="AT154" s="110">
        <f>SUMIF('20.01'!$P:$P,$B:$B,'20.01'!$D:$D)*1.2</f>
        <v>0</v>
      </c>
      <c r="AU154" s="110">
        <f t="shared" si="203"/>
        <v>0</v>
      </c>
      <c r="AV154" s="17">
        <f>SUMIF('20.01'!$Q:$Q,$B:$B,'20.01'!$D:$D)*1.2</f>
        <v>0</v>
      </c>
      <c r="AW154" s="17">
        <f>SUMIF('20.01'!$R:$R,$B:$B,'20.01'!$D:$D)*1.2</f>
        <v>0</v>
      </c>
      <c r="AX154" s="110">
        <f t="shared" si="204"/>
        <v>374555.712</v>
      </c>
      <c r="AY154" s="17">
        <f>SUMIF('20.01'!$S:$S,$B:$B,'20.01'!$D:$D)*1.2</f>
        <v>374555.712</v>
      </c>
      <c r="AZ154" s="17">
        <f>SUMIF('20.01'!$T:$T,$B:$B,'20.01'!$D:$D)*1.2</f>
        <v>0</v>
      </c>
      <c r="BA154" s="110">
        <f t="shared" si="205"/>
        <v>0</v>
      </c>
      <c r="BB154" s="17">
        <f>SUMIF('20.01'!$U:$U,$B:$B,'20.01'!$D:$D)*1.2</f>
        <v>0</v>
      </c>
      <c r="BC154" s="17">
        <f>SUMIF('20.01'!$V:$V,$B:$B,'20.01'!$D:$D)*1.2</f>
        <v>0</v>
      </c>
      <c r="BD154" s="17">
        <f>SUMIF('20.01'!$W:$W,$B:$B,'20.01'!$D:$D)*1.2</f>
        <v>0</v>
      </c>
      <c r="BE154" s="110">
        <f>SUMIF('20.01'!$X:$X,$B:$B,'20.01'!$D:$D)*1.2</f>
        <v>0</v>
      </c>
      <c r="BF154" s="110">
        <f t="shared" si="206"/>
        <v>0</v>
      </c>
      <c r="BG154" s="17">
        <f>SUMIF('20.01'!$Y:$Y,$B:$B,'20.01'!$D:$D)*1.2</f>
        <v>0</v>
      </c>
      <c r="BH154" s="17">
        <f>SUMIF('20.01'!$Z:$Z,$B:$B,'20.01'!$D:$D)*1.2</f>
        <v>0</v>
      </c>
      <c r="BI154" s="17">
        <f>SUMIF('20.01'!$AA:$AA,$B:$B,'20.01'!$D:$D)*1.2</f>
        <v>0</v>
      </c>
      <c r="BJ154" s="17">
        <f>SUMIF('20.01'!$AB:$AB,$B:$B,'20.01'!$D:$D)*1.2</f>
        <v>0</v>
      </c>
      <c r="BK154" s="17">
        <f>SUMIF('20.01'!$AC:$AC,$B:$B,'20.01'!$D:$D)*1.2</f>
        <v>0</v>
      </c>
      <c r="BL154" s="17">
        <f>SUMIF('20.01'!$AD:$AD,$B:$B,'20.01'!$D:$D)*1.2</f>
        <v>0</v>
      </c>
      <c r="BM154" s="110">
        <f t="shared" si="207"/>
        <v>0</v>
      </c>
      <c r="BN154" s="17">
        <f>SUMIF('20.01'!$AE:$AE,$B:$B,'20.01'!$D:$D)*1.2</f>
        <v>0</v>
      </c>
      <c r="BO154" s="17">
        <f>SUMIF('20.01'!$AF:$AF,$B:$B,'20.01'!$D:$D)*1.2</f>
        <v>0</v>
      </c>
      <c r="BP154" s="110">
        <f>SUMIF('20.01'!$AG:$AG,$B:$B,'20.01'!$D:$D)*1.2</f>
        <v>0</v>
      </c>
      <c r="BQ154" s="110">
        <f>SUMIF('20.01'!$AH:$AH,$B:$B,'20.01'!$D:$D)*1.2</f>
        <v>0</v>
      </c>
      <c r="BR154" s="110">
        <f>SUMIF('20.01'!$AI:$AI,$B:$B,'20.01'!$D:$D)*1.2</f>
        <v>0</v>
      </c>
      <c r="BS154" s="110">
        <f t="shared" si="208"/>
        <v>6131.8680000000004</v>
      </c>
      <c r="BT154" s="17">
        <f>SUMIF('20.01'!$AJ:$AJ,$B:$B,'20.01'!$D:$D)*1.2</f>
        <v>6131.8680000000004</v>
      </c>
      <c r="BU154" s="17">
        <f>SUMIF('20.01'!$AK:$AK,$B:$B,'20.01'!$D:$D)*1.2</f>
        <v>0</v>
      </c>
      <c r="BV154" s="110">
        <f>SUMIF('20.01'!$AL:$AL,$B:$B,'20.01'!$D:$D)*1.2</f>
        <v>318322.61999999994</v>
      </c>
      <c r="BW154" s="110">
        <f>SUMIF('20.01'!$AM:$AM,$B:$B,'20.01'!$D:$D)*1.2</f>
        <v>0</v>
      </c>
      <c r="BX154" s="110">
        <f>SUMIF('20.01'!$AN:$AN,$B:$B,'20.01'!$D:$D)*1.2</f>
        <v>0</v>
      </c>
      <c r="BY154" s="110">
        <f t="shared" si="158"/>
        <v>650951.17471822619</v>
      </c>
      <c r="BZ154" s="17">
        <f t="shared" si="225"/>
        <v>429983.24336739088</v>
      </c>
      <c r="CA154" s="17">
        <f t="shared" si="159"/>
        <v>30709.973236388778</v>
      </c>
      <c r="CB154" s="17">
        <f t="shared" si="160"/>
        <v>2041.4417360057212</v>
      </c>
      <c r="CC154" s="17">
        <f>SUMIF('20.01'!$AO:$AO,$B:$B,'20.01'!$D:$D)*1.2</f>
        <v>0</v>
      </c>
      <c r="CD154" s="17">
        <f t="shared" si="161"/>
        <v>32048.56186305168</v>
      </c>
      <c r="CE154" s="17">
        <f>SUMIF('20.01'!$AQ:$AQ,$B:$B,'20.01'!$D:$D)*1.2</f>
        <v>0</v>
      </c>
      <c r="CF154" s="17">
        <f t="shared" si="162"/>
        <v>2915.9125069307115</v>
      </c>
      <c r="CG154" s="17">
        <f>SUMIF('20.01'!$AR:$AR,$B:$B,'20.01'!$D:$D)*1.2</f>
        <v>149834.74799999999</v>
      </c>
      <c r="CH154" s="17">
        <f t="shared" si="163"/>
        <v>1717.2608844395843</v>
      </c>
      <c r="CI154" s="17">
        <f>SUMIF('20.01'!$AT:$AT,$B:$B,'20.01'!$D:$D)*1.2</f>
        <v>0</v>
      </c>
      <c r="CJ154" s="17">
        <f>SUMIF('20.01'!$AU:$AU,$B:$B,'20.01'!$D:$D)*1.2</f>
        <v>0</v>
      </c>
      <c r="CK154" s="17">
        <f>SUMIF('20.01'!$AV:$AV,$B:$B,'20.01'!$D:$D)*1.2</f>
        <v>0</v>
      </c>
      <c r="CL154" s="17">
        <f t="shared" si="164"/>
        <v>1700.0331240189244</v>
      </c>
      <c r="CM154" s="17">
        <f>SUMIF('20.01'!$AW:$AW,$B:$B,'20.01'!$D:$D)*1.2</f>
        <v>0</v>
      </c>
      <c r="CN154" s="17">
        <f>SUMIF('20.01'!$AX:$AX,$B:$B,'20.01'!$D:$D)*1.2</f>
        <v>0</v>
      </c>
      <c r="CO154" s="110">
        <f t="shared" si="209"/>
        <v>570295.52721395192</v>
      </c>
      <c r="CP154" s="17">
        <f t="shared" si="210"/>
        <v>449872.70939137461</v>
      </c>
      <c r="CQ154" s="17">
        <f t="shared" si="165"/>
        <v>138791.92093416321</v>
      </c>
      <c r="CR154" s="17">
        <f t="shared" si="166"/>
        <v>311080.7884572114</v>
      </c>
      <c r="CS154" s="17">
        <f t="shared" si="211"/>
        <v>120422.81782257732</v>
      </c>
      <c r="CT154" s="17">
        <f t="shared" si="167"/>
        <v>4387.1088912809428</v>
      </c>
      <c r="CU154" s="17">
        <f t="shared" si="168"/>
        <v>4243.3586768023752</v>
      </c>
      <c r="CV154" s="17">
        <f t="shared" si="169"/>
        <v>4385.6039355364737</v>
      </c>
      <c r="CW154" s="17">
        <f t="shared" si="170"/>
        <v>45.987886010041017</v>
      </c>
      <c r="CX154" s="17">
        <f t="shared" si="171"/>
        <v>64755.566966804843</v>
      </c>
      <c r="CY154" s="17">
        <f t="shared" si="172"/>
        <v>42605.191466142642</v>
      </c>
      <c r="CZ154" s="110">
        <f t="shared" si="212"/>
        <v>141562.27971321423</v>
      </c>
      <c r="DA154" s="17">
        <f t="shared" si="213"/>
        <v>5347.4286058187236</v>
      </c>
      <c r="DB154" s="17">
        <f t="shared" si="173"/>
        <v>5074.5135892538128</v>
      </c>
      <c r="DC154" s="17">
        <f t="shared" si="174"/>
        <v>272.91501656491096</v>
      </c>
      <c r="DD154" s="17">
        <f t="shared" si="175"/>
        <v>9422.7825989047506</v>
      </c>
      <c r="DE154" s="17">
        <f t="shared" si="176"/>
        <v>3251.1082843751346</v>
      </c>
      <c r="DF154" s="17">
        <f t="shared" si="177"/>
        <v>3945.6728319978579</v>
      </c>
      <c r="DG154" s="17">
        <f t="shared" si="214"/>
        <v>119595.28739211775</v>
      </c>
      <c r="DH154" s="110">
        <f t="shared" si="215"/>
        <v>88345.920993836698</v>
      </c>
      <c r="DI154" s="17">
        <f t="shared" si="178"/>
        <v>79249.893195200493</v>
      </c>
      <c r="DJ154" s="17">
        <f t="shared" si="179"/>
        <v>8764.5725110181229</v>
      </c>
      <c r="DK154" s="17">
        <f t="shared" si="180"/>
        <v>331.4552876180843</v>
      </c>
      <c r="DL154" s="110">
        <f t="shared" si="216"/>
        <v>525219.72680569987</v>
      </c>
      <c r="DM154" s="17">
        <f t="shared" si="181"/>
        <v>278366.45520702092</v>
      </c>
      <c r="DN154" s="17">
        <f t="shared" si="182"/>
        <v>246853.27159867896</v>
      </c>
      <c r="DO154" s="17">
        <f t="shared" si="183"/>
        <v>0</v>
      </c>
      <c r="DP154" s="110">
        <f t="shared" si="217"/>
        <v>0</v>
      </c>
      <c r="DQ154" s="17">
        <f>SUMIF('20.01'!$BB:$BB,$B:$B,'20.01'!$D:$D)*1.2</f>
        <v>0</v>
      </c>
      <c r="DR154" s="17">
        <f t="shared" si="184"/>
        <v>0</v>
      </c>
      <c r="DS154" s="17">
        <f t="shared" si="185"/>
        <v>0</v>
      </c>
      <c r="DT154" s="110">
        <f t="shared" si="218"/>
        <v>11284.199999999999</v>
      </c>
      <c r="DU154" s="17">
        <f>SUMIF('20.01'!$BD:$BD,$B:$B,'20.01'!$D:$D)*1.2</f>
        <v>11284.199999999999</v>
      </c>
      <c r="DV154" s="17">
        <f t="shared" si="186"/>
        <v>0</v>
      </c>
      <c r="DW154" s="17">
        <f t="shared" si="187"/>
        <v>0</v>
      </c>
      <c r="DX154" s="110">
        <f t="shared" si="188"/>
        <v>2857756.4744573357</v>
      </c>
      <c r="DY154" s="110"/>
      <c r="DZ154" s="110">
        <f t="shared" si="219"/>
        <v>2857756.4744573357</v>
      </c>
      <c r="EA154" s="257"/>
      <c r="EB154" s="110">
        <f t="shared" si="189"/>
        <v>0</v>
      </c>
      <c r="EC154" s="110">
        <f>SUMIF(еирц!$B:$B,$B:$B,еирц!$K:$K)</f>
        <v>1657451.1300000001</v>
      </c>
      <c r="ED154" s="110">
        <f>SUMIF(еирц!$B:$B,$B:$B,еирц!$P:$P)</f>
        <v>1559935.3</v>
      </c>
      <c r="EE154" s="110">
        <f>SUMIF(еирц!$B:$B,$B:$B,еирц!$S:$S)</f>
        <v>575521.06999999995</v>
      </c>
      <c r="EF154" s="177">
        <f t="shared" si="220"/>
        <v>-1200305.3444573355</v>
      </c>
      <c r="EG154" s="181">
        <f t="shared" si="221"/>
        <v>0</v>
      </c>
      <c r="EH154" s="177">
        <f t="shared" si="222"/>
        <v>-1200305.3444573355</v>
      </c>
    </row>
    <row r="155" spans="1:138" ht="12" customHeight="1" x14ac:dyDescent="0.25">
      <c r="A155" s="5">
        <f t="shared" si="223"/>
        <v>151</v>
      </c>
      <c r="B155" s="6" t="s">
        <v>235</v>
      </c>
      <c r="C155" s="7">
        <f t="shared" si="226"/>
        <v>4883.7</v>
      </c>
      <c r="D155" s="8">
        <v>4883.7</v>
      </c>
      <c r="E155" s="8">
        <v>0</v>
      </c>
      <c r="F155" s="8">
        <v>716.4</v>
      </c>
      <c r="G155" s="87">
        <f t="shared" si="156"/>
        <v>4883.7</v>
      </c>
      <c r="H155" s="87">
        <f t="shared" si="157"/>
        <v>4883.7</v>
      </c>
      <c r="I155" s="91">
        <v>0</v>
      </c>
      <c r="J155" s="112">
        <v>0</v>
      </c>
      <c r="K155" s="17">
        <v>6</v>
      </c>
      <c r="L155" s="112">
        <f t="shared" si="190"/>
        <v>1.4457831325301205E-2</v>
      </c>
      <c r="M155" s="116">
        <v>3.4064164459250836</v>
      </c>
      <c r="N155" s="120">
        <f t="shared" si="191"/>
        <v>4883.7</v>
      </c>
      <c r="O155" s="116">
        <v>3.0862302917039086</v>
      </c>
      <c r="P155" s="120">
        <f t="shared" si="192"/>
        <v>4883.7</v>
      </c>
      <c r="Q155" s="116">
        <v>0</v>
      </c>
      <c r="R155" s="120">
        <f t="shared" si="193"/>
        <v>0</v>
      </c>
      <c r="S155" s="5" t="s">
        <v>73</v>
      </c>
      <c r="T155" s="87">
        <v>28.44</v>
      </c>
      <c r="U155" s="88">
        <v>4.68</v>
      </c>
      <c r="V155" s="88">
        <v>6.05</v>
      </c>
      <c r="W155" s="88">
        <v>8.24</v>
      </c>
      <c r="X155" s="88">
        <v>6.34</v>
      </c>
      <c r="Y155" s="88">
        <v>2.89</v>
      </c>
      <c r="Z155" s="88">
        <v>0</v>
      </c>
      <c r="AA155" s="88">
        <v>0</v>
      </c>
      <c r="AB155" s="88">
        <v>0.24</v>
      </c>
      <c r="AC155" s="257"/>
      <c r="AD155" s="110">
        <f t="shared" si="194"/>
        <v>506571.14648226526</v>
      </c>
      <c r="AE155" s="110">
        <f t="shared" si="195"/>
        <v>156484.5482581954</v>
      </c>
      <c r="AF155" s="16">
        <f>SUMIF('20.01'!$I:$I,$B:$B,'20.01'!$D:$D)*1.2</f>
        <v>54246.216</v>
      </c>
      <c r="AG155" s="17">
        <f t="shared" si="224"/>
        <v>31247.442576690293</v>
      </c>
      <c r="AH155" s="17">
        <f t="shared" si="196"/>
        <v>3729.1884206204509</v>
      </c>
      <c r="AI155" s="16">
        <f>SUMIF('20.01'!$J:$J,$B:$B,'20.01'!$D:$D)*1.2</f>
        <v>0</v>
      </c>
      <c r="AJ155" s="17">
        <f t="shared" si="197"/>
        <v>1515.4583340750512</v>
      </c>
      <c r="AK155" s="17">
        <f t="shared" si="198"/>
        <v>3686.7734606005615</v>
      </c>
      <c r="AL155" s="17">
        <f t="shared" si="199"/>
        <v>62059.469466209026</v>
      </c>
      <c r="AM155" s="110">
        <f t="shared" si="200"/>
        <v>0</v>
      </c>
      <c r="AN155" s="17">
        <f>SUMIF('20.01'!$K:$K,$B:$B,'20.01'!$D:$D)*1.2</f>
        <v>0</v>
      </c>
      <c r="AO155" s="17">
        <f>SUMIF('20.01'!$L:$L,$B:$B,'20.01'!$D:$D)*1.2</f>
        <v>0</v>
      </c>
      <c r="AP155" s="17">
        <f>SUMIF('20.01'!$M:$M,$B:$B,'20.01'!$D:$D)*1.2</f>
        <v>0</v>
      </c>
      <c r="AQ155" s="110">
        <f t="shared" si="201"/>
        <v>1371.8902240698308</v>
      </c>
      <c r="AR155" s="17">
        <f t="shared" si="202"/>
        <v>1371.8902240698308</v>
      </c>
      <c r="AS155" s="17">
        <f>(SUMIF('20.01'!$N:$N,$B:$B,'20.01'!$D:$D)+SUMIF('20.01'!$O:$O,$B:$B,'20.01'!$D:$D))*1.2</f>
        <v>0</v>
      </c>
      <c r="AT155" s="110">
        <f>SUMIF('20.01'!$P:$P,$B:$B,'20.01'!$D:$D)*1.2</f>
        <v>0</v>
      </c>
      <c r="AU155" s="110">
        <f t="shared" si="203"/>
        <v>0</v>
      </c>
      <c r="AV155" s="17">
        <f>SUMIF('20.01'!$Q:$Q,$B:$B,'20.01'!$D:$D)*1.2</f>
        <v>0</v>
      </c>
      <c r="AW155" s="17">
        <f>SUMIF('20.01'!$R:$R,$B:$B,'20.01'!$D:$D)*1.2</f>
        <v>0</v>
      </c>
      <c r="AX155" s="110">
        <f t="shared" si="204"/>
        <v>0</v>
      </c>
      <c r="AY155" s="17">
        <f>SUMIF('20.01'!$S:$S,$B:$B,'20.01'!$D:$D)*1.2</f>
        <v>0</v>
      </c>
      <c r="AZ155" s="17">
        <f>SUMIF('20.01'!$T:$T,$B:$B,'20.01'!$D:$D)*1.2</f>
        <v>0</v>
      </c>
      <c r="BA155" s="110">
        <f t="shared" si="205"/>
        <v>0</v>
      </c>
      <c r="BB155" s="17">
        <f>SUMIF('20.01'!$U:$U,$B:$B,'20.01'!$D:$D)*1.2</f>
        <v>0</v>
      </c>
      <c r="BC155" s="17">
        <f>SUMIF('20.01'!$V:$V,$B:$B,'20.01'!$D:$D)*1.2</f>
        <v>0</v>
      </c>
      <c r="BD155" s="17">
        <f>SUMIF('20.01'!$W:$W,$B:$B,'20.01'!$D:$D)*1.2</f>
        <v>0</v>
      </c>
      <c r="BE155" s="110">
        <f>SUMIF('20.01'!$X:$X,$B:$B,'20.01'!$D:$D)*1.2</f>
        <v>0</v>
      </c>
      <c r="BF155" s="110">
        <f t="shared" si="206"/>
        <v>0</v>
      </c>
      <c r="BG155" s="17">
        <f>SUMIF('20.01'!$Y:$Y,$B:$B,'20.01'!$D:$D)*1.2</f>
        <v>0</v>
      </c>
      <c r="BH155" s="17">
        <f>SUMIF('20.01'!$Z:$Z,$B:$B,'20.01'!$D:$D)*1.2</f>
        <v>0</v>
      </c>
      <c r="BI155" s="17">
        <f>SUMIF('20.01'!$AA:$AA,$B:$B,'20.01'!$D:$D)*1.2</f>
        <v>0</v>
      </c>
      <c r="BJ155" s="17">
        <f>SUMIF('20.01'!$AB:$AB,$B:$B,'20.01'!$D:$D)*1.2</f>
        <v>0</v>
      </c>
      <c r="BK155" s="17">
        <f>SUMIF('20.01'!$AC:$AC,$B:$B,'20.01'!$D:$D)*1.2</f>
        <v>0</v>
      </c>
      <c r="BL155" s="17">
        <f>SUMIF('20.01'!$AD:$AD,$B:$B,'20.01'!$D:$D)*1.2</f>
        <v>0</v>
      </c>
      <c r="BM155" s="110">
        <f t="shared" si="207"/>
        <v>0</v>
      </c>
      <c r="BN155" s="17">
        <f>SUMIF('20.01'!$AE:$AE,$B:$B,'20.01'!$D:$D)*1.2</f>
        <v>0</v>
      </c>
      <c r="BO155" s="17">
        <f>SUMIF('20.01'!$AF:$AF,$B:$B,'20.01'!$D:$D)*1.2</f>
        <v>0</v>
      </c>
      <c r="BP155" s="110">
        <f>SUMIF('20.01'!$AG:$AG,$B:$B,'20.01'!$D:$D)*1.2</f>
        <v>0</v>
      </c>
      <c r="BQ155" s="110">
        <f>SUMIF('20.01'!$AH:$AH,$B:$B,'20.01'!$D:$D)*1.2</f>
        <v>0</v>
      </c>
      <c r="BR155" s="110">
        <f>SUMIF('20.01'!$AI:$AI,$B:$B,'20.01'!$D:$D)*1.2</f>
        <v>0</v>
      </c>
      <c r="BS155" s="110">
        <f t="shared" si="208"/>
        <v>0</v>
      </c>
      <c r="BT155" s="17">
        <f>SUMIF('20.01'!$AJ:$AJ,$B:$B,'20.01'!$D:$D)*1.2</f>
        <v>0</v>
      </c>
      <c r="BU155" s="17">
        <f>SUMIF('20.01'!$AK:$AK,$B:$B,'20.01'!$D:$D)*1.2</f>
        <v>0</v>
      </c>
      <c r="BV155" s="110">
        <f>SUMIF('20.01'!$AL:$AL,$B:$B,'20.01'!$D:$D)*1.2</f>
        <v>348714.70800000004</v>
      </c>
      <c r="BW155" s="110">
        <f>SUMIF('20.01'!$AM:$AM,$B:$B,'20.01'!$D:$D)*1.2</f>
        <v>0</v>
      </c>
      <c r="BX155" s="110">
        <f>SUMIF('20.01'!$AN:$AN,$B:$B,'20.01'!$D:$D)*1.2</f>
        <v>0</v>
      </c>
      <c r="BY155" s="110">
        <f t="shared" si="158"/>
        <v>622077.47962980205</v>
      </c>
      <c r="BZ155" s="17">
        <f t="shared" si="225"/>
        <v>424104.12522384111</v>
      </c>
      <c r="CA155" s="17">
        <f t="shared" si="159"/>
        <v>30290.078825090251</v>
      </c>
      <c r="CB155" s="17">
        <f t="shared" si="160"/>
        <v>2013.5293060813387</v>
      </c>
      <c r="CC155" s="17">
        <f>SUMIF('20.01'!$AO:$AO,$B:$B,'20.01'!$D:$D)*1.2</f>
        <v>0</v>
      </c>
      <c r="CD155" s="17">
        <f t="shared" si="161"/>
        <v>31610.365062524841</v>
      </c>
      <c r="CE155" s="17">
        <f>SUMIF('20.01'!$AQ:$AQ,$B:$B,'20.01'!$D:$D)*1.2</f>
        <v>0</v>
      </c>
      <c r="CF155" s="17">
        <f t="shared" si="162"/>
        <v>2876.0435250833129</v>
      </c>
      <c r="CG155" s="17">
        <f>SUMIF('20.01'!$AR:$AR,$B:$B,'20.01'!$D:$D)*1.2</f>
        <v>127812.768</v>
      </c>
      <c r="CH155" s="17">
        <f t="shared" si="163"/>
        <v>1693.7809470730699</v>
      </c>
      <c r="CI155" s="17">
        <f>SUMIF('20.01'!$AT:$AT,$B:$B,'20.01'!$D:$D)*1.2</f>
        <v>0</v>
      </c>
      <c r="CJ155" s="17">
        <f>SUMIF('20.01'!$AU:$AU,$B:$B,'20.01'!$D:$D)*1.2</f>
        <v>0</v>
      </c>
      <c r="CK155" s="17">
        <f>SUMIF('20.01'!$AV:$AV,$B:$B,'20.01'!$D:$D)*1.2</f>
        <v>0</v>
      </c>
      <c r="CL155" s="17">
        <f t="shared" si="164"/>
        <v>1676.7887401080948</v>
      </c>
      <c r="CM155" s="17">
        <f>SUMIF('20.01'!$AW:$AW,$B:$B,'20.01'!$D:$D)*1.2</f>
        <v>0</v>
      </c>
      <c r="CN155" s="17">
        <f>SUMIF('20.01'!$AX:$AX,$B:$B,'20.01'!$D:$D)*1.2</f>
        <v>0</v>
      </c>
      <c r="CO155" s="110">
        <f t="shared" si="209"/>
        <v>562497.93316128314</v>
      </c>
      <c r="CP155" s="17">
        <f t="shared" si="210"/>
        <v>443721.64455601573</v>
      </c>
      <c r="CQ155" s="17">
        <f t="shared" si="165"/>
        <v>136894.23279601181</v>
      </c>
      <c r="CR155" s="17">
        <f t="shared" si="166"/>
        <v>306827.41176000395</v>
      </c>
      <c r="CS155" s="17">
        <f t="shared" si="211"/>
        <v>118776.28860526737</v>
      </c>
      <c r="CT155" s="17">
        <f t="shared" si="167"/>
        <v>4327.1243875164082</v>
      </c>
      <c r="CU155" s="17">
        <f t="shared" si="168"/>
        <v>4185.3396554307392</v>
      </c>
      <c r="CV155" s="17">
        <f t="shared" si="169"/>
        <v>4325.6400088822302</v>
      </c>
      <c r="CW155" s="17">
        <f t="shared" si="170"/>
        <v>45.359098216108038</v>
      </c>
      <c r="CX155" s="17">
        <f t="shared" si="171"/>
        <v>63870.170536774414</v>
      </c>
      <c r="CY155" s="17">
        <f t="shared" si="172"/>
        <v>42022.654918447472</v>
      </c>
      <c r="CZ155" s="110">
        <f t="shared" si="212"/>
        <v>139626.71273486776</v>
      </c>
      <c r="DA155" s="17">
        <f t="shared" si="213"/>
        <v>5274.3137460590751</v>
      </c>
      <c r="DB155" s="17">
        <f t="shared" si="173"/>
        <v>5005.1302693862035</v>
      </c>
      <c r="DC155" s="17">
        <f t="shared" si="174"/>
        <v>269.18347667287145</v>
      </c>
      <c r="DD155" s="17">
        <f t="shared" si="175"/>
        <v>9293.9458291132069</v>
      </c>
      <c r="DE155" s="17">
        <f t="shared" si="176"/>
        <v>3206.6562039832866</v>
      </c>
      <c r="DF155" s="17">
        <f t="shared" si="177"/>
        <v>3891.7240395904064</v>
      </c>
      <c r="DG155" s="17">
        <f t="shared" si="214"/>
        <v>117960.07291612179</v>
      </c>
      <c r="DH155" s="110">
        <f t="shared" si="215"/>
        <v>87137.975998222799</v>
      </c>
      <c r="DI155" s="17">
        <f t="shared" si="178"/>
        <v>78166.317283475524</v>
      </c>
      <c r="DJ155" s="17">
        <f t="shared" si="179"/>
        <v>8644.73538232807</v>
      </c>
      <c r="DK155" s="17">
        <f t="shared" si="180"/>
        <v>326.92333241920232</v>
      </c>
      <c r="DL155" s="110">
        <f t="shared" si="216"/>
        <v>518038.44969119772</v>
      </c>
      <c r="DM155" s="17">
        <f t="shared" si="181"/>
        <v>274560.37833633478</v>
      </c>
      <c r="DN155" s="17">
        <f t="shared" si="182"/>
        <v>243478.07135486294</v>
      </c>
      <c r="DO155" s="17">
        <f t="shared" si="183"/>
        <v>0</v>
      </c>
      <c r="DP155" s="110">
        <f t="shared" si="217"/>
        <v>0</v>
      </c>
      <c r="DQ155" s="17">
        <f>SUMIF('20.01'!$BB:$BB,$B:$B,'20.01'!$D:$D)*1.2</f>
        <v>0</v>
      </c>
      <c r="DR155" s="17">
        <f t="shared" si="184"/>
        <v>0</v>
      </c>
      <c r="DS155" s="17">
        <f t="shared" si="185"/>
        <v>0</v>
      </c>
      <c r="DT155" s="110">
        <f t="shared" si="218"/>
        <v>11284.199999999999</v>
      </c>
      <c r="DU155" s="17">
        <f>SUMIF('20.01'!$BD:$BD,$B:$B,'20.01'!$D:$D)*1.2</f>
        <v>11284.199999999999</v>
      </c>
      <c r="DV155" s="17">
        <f t="shared" si="186"/>
        <v>0</v>
      </c>
      <c r="DW155" s="17">
        <f t="shared" si="187"/>
        <v>0</v>
      </c>
      <c r="DX155" s="110">
        <f t="shared" si="188"/>
        <v>2447233.8976976392</v>
      </c>
      <c r="DY155" s="110"/>
      <c r="DZ155" s="110">
        <f t="shared" si="219"/>
        <v>2447233.8976976392</v>
      </c>
      <c r="EA155" s="257"/>
      <c r="EB155" s="110">
        <f t="shared" si="189"/>
        <v>5319.3253012048199</v>
      </c>
      <c r="EC155" s="110">
        <f>SUMIF(еирц!$B:$B,$B:$B,еирц!$K:$K)</f>
        <v>1643765.6800000002</v>
      </c>
      <c r="ED155" s="110">
        <f>SUMIF(еирц!$B:$B,$B:$B,еирц!$P:$P)</f>
        <v>1590587.2100000002</v>
      </c>
      <c r="EE155" s="110">
        <f>SUMIF(еирц!$B:$B,$B:$B,еирц!$S:$S)</f>
        <v>447341.10000000003</v>
      </c>
      <c r="EF155" s="177">
        <f t="shared" si="220"/>
        <v>-798148.89239643421</v>
      </c>
      <c r="EG155" s="181">
        <f t="shared" si="221"/>
        <v>0</v>
      </c>
      <c r="EH155" s="177">
        <f t="shared" si="222"/>
        <v>-798148.89239643421</v>
      </c>
    </row>
    <row r="156" spans="1:138" ht="12" customHeight="1" x14ac:dyDescent="0.25">
      <c r="A156" s="5">
        <f t="shared" si="223"/>
        <v>152</v>
      </c>
      <c r="B156" s="6" t="s">
        <v>236</v>
      </c>
      <c r="C156" s="7">
        <f t="shared" si="226"/>
        <v>3117.6399999999994</v>
      </c>
      <c r="D156" s="8">
        <v>3038.8399999999992</v>
      </c>
      <c r="E156" s="8">
        <v>78.8</v>
      </c>
      <c r="F156" s="8">
        <v>325.39999999999998</v>
      </c>
      <c r="G156" s="87">
        <f t="shared" si="156"/>
        <v>3117.6399999999994</v>
      </c>
      <c r="H156" s="87">
        <f t="shared" si="157"/>
        <v>3117.6399999999994</v>
      </c>
      <c r="I156" s="91">
        <v>0</v>
      </c>
      <c r="J156" s="112">
        <v>0</v>
      </c>
      <c r="K156" s="17">
        <v>4</v>
      </c>
      <c r="L156" s="112">
        <f t="shared" si="190"/>
        <v>9.638554216867469E-3</v>
      </c>
      <c r="M156" s="116">
        <v>3.4064154167896232</v>
      </c>
      <c r="N156" s="120">
        <f t="shared" si="191"/>
        <v>3117.6399999999994</v>
      </c>
      <c r="O156" s="116">
        <v>3.0862325605265521</v>
      </c>
      <c r="P156" s="120">
        <f t="shared" si="192"/>
        <v>3117.6399999999994</v>
      </c>
      <c r="Q156" s="116">
        <v>0</v>
      </c>
      <c r="R156" s="120">
        <f t="shared" si="193"/>
        <v>0</v>
      </c>
      <c r="S156" s="5" t="s">
        <v>73</v>
      </c>
      <c r="T156" s="87">
        <v>28.44</v>
      </c>
      <c r="U156" s="88">
        <v>4.68</v>
      </c>
      <c r="V156" s="88">
        <v>6.05</v>
      </c>
      <c r="W156" s="88">
        <v>8.24</v>
      </c>
      <c r="X156" s="88">
        <v>6.34</v>
      </c>
      <c r="Y156" s="88">
        <v>2.89</v>
      </c>
      <c r="Z156" s="88">
        <v>0</v>
      </c>
      <c r="AA156" s="88">
        <v>0</v>
      </c>
      <c r="AB156" s="88">
        <v>0.24</v>
      </c>
      <c r="AC156" s="257"/>
      <c r="AD156" s="110">
        <f t="shared" si="194"/>
        <v>245465.58176644947</v>
      </c>
      <c r="AE156" s="110">
        <f t="shared" si="195"/>
        <v>244589.799093851</v>
      </c>
      <c r="AF156" s="16">
        <f>SUMIF('20.01'!$I:$I,$B:$B,'20.01'!$D:$D)*1.2</f>
        <v>179323.236</v>
      </c>
      <c r="AG156" s="17">
        <f t="shared" si="224"/>
        <v>19947.637421379837</v>
      </c>
      <c r="AH156" s="17">
        <f t="shared" si="196"/>
        <v>2380.6267763505416</v>
      </c>
      <c r="AI156" s="16">
        <f>SUMIF('20.01'!$J:$J,$B:$B,'20.01'!$D:$D)*1.2</f>
        <v>0</v>
      </c>
      <c r="AJ156" s="17">
        <f t="shared" si="197"/>
        <v>967.43320036974865</v>
      </c>
      <c r="AK156" s="17">
        <f t="shared" si="198"/>
        <v>2353.5500566592405</v>
      </c>
      <c r="AL156" s="17">
        <f t="shared" si="199"/>
        <v>39617.315639091648</v>
      </c>
      <c r="AM156" s="110">
        <f t="shared" si="200"/>
        <v>0</v>
      </c>
      <c r="AN156" s="17">
        <f>SUMIF('20.01'!$K:$K,$B:$B,'20.01'!$D:$D)*1.2</f>
        <v>0</v>
      </c>
      <c r="AO156" s="17">
        <f>SUMIF('20.01'!$L:$L,$B:$B,'20.01'!$D:$D)*1.2</f>
        <v>0</v>
      </c>
      <c r="AP156" s="17">
        <f>SUMIF('20.01'!$M:$M,$B:$B,'20.01'!$D:$D)*1.2</f>
        <v>0</v>
      </c>
      <c r="AQ156" s="110">
        <f t="shared" si="201"/>
        <v>875.78267259845336</v>
      </c>
      <c r="AR156" s="17">
        <f t="shared" si="202"/>
        <v>875.78267259845336</v>
      </c>
      <c r="AS156" s="17">
        <f>(SUMIF('20.01'!$N:$N,$B:$B,'20.01'!$D:$D)+SUMIF('20.01'!$O:$O,$B:$B,'20.01'!$D:$D))*1.2</f>
        <v>0</v>
      </c>
      <c r="AT156" s="110">
        <f>SUMIF('20.01'!$P:$P,$B:$B,'20.01'!$D:$D)*1.2</f>
        <v>0</v>
      </c>
      <c r="AU156" s="110">
        <f t="shared" si="203"/>
        <v>0</v>
      </c>
      <c r="AV156" s="17">
        <f>SUMIF('20.01'!$Q:$Q,$B:$B,'20.01'!$D:$D)*1.2</f>
        <v>0</v>
      </c>
      <c r="AW156" s="17">
        <f>SUMIF('20.01'!$R:$R,$B:$B,'20.01'!$D:$D)*1.2</f>
        <v>0</v>
      </c>
      <c r="AX156" s="110">
        <f t="shared" si="204"/>
        <v>0</v>
      </c>
      <c r="AY156" s="17">
        <f>SUMIF('20.01'!$S:$S,$B:$B,'20.01'!$D:$D)*1.2</f>
        <v>0</v>
      </c>
      <c r="AZ156" s="17">
        <f>SUMIF('20.01'!$T:$T,$B:$B,'20.01'!$D:$D)*1.2</f>
        <v>0</v>
      </c>
      <c r="BA156" s="110">
        <f t="shared" si="205"/>
        <v>0</v>
      </c>
      <c r="BB156" s="17">
        <f>SUMIF('20.01'!$U:$U,$B:$B,'20.01'!$D:$D)*1.2</f>
        <v>0</v>
      </c>
      <c r="BC156" s="17">
        <f>SUMIF('20.01'!$V:$V,$B:$B,'20.01'!$D:$D)*1.2</f>
        <v>0</v>
      </c>
      <c r="BD156" s="17">
        <f>SUMIF('20.01'!$W:$W,$B:$B,'20.01'!$D:$D)*1.2</f>
        <v>0</v>
      </c>
      <c r="BE156" s="110">
        <f>SUMIF('20.01'!$X:$X,$B:$B,'20.01'!$D:$D)*1.2</f>
        <v>0</v>
      </c>
      <c r="BF156" s="110">
        <f t="shared" si="206"/>
        <v>0</v>
      </c>
      <c r="BG156" s="17">
        <f>SUMIF('20.01'!$Y:$Y,$B:$B,'20.01'!$D:$D)*1.2</f>
        <v>0</v>
      </c>
      <c r="BH156" s="17">
        <f>SUMIF('20.01'!$Z:$Z,$B:$B,'20.01'!$D:$D)*1.2</f>
        <v>0</v>
      </c>
      <c r="BI156" s="17">
        <f>SUMIF('20.01'!$AA:$AA,$B:$B,'20.01'!$D:$D)*1.2</f>
        <v>0</v>
      </c>
      <c r="BJ156" s="17">
        <f>SUMIF('20.01'!$AB:$AB,$B:$B,'20.01'!$D:$D)*1.2</f>
        <v>0</v>
      </c>
      <c r="BK156" s="17">
        <f>SUMIF('20.01'!$AC:$AC,$B:$B,'20.01'!$D:$D)*1.2</f>
        <v>0</v>
      </c>
      <c r="BL156" s="17">
        <f>SUMIF('20.01'!$AD:$AD,$B:$B,'20.01'!$D:$D)*1.2</f>
        <v>0</v>
      </c>
      <c r="BM156" s="110">
        <f t="shared" si="207"/>
        <v>0</v>
      </c>
      <c r="BN156" s="17">
        <f>SUMIF('20.01'!$AE:$AE,$B:$B,'20.01'!$D:$D)*1.2</f>
        <v>0</v>
      </c>
      <c r="BO156" s="17">
        <f>SUMIF('20.01'!$AF:$AF,$B:$B,'20.01'!$D:$D)*1.2</f>
        <v>0</v>
      </c>
      <c r="BP156" s="110">
        <f>SUMIF('20.01'!$AG:$AG,$B:$B,'20.01'!$D:$D)*1.2</f>
        <v>0</v>
      </c>
      <c r="BQ156" s="110">
        <f>SUMIF('20.01'!$AH:$AH,$B:$B,'20.01'!$D:$D)*1.2</f>
        <v>0</v>
      </c>
      <c r="BR156" s="110">
        <f>SUMIF('20.01'!$AI:$AI,$B:$B,'20.01'!$D:$D)*1.2</f>
        <v>0</v>
      </c>
      <c r="BS156" s="110">
        <f t="shared" si="208"/>
        <v>0</v>
      </c>
      <c r="BT156" s="17">
        <f>SUMIF('20.01'!$AJ:$AJ,$B:$B,'20.01'!$D:$D)*1.2</f>
        <v>0</v>
      </c>
      <c r="BU156" s="17">
        <f>SUMIF('20.01'!$AK:$AK,$B:$B,'20.01'!$D:$D)*1.2</f>
        <v>0</v>
      </c>
      <c r="BV156" s="110">
        <f>SUMIF('20.01'!$AL:$AL,$B:$B,'20.01'!$D:$D)*1.2</f>
        <v>0</v>
      </c>
      <c r="BW156" s="110">
        <f>SUMIF('20.01'!$AM:$AM,$B:$B,'20.01'!$D:$D)*1.2</f>
        <v>0</v>
      </c>
      <c r="BX156" s="110">
        <f>SUMIF('20.01'!$AN:$AN,$B:$B,'20.01'!$D:$D)*1.2</f>
        <v>0</v>
      </c>
      <c r="BY156" s="110">
        <f t="shared" si="158"/>
        <v>428817.95420790301</v>
      </c>
      <c r="BZ156" s="17">
        <f t="shared" si="225"/>
        <v>270738.16675120417</v>
      </c>
      <c r="CA156" s="17">
        <f t="shared" si="159"/>
        <v>19336.478765742031</v>
      </c>
      <c r="CB156" s="17">
        <f t="shared" si="160"/>
        <v>1285.3900742902767</v>
      </c>
      <c r="CC156" s="17">
        <f>SUMIF('20.01'!$AO:$AO,$B:$B,'20.01'!$D:$D)*1.2</f>
        <v>0</v>
      </c>
      <c r="CD156" s="17">
        <f t="shared" si="161"/>
        <v>20179.318658707525</v>
      </c>
      <c r="CE156" s="17">
        <f>SUMIF('20.01'!$AQ:$AQ,$B:$B,'20.01'!$D:$D)*1.2</f>
        <v>0</v>
      </c>
      <c r="CF156" s="17">
        <f t="shared" si="162"/>
        <v>1835.9990039397871</v>
      </c>
      <c r="CG156" s="17">
        <f>SUMIF('20.01'!$AR:$AR,$B:$B,'20.01'!$D:$D)*1.2</f>
        <v>101290.908</v>
      </c>
      <c r="CH156" s="17">
        <f t="shared" si="163"/>
        <v>1081.270191009457</v>
      </c>
      <c r="CI156" s="17">
        <f>SUMIF('20.01'!$AT:$AT,$B:$B,'20.01'!$D:$D)*1.2</f>
        <v>12000</v>
      </c>
      <c r="CJ156" s="17">
        <f>SUMIF('20.01'!$AU:$AU,$B:$B,'20.01'!$D:$D)*1.2</f>
        <v>0</v>
      </c>
      <c r="CK156" s="17">
        <f>SUMIF('20.01'!$AV:$AV,$B:$B,'20.01'!$D:$D)*1.2</f>
        <v>0</v>
      </c>
      <c r="CL156" s="17">
        <f t="shared" si="164"/>
        <v>1070.4227630097262</v>
      </c>
      <c r="CM156" s="17">
        <f>SUMIF('20.01'!$AW:$AW,$B:$B,'20.01'!$D:$D)*1.2</f>
        <v>0</v>
      </c>
      <c r="CN156" s="17">
        <f>SUMIF('20.01'!$AX:$AX,$B:$B,'20.01'!$D:$D)*1.2</f>
        <v>0</v>
      </c>
      <c r="CO156" s="110">
        <f t="shared" si="209"/>
        <v>359085.5409507018</v>
      </c>
      <c r="CP156" s="17">
        <f t="shared" si="210"/>
        <v>283261.53284059558</v>
      </c>
      <c r="CQ156" s="17">
        <f t="shared" si="165"/>
        <v>87390.080458291501</v>
      </c>
      <c r="CR156" s="17">
        <f t="shared" si="166"/>
        <v>195871.45238230409</v>
      </c>
      <c r="CS156" s="17">
        <f t="shared" si="211"/>
        <v>75824.008110106224</v>
      </c>
      <c r="CT156" s="17">
        <f t="shared" si="167"/>
        <v>2762.3351302284441</v>
      </c>
      <c r="CU156" s="17">
        <f t="shared" si="168"/>
        <v>2671.8230692624625</v>
      </c>
      <c r="CV156" s="17">
        <f t="shared" si="169"/>
        <v>2761.3875375824878</v>
      </c>
      <c r="CW156" s="17">
        <f t="shared" si="170"/>
        <v>28.956188742647388</v>
      </c>
      <c r="CX156" s="17">
        <f t="shared" si="171"/>
        <v>40773.22490576189</v>
      </c>
      <c r="CY156" s="17">
        <f t="shared" si="172"/>
        <v>26826.28127852828</v>
      </c>
      <c r="CZ156" s="110">
        <f t="shared" si="212"/>
        <v>89134.431822334111</v>
      </c>
      <c r="DA156" s="17">
        <f t="shared" si="213"/>
        <v>3366.9986910055104</v>
      </c>
      <c r="DB156" s="17">
        <f t="shared" si="173"/>
        <v>3195.1582474454208</v>
      </c>
      <c r="DC156" s="17">
        <f t="shared" si="174"/>
        <v>171.84044356008985</v>
      </c>
      <c r="DD156" s="17">
        <f t="shared" si="175"/>
        <v>5933.0379168819736</v>
      </c>
      <c r="DE156" s="17">
        <f t="shared" si="176"/>
        <v>2047.0544152561486</v>
      </c>
      <c r="DF156" s="17">
        <f t="shared" si="177"/>
        <v>2484.385718776467</v>
      </c>
      <c r="DG156" s="17">
        <f t="shared" si="214"/>
        <v>75302.955080414016</v>
      </c>
      <c r="DH156" s="110">
        <f t="shared" si="215"/>
        <v>55626.84839181343</v>
      </c>
      <c r="DI156" s="17">
        <f t="shared" si="178"/>
        <v>49899.551040328966</v>
      </c>
      <c r="DJ156" s="17">
        <f t="shared" si="179"/>
        <v>5518.5971327807356</v>
      </c>
      <c r="DK156" s="17">
        <f t="shared" si="180"/>
        <v>208.70021870372909</v>
      </c>
      <c r="DL156" s="110">
        <f t="shared" si="216"/>
        <v>330703.64524751017</v>
      </c>
      <c r="DM156" s="17">
        <f t="shared" si="181"/>
        <v>175272.93198118039</v>
      </c>
      <c r="DN156" s="17">
        <f t="shared" si="182"/>
        <v>155430.71326632978</v>
      </c>
      <c r="DO156" s="17">
        <f t="shared" si="183"/>
        <v>0</v>
      </c>
      <c r="DP156" s="110">
        <f t="shared" si="217"/>
        <v>0</v>
      </c>
      <c r="DQ156" s="17">
        <f>SUMIF('20.01'!$BB:$BB,$B:$B,'20.01'!$D:$D)*1.2</f>
        <v>0</v>
      </c>
      <c r="DR156" s="17">
        <f t="shared" si="184"/>
        <v>0</v>
      </c>
      <c r="DS156" s="17">
        <f t="shared" si="185"/>
        <v>0</v>
      </c>
      <c r="DT156" s="110">
        <f t="shared" si="218"/>
        <v>6258.4679999999998</v>
      </c>
      <c r="DU156" s="17">
        <f>SUMIF('20.01'!$BD:$BD,$B:$B,'20.01'!$D:$D)*1.2</f>
        <v>6258.4679999999998</v>
      </c>
      <c r="DV156" s="17">
        <f t="shared" si="186"/>
        <v>0</v>
      </c>
      <c r="DW156" s="17">
        <f t="shared" si="187"/>
        <v>0</v>
      </c>
      <c r="DX156" s="110">
        <f t="shared" si="188"/>
        <v>1515092.4703867121</v>
      </c>
      <c r="DY156" s="110"/>
      <c r="DZ156" s="110">
        <f t="shared" si="219"/>
        <v>1515092.4703867121</v>
      </c>
      <c r="EA156" s="257"/>
      <c r="EB156" s="110">
        <f t="shared" si="189"/>
        <v>3546.2168674698792</v>
      </c>
      <c r="EC156" s="110">
        <f>SUMIF(еирц!$B:$B,$B:$B,еирц!$K:$K)</f>
        <v>1015526.1799999999</v>
      </c>
      <c r="ED156" s="110">
        <f>SUMIF(еирц!$B:$B,$B:$B,еирц!$P:$P)</f>
        <v>1022663.99</v>
      </c>
      <c r="EE156" s="110">
        <f>SUMIF(еирц!$B:$B,$B:$B,еирц!$S:$S)</f>
        <v>148989.19</v>
      </c>
      <c r="EF156" s="177">
        <f t="shared" si="220"/>
        <v>-496020.07351924235</v>
      </c>
      <c r="EG156" s="181">
        <f t="shared" si="221"/>
        <v>0</v>
      </c>
      <c r="EH156" s="177">
        <f t="shared" si="222"/>
        <v>-496020.07351924235</v>
      </c>
    </row>
    <row r="157" spans="1:138" ht="12" customHeight="1" x14ac:dyDescent="0.25">
      <c r="A157" s="5">
        <f t="shared" si="223"/>
        <v>153</v>
      </c>
      <c r="B157" s="6" t="s">
        <v>237</v>
      </c>
      <c r="C157" s="7">
        <f t="shared" si="226"/>
        <v>2702.7899999999995</v>
      </c>
      <c r="D157" s="8">
        <v>2702.7899999999995</v>
      </c>
      <c r="E157" s="8">
        <v>0</v>
      </c>
      <c r="F157" s="8">
        <v>379.4</v>
      </c>
      <c r="G157" s="87">
        <f t="shared" si="156"/>
        <v>2702.7899999999995</v>
      </c>
      <c r="H157" s="87">
        <f t="shared" si="157"/>
        <v>2702.7899999999995</v>
      </c>
      <c r="I157" s="91">
        <v>0</v>
      </c>
      <c r="J157" s="112">
        <v>0</v>
      </c>
      <c r="K157" s="17">
        <v>4</v>
      </c>
      <c r="L157" s="112">
        <f t="shared" si="190"/>
        <v>9.638554216867469E-3</v>
      </c>
      <c r="M157" s="116">
        <v>3.4064172445805552</v>
      </c>
      <c r="N157" s="120">
        <f t="shared" si="191"/>
        <v>2702.7899999999995</v>
      </c>
      <c r="O157" s="116">
        <v>3.0862301817146194</v>
      </c>
      <c r="P157" s="120">
        <f t="shared" si="192"/>
        <v>2702.7899999999995</v>
      </c>
      <c r="Q157" s="116">
        <v>1.6009272068913227</v>
      </c>
      <c r="R157" s="120">
        <f t="shared" si="193"/>
        <v>2702.7899999999995</v>
      </c>
      <c r="S157" s="5" t="s">
        <v>73</v>
      </c>
      <c r="T157" s="87">
        <v>32.21</v>
      </c>
      <c r="U157" s="88">
        <v>4.68</v>
      </c>
      <c r="V157" s="88">
        <v>6.05</v>
      </c>
      <c r="W157" s="88">
        <v>10.35</v>
      </c>
      <c r="X157" s="88">
        <v>6.34</v>
      </c>
      <c r="Y157" s="88">
        <v>2.89</v>
      </c>
      <c r="Z157" s="88">
        <v>1.66</v>
      </c>
      <c r="AA157" s="88">
        <v>0</v>
      </c>
      <c r="AB157" s="88">
        <v>0.24</v>
      </c>
      <c r="AC157" s="257"/>
      <c r="AD157" s="110">
        <f t="shared" si="194"/>
        <v>163820.36435981767</v>
      </c>
      <c r="AE157" s="110">
        <f t="shared" si="195"/>
        <v>94720.938055025472</v>
      </c>
      <c r="AF157" s="16">
        <f>SUMIF('20.01'!$I:$I,$B:$B,'20.01'!$D:$D)*1.2</f>
        <v>38139.095999999998</v>
      </c>
      <c r="AG157" s="17">
        <f t="shared" si="224"/>
        <v>17293.297156224329</v>
      </c>
      <c r="AH157" s="17">
        <f t="shared" si="196"/>
        <v>2063.8477325324543</v>
      </c>
      <c r="AI157" s="16">
        <f>SUMIF('20.01'!$J:$J,$B:$B,'20.01'!$D:$D)*1.2</f>
        <v>0</v>
      </c>
      <c r="AJ157" s="17">
        <f t="shared" si="197"/>
        <v>838.70131882685405</v>
      </c>
      <c r="AK157" s="17">
        <f t="shared" si="198"/>
        <v>2040.3739872589615</v>
      </c>
      <c r="AL157" s="17">
        <f t="shared" si="199"/>
        <v>34345.621860182866</v>
      </c>
      <c r="AM157" s="110">
        <f t="shared" si="200"/>
        <v>0</v>
      </c>
      <c r="AN157" s="17">
        <f>SUMIF('20.01'!$K:$K,$B:$B,'20.01'!$D:$D)*1.2</f>
        <v>0</v>
      </c>
      <c r="AO157" s="17">
        <f>SUMIF('20.01'!$L:$L,$B:$B,'20.01'!$D:$D)*1.2</f>
        <v>0</v>
      </c>
      <c r="AP157" s="17">
        <f>SUMIF('20.01'!$M:$M,$B:$B,'20.01'!$D:$D)*1.2</f>
        <v>0</v>
      </c>
      <c r="AQ157" s="110">
        <f t="shared" si="201"/>
        <v>759.24630479220627</v>
      </c>
      <c r="AR157" s="17">
        <f t="shared" si="202"/>
        <v>759.24630479220627</v>
      </c>
      <c r="AS157" s="17">
        <f>(SUMIF('20.01'!$N:$N,$B:$B,'20.01'!$D:$D)+SUMIF('20.01'!$O:$O,$B:$B,'20.01'!$D:$D))*1.2</f>
        <v>0</v>
      </c>
      <c r="AT157" s="110">
        <f>SUMIF('20.01'!$P:$P,$B:$B,'20.01'!$D:$D)*1.2</f>
        <v>0</v>
      </c>
      <c r="AU157" s="110">
        <f t="shared" si="203"/>
        <v>0</v>
      </c>
      <c r="AV157" s="17">
        <f>SUMIF('20.01'!$Q:$Q,$B:$B,'20.01'!$D:$D)*1.2</f>
        <v>0</v>
      </c>
      <c r="AW157" s="17">
        <f>SUMIF('20.01'!$R:$R,$B:$B,'20.01'!$D:$D)*1.2</f>
        <v>0</v>
      </c>
      <c r="AX157" s="110">
        <f t="shared" si="204"/>
        <v>68340.179999999993</v>
      </c>
      <c r="AY157" s="17">
        <f>SUMIF('20.01'!$S:$S,$B:$B,'20.01'!$D:$D)*1.2</f>
        <v>68340.179999999993</v>
      </c>
      <c r="AZ157" s="17">
        <f>SUMIF('20.01'!$T:$T,$B:$B,'20.01'!$D:$D)*1.2</f>
        <v>0</v>
      </c>
      <c r="BA157" s="110">
        <f t="shared" si="205"/>
        <v>0</v>
      </c>
      <c r="BB157" s="17">
        <f>SUMIF('20.01'!$U:$U,$B:$B,'20.01'!$D:$D)*1.2</f>
        <v>0</v>
      </c>
      <c r="BC157" s="17">
        <f>SUMIF('20.01'!$V:$V,$B:$B,'20.01'!$D:$D)*1.2</f>
        <v>0</v>
      </c>
      <c r="BD157" s="17">
        <f>SUMIF('20.01'!$W:$W,$B:$B,'20.01'!$D:$D)*1.2</f>
        <v>0</v>
      </c>
      <c r="BE157" s="110">
        <f>SUMIF('20.01'!$X:$X,$B:$B,'20.01'!$D:$D)*1.2</f>
        <v>0</v>
      </c>
      <c r="BF157" s="110">
        <f t="shared" si="206"/>
        <v>0</v>
      </c>
      <c r="BG157" s="17">
        <f>SUMIF('20.01'!$Y:$Y,$B:$B,'20.01'!$D:$D)*1.2</f>
        <v>0</v>
      </c>
      <c r="BH157" s="17">
        <f>SUMIF('20.01'!$Z:$Z,$B:$B,'20.01'!$D:$D)*1.2</f>
        <v>0</v>
      </c>
      <c r="BI157" s="17">
        <f>SUMIF('20.01'!$AA:$AA,$B:$B,'20.01'!$D:$D)*1.2</f>
        <v>0</v>
      </c>
      <c r="BJ157" s="17">
        <f>SUMIF('20.01'!$AB:$AB,$B:$B,'20.01'!$D:$D)*1.2</f>
        <v>0</v>
      </c>
      <c r="BK157" s="17">
        <f>SUMIF('20.01'!$AC:$AC,$B:$B,'20.01'!$D:$D)*1.2</f>
        <v>0</v>
      </c>
      <c r="BL157" s="17">
        <f>SUMIF('20.01'!$AD:$AD,$B:$B,'20.01'!$D:$D)*1.2</f>
        <v>0</v>
      </c>
      <c r="BM157" s="110">
        <f t="shared" si="207"/>
        <v>0</v>
      </c>
      <c r="BN157" s="17">
        <f>SUMIF('20.01'!$AE:$AE,$B:$B,'20.01'!$D:$D)*1.2</f>
        <v>0</v>
      </c>
      <c r="BO157" s="17">
        <f>SUMIF('20.01'!$AF:$AF,$B:$B,'20.01'!$D:$D)*1.2</f>
        <v>0</v>
      </c>
      <c r="BP157" s="110">
        <f>SUMIF('20.01'!$AG:$AG,$B:$B,'20.01'!$D:$D)*1.2</f>
        <v>0</v>
      </c>
      <c r="BQ157" s="110">
        <f>SUMIF('20.01'!$AH:$AH,$B:$B,'20.01'!$D:$D)*1.2</f>
        <v>0</v>
      </c>
      <c r="BR157" s="110">
        <f>SUMIF('20.01'!$AI:$AI,$B:$B,'20.01'!$D:$D)*1.2</f>
        <v>0</v>
      </c>
      <c r="BS157" s="110">
        <f t="shared" si="208"/>
        <v>0</v>
      </c>
      <c r="BT157" s="17">
        <f>SUMIF('20.01'!$AJ:$AJ,$B:$B,'20.01'!$D:$D)*1.2</f>
        <v>0</v>
      </c>
      <c r="BU157" s="17">
        <f>SUMIF('20.01'!$AK:$AK,$B:$B,'20.01'!$D:$D)*1.2</f>
        <v>0</v>
      </c>
      <c r="BV157" s="110">
        <f>SUMIF('20.01'!$AL:$AL,$B:$B,'20.01'!$D:$D)*1.2</f>
        <v>0</v>
      </c>
      <c r="BW157" s="110">
        <f>SUMIF('20.01'!$AM:$AM,$B:$B,'20.01'!$D:$D)*1.2</f>
        <v>0</v>
      </c>
      <c r="BX157" s="110">
        <f>SUMIF('20.01'!$AN:$AN,$B:$B,'20.01'!$D:$D)*1.2</f>
        <v>0</v>
      </c>
      <c r="BY157" s="110">
        <f t="shared" si="158"/>
        <v>305624.99497551291</v>
      </c>
      <c r="BZ157" s="17">
        <f t="shared" si="225"/>
        <v>234712.28548308564</v>
      </c>
      <c r="CA157" s="17">
        <f t="shared" si="159"/>
        <v>16763.46256888541</v>
      </c>
      <c r="CB157" s="17">
        <f t="shared" si="160"/>
        <v>1114.3491355291235</v>
      </c>
      <c r="CC157" s="17">
        <f>SUMIF('20.01'!$AO:$AO,$B:$B,'20.01'!$D:$D)*1.2</f>
        <v>0</v>
      </c>
      <c r="CD157" s="17">
        <f t="shared" si="161"/>
        <v>17494.14963804933</v>
      </c>
      <c r="CE157" s="17">
        <f>SUMIF('20.01'!$AQ:$AQ,$B:$B,'20.01'!$D:$D)*1.2</f>
        <v>0</v>
      </c>
      <c r="CF157" s="17">
        <f t="shared" si="162"/>
        <v>1591.6910701230474</v>
      </c>
      <c r="CG157" s="17">
        <f>SUMIF('20.01'!$AR:$AR,$B:$B,'20.01'!$D:$D)*1.2</f>
        <v>32083.68</v>
      </c>
      <c r="CH157" s="17">
        <f t="shared" si="163"/>
        <v>937.39054527092617</v>
      </c>
      <c r="CI157" s="17">
        <f>SUMIF('20.01'!$AT:$AT,$B:$B,'20.01'!$D:$D)*1.2</f>
        <v>0</v>
      </c>
      <c r="CJ157" s="17">
        <f>SUMIF('20.01'!$AU:$AU,$B:$B,'20.01'!$D:$D)*1.2</f>
        <v>0</v>
      </c>
      <c r="CK157" s="17">
        <f>SUMIF('20.01'!$AV:$AV,$B:$B,'20.01'!$D:$D)*1.2</f>
        <v>0</v>
      </c>
      <c r="CL157" s="17">
        <f t="shared" si="164"/>
        <v>927.98653456943646</v>
      </c>
      <c r="CM157" s="17">
        <f>SUMIF('20.01'!$AW:$AW,$B:$B,'20.01'!$D:$D)*1.2</f>
        <v>0</v>
      </c>
      <c r="CN157" s="17">
        <f>SUMIF('20.01'!$AX:$AX,$B:$B,'20.01'!$D:$D)*1.2</f>
        <v>0</v>
      </c>
      <c r="CO157" s="110">
        <f t="shared" si="209"/>
        <v>311303.68138275982</v>
      </c>
      <c r="CP157" s="17">
        <f t="shared" si="210"/>
        <v>245569.22490930106</v>
      </c>
      <c r="CQ157" s="17">
        <f t="shared" si="165"/>
        <v>75761.48482886597</v>
      </c>
      <c r="CR157" s="17">
        <f t="shared" si="166"/>
        <v>169807.74008043509</v>
      </c>
      <c r="CS157" s="17">
        <f t="shared" si="211"/>
        <v>65734.456473458762</v>
      </c>
      <c r="CT157" s="17">
        <f t="shared" si="167"/>
        <v>2394.7639132902245</v>
      </c>
      <c r="CU157" s="17">
        <f t="shared" si="168"/>
        <v>2316.2958755250415</v>
      </c>
      <c r="CV157" s="17">
        <f t="shared" si="169"/>
        <v>2393.9424124345892</v>
      </c>
      <c r="CW157" s="17">
        <f t="shared" si="170"/>
        <v>25.103122031966464</v>
      </c>
      <c r="CX157" s="17">
        <f t="shared" si="171"/>
        <v>35347.719602983081</v>
      </c>
      <c r="CY157" s="17">
        <f t="shared" si="172"/>
        <v>23256.631547193854</v>
      </c>
      <c r="CZ157" s="110">
        <f t="shared" si="212"/>
        <v>77273.723388552375</v>
      </c>
      <c r="DA157" s="17">
        <f t="shared" si="213"/>
        <v>2918.9676781356357</v>
      </c>
      <c r="DB157" s="17">
        <f t="shared" si="173"/>
        <v>2769.9932511813449</v>
      </c>
      <c r="DC157" s="17">
        <f t="shared" si="174"/>
        <v>148.97442695429081</v>
      </c>
      <c r="DD157" s="17">
        <f t="shared" si="175"/>
        <v>5143.5558792450156</v>
      </c>
      <c r="DE157" s="17">
        <f t="shared" si="176"/>
        <v>1774.6623096349051</v>
      </c>
      <c r="DF157" s="17">
        <f t="shared" si="177"/>
        <v>2153.7999502353855</v>
      </c>
      <c r="DG157" s="17">
        <f t="shared" si="214"/>
        <v>65282.737571301426</v>
      </c>
      <c r="DH157" s="110">
        <f t="shared" si="215"/>
        <v>48224.839803476156</v>
      </c>
      <c r="DI157" s="17">
        <f t="shared" si="178"/>
        <v>43259.647539899001</v>
      </c>
      <c r="DJ157" s="17">
        <f t="shared" si="179"/>
        <v>4784.2628220411734</v>
      </c>
      <c r="DK157" s="17">
        <f t="shared" si="180"/>
        <v>180.92944153598617</v>
      </c>
      <c r="DL157" s="110">
        <f t="shared" si="216"/>
        <v>364924.11879749724</v>
      </c>
      <c r="DM157" s="17">
        <f t="shared" si="181"/>
        <v>151950.16994566869</v>
      </c>
      <c r="DN157" s="17">
        <f t="shared" si="182"/>
        <v>134748.26391408357</v>
      </c>
      <c r="DO157" s="17">
        <f t="shared" si="183"/>
        <v>78225.684937745013</v>
      </c>
      <c r="DP157" s="110">
        <f t="shared" si="217"/>
        <v>0</v>
      </c>
      <c r="DQ157" s="17">
        <f>SUMIF('20.01'!$BB:$BB,$B:$B,'20.01'!$D:$D)*1.2</f>
        <v>0</v>
      </c>
      <c r="DR157" s="17">
        <f t="shared" si="184"/>
        <v>0</v>
      </c>
      <c r="DS157" s="17">
        <f t="shared" si="185"/>
        <v>0</v>
      </c>
      <c r="DT157" s="110">
        <f t="shared" si="218"/>
        <v>5689.5240000000003</v>
      </c>
      <c r="DU157" s="17">
        <f>SUMIF('20.01'!$BD:$BD,$B:$B,'20.01'!$D:$D)*1.2</f>
        <v>5689.5240000000003</v>
      </c>
      <c r="DV157" s="17">
        <f t="shared" si="186"/>
        <v>0</v>
      </c>
      <c r="DW157" s="17">
        <f t="shared" si="187"/>
        <v>0</v>
      </c>
      <c r="DX157" s="110">
        <f t="shared" si="188"/>
        <v>1276861.2467076161</v>
      </c>
      <c r="DY157" s="110"/>
      <c r="DZ157" s="110">
        <f t="shared" si="219"/>
        <v>1276861.2467076161</v>
      </c>
      <c r="EA157" s="257"/>
      <c r="EB157" s="110">
        <f t="shared" si="189"/>
        <v>3546.2168674698792</v>
      </c>
      <c r="EC157" s="110">
        <f>SUMIF(еирц!$B:$B,$B:$B,еирц!$K:$K)</f>
        <v>1024574.22</v>
      </c>
      <c r="ED157" s="110">
        <f>SUMIF(еирц!$B:$B,$B:$B,еирц!$P:$P)</f>
        <v>998900.42999999993</v>
      </c>
      <c r="EE157" s="110">
        <f>SUMIF(еирц!$B:$B,$B:$B,еирц!$S:$S)</f>
        <v>138463.53999999998</v>
      </c>
      <c r="EF157" s="177">
        <f t="shared" si="220"/>
        <v>-248740.80984014634</v>
      </c>
      <c r="EG157" s="181">
        <f t="shared" si="221"/>
        <v>0</v>
      </c>
      <c r="EH157" s="177">
        <f t="shared" si="222"/>
        <v>-248740.80984014634</v>
      </c>
    </row>
    <row r="158" spans="1:138" ht="12" customHeight="1" x14ac:dyDescent="0.25">
      <c r="A158" s="5">
        <f t="shared" si="223"/>
        <v>154</v>
      </c>
      <c r="B158" s="6" t="s">
        <v>238</v>
      </c>
      <c r="C158" s="7">
        <f t="shared" si="226"/>
        <v>2709.6</v>
      </c>
      <c r="D158" s="8">
        <v>2709.6</v>
      </c>
      <c r="E158" s="8">
        <v>0</v>
      </c>
      <c r="F158" s="8">
        <v>294.8</v>
      </c>
      <c r="G158" s="87">
        <f t="shared" si="156"/>
        <v>2709.6</v>
      </c>
      <c r="H158" s="87">
        <f t="shared" si="157"/>
        <v>2709.6</v>
      </c>
      <c r="I158" s="91">
        <v>0</v>
      </c>
      <c r="J158" s="112">
        <v>0</v>
      </c>
      <c r="K158" s="17">
        <v>4</v>
      </c>
      <c r="L158" s="112">
        <f t="shared" si="190"/>
        <v>9.638554216867469E-3</v>
      </c>
      <c r="M158" s="116">
        <v>3.4064178328904635</v>
      </c>
      <c r="N158" s="120">
        <f t="shared" si="191"/>
        <v>2709.6</v>
      </c>
      <c r="O158" s="116">
        <v>3.0862293770298201</v>
      </c>
      <c r="P158" s="120">
        <f t="shared" si="192"/>
        <v>2709.6</v>
      </c>
      <c r="Q158" s="116">
        <v>1.6009260997933277</v>
      </c>
      <c r="R158" s="120">
        <f t="shared" si="193"/>
        <v>2709.6</v>
      </c>
      <c r="S158" s="5" t="s">
        <v>73</v>
      </c>
      <c r="T158" s="87">
        <v>32.21</v>
      </c>
      <c r="U158" s="88">
        <v>4.68</v>
      </c>
      <c r="V158" s="88">
        <v>6.05</v>
      </c>
      <c r="W158" s="88">
        <v>10.35</v>
      </c>
      <c r="X158" s="88">
        <v>6.34</v>
      </c>
      <c r="Y158" s="88">
        <v>2.89</v>
      </c>
      <c r="Z158" s="88">
        <v>1.66</v>
      </c>
      <c r="AA158" s="88">
        <v>0</v>
      </c>
      <c r="AB158" s="88">
        <v>0.24</v>
      </c>
      <c r="AC158" s="257"/>
      <c r="AD158" s="110">
        <f t="shared" si="194"/>
        <v>269280.05803352903</v>
      </c>
      <c r="AE158" s="110">
        <f t="shared" si="195"/>
        <v>229230.8987176129</v>
      </c>
      <c r="AF158" s="16">
        <f>SUMIF('20.01'!$I:$I,$B:$B,'20.01'!$D:$D)*1.2</f>
        <v>172506.492</v>
      </c>
      <c r="AG158" s="17">
        <f t="shared" si="224"/>
        <v>17336.869669676686</v>
      </c>
      <c r="AH158" s="17">
        <f t="shared" si="196"/>
        <v>2069.0478417005902</v>
      </c>
      <c r="AI158" s="16">
        <f>SUMIF('20.01'!$J:$J,$B:$B,'20.01'!$D:$D)*1.2</f>
        <v>0</v>
      </c>
      <c r="AJ158" s="17">
        <f t="shared" si="197"/>
        <v>840.81452628330135</v>
      </c>
      <c r="AK158" s="17">
        <f t="shared" si="198"/>
        <v>2045.5149515415119</v>
      </c>
      <c r="AL158" s="17">
        <f t="shared" si="199"/>
        <v>34432.159728410828</v>
      </c>
      <c r="AM158" s="110">
        <f t="shared" si="200"/>
        <v>0</v>
      </c>
      <c r="AN158" s="17">
        <f>SUMIF('20.01'!$K:$K,$B:$B,'20.01'!$D:$D)*1.2</f>
        <v>0</v>
      </c>
      <c r="AO158" s="17">
        <f>SUMIF('20.01'!$L:$L,$B:$B,'20.01'!$D:$D)*1.2</f>
        <v>0</v>
      </c>
      <c r="AP158" s="17">
        <f>SUMIF('20.01'!$M:$M,$B:$B,'20.01'!$D:$D)*1.2</f>
        <v>0</v>
      </c>
      <c r="AQ158" s="110">
        <f t="shared" si="201"/>
        <v>761.15931591613196</v>
      </c>
      <c r="AR158" s="17">
        <f t="shared" si="202"/>
        <v>761.15931591613196</v>
      </c>
      <c r="AS158" s="17">
        <f>(SUMIF('20.01'!$N:$N,$B:$B,'20.01'!$D:$D)+SUMIF('20.01'!$O:$O,$B:$B,'20.01'!$D:$D))*1.2</f>
        <v>0</v>
      </c>
      <c r="AT158" s="110">
        <f>SUMIF('20.01'!$P:$P,$B:$B,'20.01'!$D:$D)*1.2</f>
        <v>0</v>
      </c>
      <c r="AU158" s="110">
        <f t="shared" si="203"/>
        <v>0</v>
      </c>
      <c r="AV158" s="17">
        <f>SUMIF('20.01'!$Q:$Q,$B:$B,'20.01'!$D:$D)*1.2</f>
        <v>0</v>
      </c>
      <c r="AW158" s="17">
        <f>SUMIF('20.01'!$R:$R,$B:$B,'20.01'!$D:$D)*1.2</f>
        <v>0</v>
      </c>
      <c r="AX158" s="110">
        <f t="shared" si="204"/>
        <v>39288</v>
      </c>
      <c r="AY158" s="17">
        <f>SUMIF('20.01'!$S:$S,$B:$B,'20.01'!$D:$D)*1.2</f>
        <v>39288</v>
      </c>
      <c r="AZ158" s="17">
        <f>SUMIF('20.01'!$T:$T,$B:$B,'20.01'!$D:$D)*1.2</f>
        <v>0</v>
      </c>
      <c r="BA158" s="110">
        <f t="shared" si="205"/>
        <v>0</v>
      </c>
      <c r="BB158" s="17">
        <f>SUMIF('20.01'!$U:$U,$B:$B,'20.01'!$D:$D)*1.2</f>
        <v>0</v>
      </c>
      <c r="BC158" s="17">
        <f>SUMIF('20.01'!$V:$V,$B:$B,'20.01'!$D:$D)*1.2</f>
        <v>0</v>
      </c>
      <c r="BD158" s="17">
        <f>SUMIF('20.01'!$W:$W,$B:$B,'20.01'!$D:$D)*1.2</f>
        <v>0</v>
      </c>
      <c r="BE158" s="110">
        <f>SUMIF('20.01'!$X:$X,$B:$B,'20.01'!$D:$D)*1.2</f>
        <v>0</v>
      </c>
      <c r="BF158" s="110">
        <f t="shared" si="206"/>
        <v>0</v>
      </c>
      <c r="BG158" s="17">
        <f>SUMIF('20.01'!$Y:$Y,$B:$B,'20.01'!$D:$D)*1.2</f>
        <v>0</v>
      </c>
      <c r="BH158" s="17">
        <f>SUMIF('20.01'!$Z:$Z,$B:$B,'20.01'!$D:$D)*1.2</f>
        <v>0</v>
      </c>
      <c r="BI158" s="17">
        <f>SUMIF('20.01'!$AA:$AA,$B:$B,'20.01'!$D:$D)*1.2</f>
        <v>0</v>
      </c>
      <c r="BJ158" s="17">
        <f>SUMIF('20.01'!$AB:$AB,$B:$B,'20.01'!$D:$D)*1.2</f>
        <v>0</v>
      </c>
      <c r="BK158" s="17">
        <f>SUMIF('20.01'!$AC:$AC,$B:$B,'20.01'!$D:$D)*1.2</f>
        <v>0</v>
      </c>
      <c r="BL158" s="17">
        <f>SUMIF('20.01'!$AD:$AD,$B:$B,'20.01'!$D:$D)*1.2</f>
        <v>0</v>
      </c>
      <c r="BM158" s="110">
        <f t="shared" si="207"/>
        <v>0</v>
      </c>
      <c r="BN158" s="17">
        <f>SUMIF('20.01'!$AE:$AE,$B:$B,'20.01'!$D:$D)*1.2</f>
        <v>0</v>
      </c>
      <c r="BO158" s="17">
        <f>SUMIF('20.01'!$AF:$AF,$B:$B,'20.01'!$D:$D)*1.2</f>
        <v>0</v>
      </c>
      <c r="BP158" s="110">
        <f>SUMIF('20.01'!$AG:$AG,$B:$B,'20.01'!$D:$D)*1.2</f>
        <v>0</v>
      </c>
      <c r="BQ158" s="110">
        <f>SUMIF('20.01'!$AH:$AH,$B:$B,'20.01'!$D:$D)*1.2</f>
        <v>0</v>
      </c>
      <c r="BR158" s="110">
        <f>SUMIF('20.01'!$AI:$AI,$B:$B,'20.01'!$D:$D)*1.2</f>
        <v>0</v>
      </c>
      <c r="BS158" s="110">
        <f t="shared" si="208"/>
        <v>0</v>
      </c>
      <c r="BT158" s="17">
        <f>SUMIF('20.01'!$AJ:$AJ,$B:$B,'20.01'!$D:$D)*1.2</f>
        <v>0</v>
      </c>
      <c r="BU158" s="17">
        <f>SUMIF('20.01'!$AK:$AK,$B:$B,'20.01'!$D:$D)*1.2</f>
        <v>0</v>
      </c>
      <c r="BV158" s="110">
        <f>SUMIF('20.01'!$AL:$AL,$B:$B,'20.01'!$D:$D)*1.2</f>
        <v>0</v>
      </c>
      <c r="BW158" s="110">
        <f>SUMIF('20.01'!$AM:$AM,$B:$B,'20.01'!$D:$D)*1.2</f>
        <v>0</v>
      </c>
      <c r="BX158" s="110">
        <f>SUMIF('20.01'!$AN:$AN,$B:$B,'20.01'!$D:$D)*1.2</f>
        <v>0</v>
      </c>
      <c r="BY158" s="110">
        <f t="shared" si="158"/>
        <v>306314.21476505755</v>
      </c>
      <c r="BZ158" s="17">
        <f t="shared" si="225"/>
        <v>235303.67092706758</v>
      </c>
      <c r="CA158" s="17">
        <f t="shared" si="159"/>
        <v>16805.700101247938</v>
      </c>
      <c r="CB158" s="17">
        <f t="shared" si="160"/>
        <v>1117.1568703560815</v>
      </c>
      <c r="CC158" s="17">
        <f>SUMIF('20.01'!$AO:$AO,$B:$B,'20.01'!$D:$D)*1.2</f>
        <v>0</v>
      </c>
      <c r="CD158" s="17">
        <f t="shared" si="161"/>
        <v>17538.228223154027</v>
      </c>
      <c r="CE158" s="17">
        <f>SUMIF('20.01'!$AQ:$AQ,$B:$B,'20.01'!$D:$D)*1.2</f>
        <v>0</v>
      </c>
      <c r="CF158" s="17">
        <f t="shared" si="162"/>
        <v>1595.7015245747577</v>
      </c>
      <c r="CG158" s="17">
        <f>SUMIF('20.01'!$AR:$AR,$B:$B,'20.01'!$D:$D)*1.2</f>
        <v>32083.68</v>
      </c>
      <c r="CH158" s="17">
        <f t="shared" si="163"/>
        <v>939.75241193955196</v>
      </c>
      <c r="CI158" s="17">
        <f>SUMIF('20.01'!$AT:$AT,$B:$B,'20.01'!$D:$D)*1.2</f>
        <v>0</v>
      </c>
      <c r="CJ158" s="17">
        <f>SUMIF('20.01'!$AU:$AU,$B:$B,'20.01'!$D:$D)*1.2</f>
        <v>0</v>
      </c>
      <c r="CK158" s="17">
        <f>SUMIF('20.01'!$AV:$AV,$B:$B,'20.01'!$D:$D)*1.2</f>
        <v>0</v>
      </c>
      <c r="CL158" s="17">
        <f t="shared" si="164"/>
        <v>930.32470671763087</v>
      </c>
      <c r="CM158" s="17">
        <f>SUMIF('20.01'!$AW:$AW,$B:$B,'20.01'!$D:$D)*1.2</f>
        <v>0</v>
      </c>
      <c r="CN158" s="17">
        <f>SUMIF('20.01'!$AX:$AX,$B:$B,'20.01'!$D:$D)*1.2</f>
        <v>0</v>
      </c>
      <c r="CO158" s="110">
        <f t="shared" si="209"/>
        <v>312088.04793370044</v>
      </c>
      <c r="CP158" s="17">
        <f t="shared" si="210"/>
        <v>246187.96569997753</v>
      </c>
      <c r="CQ158" s="17">
        <f t="shared" si="165"/>
        <v>75952.374876440736</v>
      </c>
      <c r="CR158" s="17">
        <f t="shared" si="166"/>
        <v>170235.5908235368</v>
      </c>
      <c r="CS158" s="17">
        <f t="shared" si="211"/>
        <v>65900.082233722889</v>
      </c>
      <c r="CT158" s="17">
        <f t="shared" si="167"/>
        <v>2400.7978050278393</v>
      </c>
      <c r="CU158" s="17">
        <f t="shared" si="168"/>
        <v>2322.132057733917</v>
      </c>
      <c r="CV158" s="17">
        <f t="shared" si="169"/>
        <v>2399.9742343033545</v>
      </c>
      <c r="CW158" s="17">
        <f t="shared" si="170"/>
        <v>25.166372325565931</v>
      </c>
      <c r="CX158" s="17">
        <f t="shared" si="171"/>
        <v>35436.782375339179</v>
      </c>
      <c r="CY158" s="17">
        <f t="shared" si="172"/>
        <v>23315.229388993033</v>
      </c>
      <c r="CZ158" s="110">
        <f t="shared" si="212"/>
        <v>77468.423700554442</v>
      </c>
      <c r="DA158" s="17">
        <f t="shared" si="213"/>
        <v>2926.3223634378992</v>
      </c>
      <c r="DB158" s="17">
        <f t="shared" si="173"/>
        <v>2776.972577744099</v>
      </c>
      <c r="DC158" s="17">
        <f t="shared" si="174"/>
        <v>149.34978569380027</v>
      </c>
      <c r="DD158" s="17">
        <f t="shared" si="175"/>
        <v>5156.5156783924376</v>
      </c>
      <c r="DE158" s="17">
        <f t="shared" si="176"/>
        <v>1779.1337818279405</v>
      </c>
      <c r="DF158" s="17">
        <f t="shared" si="177"/>
        <v>2159.2267046858256</v>
      </c>
      <c r="DG158" s="17">
        <f t="shared" si="214"/>
        <v>65447.225172210339</v>
      </c>
      <c r="DH158" s="110">
        <f t="shared" si="215"/>
        <v>48346.348007613997</v>
      </c>
      <c r="DI158" s="17">
        <f t="shared" si="178"/>
        <v>43368.645353175925</v>
      </c>
      <c r="DJ158" s="17">
        <f t="shared" si="179"/>
        <v>4796.3173397129503</v>
      </c>
      <c r="DK158" s="17">
        <f t="shared" si="180"/>
        <v>181.38531472512042</v>
      </c>
      <c r="DL158" s="110">
        <f t="shared" si="216"/>
        <v>365843.58840076323</v>
      </c>
      <c r="DM158" s="17">
        <f t="shared" si="181"/>
        <v>152333.02642261662</v>
      </c>
      <c r="DN158" s="17">
        <f t="shared" si="182"/>
        <v>135087.77814835813</v>
      </c>
      <c r="DO158" s="17">
        <f t="shared" si="183"/>
        <v>78422.783829788445</v>
      </c>
      <c r="DP158" s="110">
        <f t="shared" si="217"/>
        <v>0</v>
      </c>
      <c r="DQ158" s="17">
        <f>SUMIF('20.01'!$BB:$BB,$B:$B,'20.01'!$D:$D)*1.2</f>
        <v>0</v>
      </c>
      <c r="DR158" s="17">
        <f t="shared" si="184"/>
        <v>0</v>
      </c>
      <c r="DS158" s="17">
        <f t="shared" si="185"/>
        <v>0</v>
      </c>
      <c r="DT158" s="110">
        <f t="shared" si="218"/>
        <v>5689.5240000000003</v>
      </c>
      <c r="DU158" s="17">
        <f>SUMIF('20.01'!$BD:$BD,$B:$B,'20.01'!$D:$D)*1.2</f>
        <v>5689.5240000000003</v>
      </c>
      <c r="DV158" s="17">
        <f t="shared" si="186"/>
        <v>0</v>
      </c>
      <c r="DW158" s="17">
        <f t="shared" si="187"/>
        <v>0</v>
      </c>
      <c r="DX158" s="110">
        <f t="shared" si="188"/>
        <v>1385030.2048412187</v>
      </c>
      <c r="DY158" s="110"/>
      <c r="DZ158" s="110">
        <f t="shared" si="219"/>
        <v>1385030.2048412187</v>
      </c>
      <c r="EA158" s="257"/>
      <c r="EB158" s="110">
        <f t="shared" si="189"/>
        <v>3546.2168674698792</v>
      </c>
      <c r="EC158" s="110">
        <f>SUMIF(еирц!$B:$B,$B:$B,еирц!$K:$K)</f>
        <v>1027155.54</v>
      </c>
      <c r="ED158" s="110">
        <f>SUMIF(еирц!$B:$B,$B:$B,еирц!$P:$P)</f>
        <v>982380.45</v>
      </c>
      <c r="EE158" s="110">
        <f>SUMIF(еирц!$B:$B,$B:$B,еирц!$S:$S)</f>
        <v>437951.63</v>
      </c>
      <c r="EF158" s="177">
        <f t="shared" si="220"/>
        <v>-354328.44797374879</v>
      </c>
      <c r="EG158" s="181">
        <f t="shared" si="221"/>
        <v>0</v>
      </c>
      <c r="EH158" s="177">
        <f t="shared" si="222"/>
        <v>-354328.44797374879</v>
      </c>
    </row>
    <row r="159" spans="1:138" ht="12" customHeight="1" x14ac:dyDescent="0.25">
      <c r="A159" s="5">
        <f t="shared" si="223"/>
        <v>155</v>
      </c>
      <c r="B159" s="6" t="s">
        <v>239</v>
      </c>
      <c r="C159" s="7">
        <f t="shared" si="226"/>
        <v>3377.3</v>
      </c>
      <c r="D159" s="8">
        <v>3377.3</v>
      </c>
      <c r="E159" s="8">
        <v>0</v>
      </c>
      <c r="F159" s="8">
        <v>297.8</v>
      </c>
      <c r="G159" s="87">
        <f t="shared" si="156"/>
        <v>3377.3</v>
      </c>
      <c r="H159" s="87">
        <f t="shared" si="157"/>
        <v>3377.3</v>
      </c>
      <c r="I159" s="91">
        <v>0</v>
      </c>
      <c r="J159" s="112">
        <v>0</v>
      </c>
      <c r="K159" s="17">
        <v>4</v>
      </c>
      <c r="L159" s="112">
        <f t="shared" si="190"/>
        <v>9.638554216867469E-3</v>
      </c>
      <c r="M159" s="116">
        <v>3.4064171946482524</v>
      </c>
      <c r="N159" s="120">
        <f t="shared" si="191"/>
        <v>3377.3</v>
      </c>
      <c r="O159" s="116">
        <v>3.0862325650985474</v>
      </c>
      <c r="P159" s="120">
        <f t="shared" si="192"/>
        <v>3377.3</v>
      </c>
      <c r="Q159" s="116">
        <v>0</v>
      </c>
      <c r="R159" s="120">
        <f t="shared" si="193"/>
        <v>0</v>
      </c>
      <c r="S159" s="5" t="s">
        <v>73</v>
      </c>
      <c r="T159" s="87">
        <v>28.44</v>
      </c>
      <c r="U159" s="88">
        <v>4.68</v>
      </c>
      <c r="V159" s="88">
        <v>6.05</v>
      </c>
      <c r="W159" s="88">
        <v>8.24</v>
      </c>
      <c r="X159" s="88">
        <v>6.34</v>
      </c>
      <c r="Y159" s="88">
        <v>2.89</v>
      </c>
      <c r="Z159" s="88">
        <v>0</v>
      </c>
      <c r="AA159" s="88">
        <v>0</v>
      </c>
      <c r="AB159" s="88">
        <v>0.24</v>
      </c>
      <c r="AC159" s="257"/>
      <c r="AD159" s="110">
        <f t="shared" si="194"/>
        <v>169350.0550228217</v>
      </c>
      <c r="AE159" s="110">
        <f t="shared" si="195"/>
        <v>168401.33072490187</v>
      </c>
      <c r="AF159" s="16">
        <f>SUMIF('20.01'!$I:$I,$B:$B,'20.01'!$D:$D)*1.2</f>
        <v>97698.888000000006</v>
      </c>
      <c r="AG159" s="17">
        <f t="shared" si="224"/>
        <v>21609.023448257703</v>
      </c>
      <c r="AH159" s="17">
        <f t="shared" si="196"/>
        <v>2578.9028918568811</v>
      </c>
      <c r="AI159" s="16">
        <f>SUMIF('20.01'!$J:$J,$B:$B,'20.01'!$D:$D)*1.2</f>
        <v>0</v>
      </c>
      <c r="AJ159" s="17">
        <f t="shared" si="197"/>
        <v>1048.0081560439155</v>
      </c>
      <c r="AK159" s="17">
        <f t="shared" si="198"/>
        <v>2549.5710237087205</v>
      </c>
      <c r="AL159" s="17">
        <f t="shared" si="199"/>
        <v>42916.937205034657</v>
      </c>
      <c r="AM159" s="110">
        <f t="shared" si="200"/>
        <v>0</v>
      </c>
      <c r="AN159" s="17">
        <f>SUMIF('20.01'!$K:$K,$B:$B,'20.01'!$D:$D)*1.2</f>
        <v>0</v>
      </c>
      <c r="AO159" s="17">
        <f>SUMIF('20.01'!$L:$L,$B:$B,'20.01'!$D:$D)*1.2</f>
        <v>0</v>
      </c>
      <c r="AP159" s="17">
        <f>SUMIF('20.01'!$M:$M,$B:$B,'20.01'!$D:$D)*1.2</f>
        <v>0</v>
      </c>
      <c r="AQ159" s="110">
        <f t="shared" si="201"/>
        <v>948.72429791982313</v>
      </c>
      <c r="AR159" s="17">
        <f t="shared" si="202"/>
        <v>948.72429791982313</v>
      </c>
      <c r="AS159" s="17">
        <f>(SUMIF('20.01'!$N:$N,$B:$B,'20.01'!$D:$D)+SUMIF('20.01'!$O:$O,$B:$B,'20.01'!$D:$D))*1.2</f>
        <v>0</v>
      </c>
      <c r="AT159" s="110">
        <f>SUMIF('20.01'!$P:$P,$B:$B,'20.01'!$D:$D)*1.2</f>
        <v>0</v>
      </c>
      <c r="AU159" s="110">
        <f t="shared" si="203"/>
        <v>0</v>
      </c>
      <c r="AV159" s="17">
        <f>SUMIF('20.01'!$Q:$Q,$B:$B,'20.01'!$D:$D)*1.2</f>
        <v>0</v>
      </c>
      <c r="AW159" s="17">
        <f>SUMIF('20.01'!$R:$R,$B:$B,'20.01'!$D:$D)*1.2</f>
        <v>0</v>
      </c>
      <c r="AX159" s="110">
        <f t="shared" si="204"/>
        <v>0</v>
      </c>
      <c r="AY159" s="17">
        <f>SUMIF('20.01'!$S:$S,$B:$B,'20.01'!$D:$D)*1.2</f>
        <v>0</v>
      </c>
      <c r="AZ159" s="17">
        <f>SUMIF('20.01'!$T:$T,$B:$B,'20.01'!$D:$D)*1.2</f>
        <v>0</v>
      </c>
      <c r="BA159" s="110">
        <f t="shared" si="205"/>
        <v>0</v>
      </c>
      <c r="BB159" s="17">
        <f>SUMIF('20.01'!$U:$U,$B:$B,'20.01'!$D:$D)*1.2</f>
        <v>0</v>
      </c>
      <c r="BC159" s="17">
        <f>SUMIF('20.01'!$V:$V,$B:$B,'20.01'!$D:$D)*1.2</f>
        <v>0</v>
      </c>
      <c r="BD159" s="17">
        <f>SUMIF('20.01'!$W:$W,$B:$B,'20.01'!$D:$D)*1.2</f>
        <v>0</v>
      </c>
      <c r="BE159" s="110">
        <f>SUMIF('20.01'!$X:$X,$B:$B,'20.01'!$D:$D)*1.2</f>
        <v>0</v>
      </c>
      <c r="BF159" s="110">
        <f t="shared" si="206"/>
        <v>0</v>
      </c>
      <c r="BG159" s="17">
        <f>SUMIF('20.01'!$Y:$Y,$B:$B,'20.01'!$D:$D)*1.2</f>
        <v>0</v>
      </c>
      <c r="BH159" s="17">
        <f>SUMIF('20.01'!$Z:$Z,$B:$B,'20.01'!$D:$D)*1.2</f>
        <v>0</v>
      </c>
      <c r="BI159" s="17">
        <f>SUMIF('20.01'!$AA:$AA,$B:$B,'20.01'!$D:$D)*1.2</f>
        <v>0</v>
      </c>
      <c r="BJ159" s="17">
        <f>SUMIF('20.01'!$AB:$AB,$B:$B,'20.01'!$D:$D)*1.2</f>
        <v>0</v>
      </c>
      <c r="BK159" s="17">
        <f>SUMIF('20.01'!$AC:$AC,$B:$B,'20.01'!$D:$D)*1.2</f>
        <v>0</v>
      </c>
      <c r="BL159" s="17">
        <f>SUMIF('20.01'!$AD:$AD,$B:$B,'20.01'!$D:$D)*1.2</f>
        <v>0</v>
      </c>
      <c r="BM159" s="110">
        <f t="shared" si="207"/>
        <v>0</v>
      </c>
      <c r="BN159" s="17">
        <f>SUMIF('20.01'!$AE:$AE,$B:$B,'20.01'!$D:$D)*1.2</f>
        <v>0</v>
      </c>
      <c r="BO159" s="17">
        <f>SUMIF('20.01'!$AF:$AF,$B:$B,'20.01'!$D:$D)*1.2</f>
        <v>0</v>
      </c>
      <c r="BP159" s="110">
        <f>SUMIF('20.01'!$AG:$AG,$B:$B,'20.01'!$D:$D)*1.2</f>
        <v>0</v>
      </c>
      <c r="BQ159" s="110">
        <f>SUMIF('20.01'!$AH:$AH,$B:$B,'20.01'!$D:$D)*1.2</f>
        <v>0</v>
      </c>
      <c r="BR159" s="110">
        <f>SUMIF('20.01'!$AI:$AI,$B:$B,'20.01'!$D:$D)*1.2</f>
        <v>0</v>
      </c>
      <c r="BS159" s="110">
        <f t="shared" si="208"/>
        <v>0</v>
      </c>
      <c r="BT159" s="17">
        <f>SUMIF('20.01'!$AJ:$AJ,$B:$B,'20.01'!$D:$D)*1.2</f>
        <v>0</v>
      </c>
      <c r="BU159" s="17">
        <f>SUMIF('20.01'!$AK:$AK,$B:$B,'20.01'!$D:$D)*1.2</f>
        <v>0</v>
      </c>
      <c r="BV159" s="110">
        <f>SUMIF('20.01'!$AL:$AL,$B:$B,'20.01'!$D:$D)*1.2</f>
        <v>0</v>
      </c>
      <c r="BW159" s="110">
        <f>SUMIF('20.01'!$AM:$AM,$B:$B,'20.01'!$D:$D)*1.2</f>
        <v>0</v>
      </c>
      <c r="BX159" s="110">
        <f>SUMIF('20.01'!$AN:$AN,$B:$B,'20.01'!$D:$D)*1.2</f>
        <v>0</v>
      </c>
      <c r="BY159" s="110">
        <f t="shared" si="158"/>
        <v>404806.16038604552</v>
      </c>
      <c r="BZ159" s="17">
        <f t="shared" si="225"/>
        <v>293287.23347430816</v>
      </c>
      <c r="CA159" s="17">
        <f t="shared" si="159"/>
        <v>20946.963002636796</v>
      </c>
      <c r="CB159" s="17">
        <f t="shared" si="160"/>
        <v>1392.4468180741048</v>
      </c>
      <c r="CC159" s="17">
        <f>SUMIF('20.01'!$AO:$AO,$B:$B,'20.01'!$D:$D)*1.2</f>
        <v>0</v>
      </c>
      <c r="CD159" s="17">
        <f t="shared" si="161"/>
        <v>21860.00080383012</v>
      </c>
      <c r="CE159" s="17">
        <f>SUMIF('20.01'!$AQ:$AQ,$B:$B,'20.01'!$D:$D)*1.2</f>
        <v>0</v>
      </c>
      <c r="CF159" s="17">
        <f t="shared" si="162"/>
        <v>1988.9145109781259</v>
      </c>
      <c r="CG159" s="17">
        <f>SUMIF('20.01'!$AR:$AR,$B:$B,'20.01'!$D:$D)*1.2</f>
        <v>62999.7</v>
      </c>
      <c r="CH159" s="17">
        <f t="shared" si="163"/>
        <v>1171.3263289206707</v>
      </c>
      <c r="CI159" s="17">
        <f>SUMIF('20.01'!$AT:$AT,$B:$B,'20.01'!$D:$D)*1.2</f>
        <v>0</v>
      </c>
      <c r="CJ159" s="17">
        <f>SUMIF('20.01'!$AU:$AU,$B:$B,'20.01'!$D:$D)*1.2</f>
        <v>0</v>
      </c>
      <c r="CK159" s="17">
        <f>SUMIF('20.01'!$AV:$AV,$B:$B,'20.01'!$D:$D)*1.2</f>
        <v>0</v>
      </c>
      <c r="CL159" s="17">
        <f t="shared" si="164"/>
        <v>1159.575447297555</v>
      </c>
      <c r="CM159" s="17">
        <f>SUMIF('20.01'!$AW:$AW,$B:$B,'20.01'!$D:$D)*1.2</f>
        <v>0</v>
      </c>
      <c r="CN159" s="17">
        <f>SUMIF('20.01'!$AX:$AX,$B:$B,'20.01'!$D:$D)*1.2</f>
        <v>0</v>
      </c>
      <c r="CO159" s="110">
        <f t="shared" si="209"/>
        <v>388992.82709126314</v>
      </c>
      <c r="CP159" s="17">
        <f t="shared" si="210"/>
        <v>306853.63764339173</v>
      </c>
      <c r="CQ159" s="17">
        <f t="shared" si="165"/>
        <v>94668.569408843861</v>
      </c>
      <c r="CR159" s="17">
        <f t="shared" si="166"/>
        <v>212185.06823454786</v>
      </c>
      <c r="CS159" s="17">
        <f t="shared" si="211"/>
        <v>82139.189447871409</v>
      </c>
      <c r="CT159" s="17">
        <f t="shared" si="167"/>
        <v>2992.4027262033223</v>
      </c>
      <c r="CU159" s="17">
        <f t="shared" si="168"/>
        <v>2894.3521547773689</v>
      </c>
      <c r="CV159" s="17">
        <f t="shared" si="169"/>
        <v>2991.3762110690582</v>
      </c>
      <c r="CW159" s="17">
        <f t="shared" si="170"/>
        <v>31.367873211962589</v>
      </c>
      <c r="CX159" s="17">
        <f t="shared" si="171"/>
        <v>44169.119101060314</v>
      </c>
      <c r="CY159" s="17">
        <f t="shared" si="172"/>
        <v>29060.571381549373</v>
      </c>
      <c r="CZ159" s="110">
        <f t="shared" si="212"/>
        <v>96558.203190095417</v>
      </c>
      <c r="DA159" s="17">
        <f t="shared" si="213"/>
        <v>3647.4271176700686</v>
      </c>
      <c r="DB159" s="17">
        <f t="shared" si="173"/>
        <v>3461.2745375018994</v>
      </c>
      <c r="DC159" s="17">
        <f t="shared" si="174"/>
        <v>186.15258016816938</v>
      </c>
      <c r="DD159" s="17">
        <f t="shared" si="175"/>
        <v>6427.1849721858507</v>
      </c>
      <c r="DE159" s="17">
        <f t="shared" si="176"/>
        <v>2217.5481699761972</v>
      </c>
      <c r="DF159" s="17">
        <f t="shared" si="177"/>
        <v>2691.3036425064361</v>
      </c>
      <c r="DG159" s="17">
        <f t="shared" si="214"/>
        <v>81574.739287756864</v>
      </c>
      <c r="DH159" s="110">
        <f t="shared" si="215"/>
        <v>60259.861649732346</v>
      </c>
      <c r="DI159" s="17">
        <f t="shared" si="178"/>
        <v>54055.552831148903</v>
      </c>
      <c r="DJ159" s="17">
        <f t="shared" si="179"/>
        <v>5978.2265099692022</v>
      </c>
      <c r="DK159" s="17">
        <f t="shared" si="180"/>
        <v>226.08230861424167</v>
      </c>
      <c r="DL159" s="110">
        <f t="shared" si="216"/>
        <v>358247.07826895232</v>
      </c>
      <c r="DM159" s="17">
        <f t="shared" si="181"/>
        <v>189870.95148254471</v>
      </c>
      <c r="DN159" s="17">
        <f t="shared" si="182"/>
        <v>168376.12678640758</v>
      </c>
      <c r="DO159" s="17">
        <f t="shared" si="183"/>
        <v>0</v>
      </c>
      <c r="DP159" s="110">
        <f t="shared" si="217"/>
        <v>0</v>
      </c>
      <c r="DQ159" s="17">
        <f>SUMIF('20.01'!$BB:$BB,$B:$B,'20.01'!$D:$D)*1.2</f>
        <v>0</v>
      </c>
      <c r="DR159" s="17">
        <f t="shared" si="184"/>
        <v>0</v>
      </c>
      <c r="DS159" s="17">
        <f t="shared" si="185"/>
        <v>0</v>
      </c>
      <c r="DT159" s="110">
        <f t="shared" si="218"/>
        <v>7586.0159999999996</v>
      </c>
      <c r="DU159" s="17">
        <f>SUMIF('20.01'!$BD:$BD,$B:$B,'20.01'!$D:$D)*1.2</f>
        <v>7586.0159999999996</v>
      </c>
      <c r="DV159" s="17">
        <f t="shared" si="186"/>
        <v>0</v>
      </c>
      <c r="DW159" s="17">
        <f t="shared" si="187"/>
        <v>0</v>
      </c>
      <c r="DX159" s="110">
        <f t="shared" si="188"/>
        <v>1485800.2016089105</v>
      </c>
      <c r="DY159" s="110"/>
      <c r="DZ159" s="110">
        <f t="shared" si="219"/>
        <v>1485800.2016089105</v>
      </c>
      <c r="EA159" s="257"/>
      <c r="EB159" s="110">
        <f t="shared" si="189"/>
        <v>3546.2168674698792</v>
      </c>
      <c r="EC159" s="110">
        <f>SUMIF(еирц!$B:$B,$B:$B,еирц!$K:$K)</f>
        <v>1130518.7400000002</v>
      </c>
      <c r="ED159" s="110">
        <f>SUMIF(еирц!$B:$B,$B:$B,еирц!$P:$P)</f>
        <v>1066058.93</v>
      </c>
      <c r="EE159" s="110">
        <f>SUMIF(еирц!$B:$B,$B:$B,еирц!$S:$S)</f>
        <v>397023.62</v>
      </c>
      <c r="EF159" s="177">
        <f t="shared" si="220"/>
        <v>-351735.24474144028</v>
      </c>
      <c r="EG159" s="181">
        <f t="shared" si="221"/>
        <v>0</v>
      </c>
      <c r="EH159" s="177">
        <f t="shared" si="222"/>
        <v>-351735.24474144028</v>
      </c>
    </row>
    <row r="160" spans="1:138" ht="12" customHeight="1" x14ac:dyDescent="0.25">
      <c r="A160" s="5">
        <f t="shared" si="223"/>
        <v>156</v>
      </c>
      <c r="B160" s="6" t="s">
        <v>240</v>
      </c>
      <c r="C160" s="7">
        <f t="shared" si="226"/>
        <v>3351.3</v>
      </c>
      <c r="D160" s="8">
        <v>3351.3</v>
      </c>
      <c r="E160" s="8">
        <v>0</v>
      </c>
      <c r="F160" s="8">
        <v>279.2</v>
      </c>
      <c r="G160" s="87">
        <f t="shared" si="156"/>
        <v>3351.3</v>
      </c>
      <c r="H160" s="87">
        <f t="shared" si="157"/>
        <v>3351.3</v>
      </c>
      <c r="I160" s="91">
        <v>0</v>
      </c>
      <c r="J160" s="112">
        <v>0</v>
      </c>
      <c r="K160" s="17">
        <v>4</v>
      </c>
      <c r="L160" s="112">
        <f t="shared" si="190"/>
        <v>9.638554216867469E-3</v>
      </c>
      <c r="M160" s="116">
        <v>3.4064175640604959</v>
      </c>
      <c r="N160" s="120">
        <f t="shared" si="191"/>
        <v>3351.3</v>
      </c>
      <c r="O160" s="116">
        <v>3.0862324254989115</v>
      </c>
      <c r="P160" s="120">
        <f t="shared" si="192"/>
        <v>3351.3</v>
      </c>
      <c r="Q160" s="116">
        <v>0</v>
      </c>
      <c r="R160" s="120">
        <f t="shared" si="193"/>
        <v>0</v>
      </c>
      <c r="S160" s="5" t="s">
        <v>73</v>
      </c>
      <c r="T160" s="87">
        <v>28.44</v>
      </c>
      <c r="U160" s="88">
        <v>4.68</v>
      </c>
      <c r="V160" s="88">
        <v>6.05</v>
      </c>
      <c r="W160" s="88">
        <v>8.24</v>
      </c>
      <c r="X160" s="88">
        <v>6.34</v>
      </c>
      <c r="Y160" s="88">
        <v>2.89</v>
      </c>
      <c r="Z160" s="88">
        <v>0</v>
      </c>
      <c r="AA160" s="88">
        <v>0</v>
      </c>
      <c r="AB160" s="88">
        <v>0.24</v>
      </c>
      <c r="AC160" s="257"/>
      <c r="AD160" s="110">
        <f t="shared" si="194"/>
        <v>418852.11156959174</v>
      </c>
      <c r="AE160" s="110">
        <f t="shared" si="195"/>
        <v>213776.7949852141</v>
      </c>
      <c r="AF160" s="16">
        <f>SUMIF('20.01'!$I:$I,$B:$B,'20.01'!$D:$D)*1.2</f>
        <v>143618.652</v>
      </c>
      <c r="AG160" s="17">
        <f t="shared" si="224"/>
        <v>21442.667302918318</v>
      </c>
      <c r="AH160" s="17">
        <f t="shared" si="196"/>
        <v>2559.0493179403561</v>
      </c>
      <c r="AI160" s="16">
        <f>SUMIF('20.01'!$J:$J,$B:$B,'20.01'!$D:$D)*1.2</f>
        <v>0</v>
      </c>
      <c r="AJ160" s="17">
        <f t="shared" si="197"/>
        <v>1039.9401099546899</v>
      </c>
      <c r="AK160" s="17">
        <f t="shared" si="198"/>
        <v>2529.9432599280594</v>
      </c>
      <c r="AL160" s="17">
        <f t="shared" si="199"/>
        <v>42586.5429944727</v>
      </c>
      <c r="AM160" s="110">
        <f t="shared" si="200"/>
        <v>0</v>
      </c>
      <c r="AN160" s="17">
        <f>SUMIF('20.01'!$K:$K,$B:$B,'20.01'!$D:$D)*1.2</f>
        <v>0</v>
      </c>
      <c r="AO160" s="17">
        <f>SUMIF('20.01'!$L:$L,$B:$B,'20.01'!$D:$D)*1.2</f>
        <v>0</v>
      </c>
      <c r="AP160" s="17">
        <f>SUMIF('20.01'!$M:$M,$B:$B,'20.01'!$D:$D)*1.2</f>
        <v>0</v>
      </c>
      <c r="AQ160" s="110">
        <f t="shared" si="201"/>
        <v>941.42058437766946</v>
      </c>
      <c r="AR160" s="17">
        <f t="shared" si="202"/>
        <v>941.42058437766946</v>
      </c>
      <c r="AS160" s="17">
        <f>(SUMIF('20.01'!$N:$N,$B:$B,'20.01'!$D:$D)+SUMIF('20.01'!$O:$O,$B:$B,'20.01'!$D:$D))*1.2</f>
        <v>0</v>
      </c>
      <c r="AT160" s="110">
        <f>SUMIF('20.01'!$P:$P,$B:$B,'20.01'!$D:$D)*1.2</f>
        <v>0</v>
      </c>
      <c r="AU160" s="110">
        <f t="shared" si="203"/>
        <v>0</v>
      </c>
      <c r="AV160" s="17">
        <f>SUMIF('20.01'!$Q:$Q,$B:$B,'20.01'!$D:$D)*1.2</f>
        <v>0</v>
      </c>
      <c r="AW160" s="17">
        <f>SUMIF('20.01'!$R:$R,$B:$B,'20.01'!$D:$D)*1.2</f>
        <v>0</v>
      </c>
      <c r="AX160" s="110">
        <f t="shared" si="204"/>
        <v>204133.89599999998</v>
      </c>
      <c r="AY160" s="17">
        <f>SUMIF('20.01'!$S:$S,$B:$B,'20.01'!$D:$D)*1.2</f>
        <v>204133.89599999998</v>
      </c>
      <c r="AZ160" s="17">
        <f>SUMIF('20.01'!$T:$T,$B:$B,'20.01'!$D:$D)*1.2</f>
        <v>0</v>
      </c>
      <c r="BA160" s="110">
        <f t="shared" si="205"/>
        <v>0</v>
      </c>
      <c r="BB160" s="17">
        <f>SUMIF('20.01'!$U:$U,$B:$B,'20.01'!$D:$D)*1.2</f>
        <v>0</v>
      </c>
      <c r="BC160" s="17">
        <f>SUMIF('20.01'!$V:$V,$B:$B,'20.01'!$D:$D)*1.2</f>
        <v>0</v>
      </c>
      <c r="BD160" s="17">
        <f>SUMIF('20.01'!$W:$W,$B:$B,'20.01'!$D:$D)*1.2</f>
        <v>0</v>
      </c>
      <c r="BE160" s="110">
        <f>SUMIF('20.01'!$X:$X,$B:$B,'20.01'!$D:$D)*1.2</f>
        <v>0</v>
      </c>
      <c r="BF160" s="110">
        <f t="shared" si="206"/>
        <v>0</v>
      </c>
      <c r="BG160" s="17">
        <f>SUMIF('20.01'!$Y:$Y,$B:$B,'20.01'!$D:$D)*1.2</f>
        <v>0</v>
      </c>
      <c r="BH160" s="17">
        <f>SUMIF('20.01'!$Z:$Z,$B:$B,'20.01'!$D:$D)*1.2</f>
        <v>0</v>
      </c>
      <c r="BI160" s="17">
        <f>SUMIF('20.01'!$AA:$AA,$B:$B,'20.01'!$D:$D)*1.2</f>
        <v>0</v>
      </c>
      <c r="BJ160" s="17">
        <f>SUMIF('20.01'!$AB:$AB,$B:$B,'20.01'!$D:$D)*1.2</f>
        <v>0</v>
      </c>
      <c r="BK160" s="17">
        <f>SUMIF('20.01'!$AC:$AC,$B:$B,'20.01'!$D:$D)*1.2</f>
        <v>0</v>
      </c>
      <c r="BL160" s="17">
        <f>SUMIF('20.01'!$AD:$AD,$B:$B,'20.01'!$D:$D)*1.2</f>
        <v>0</v>
      </c>
      <c r="BM160" s="110">
        <f t="shared" si="207"/>
        <v>0</v>
      </c>
      <c r="BN160" s="17">
        <f>SUMIF('20.01'!$AE:$AE,$B:$B,'20.01'!$D:$D)*1.2</f>
        <v>0</v>
      </c>
      <c r="BO160" s="17">
        <f>SUMIF('20.01'!$AF:$AF,$B:$B,'20.01'!$D:$D)*1.2</f>
        <v>0</v>
      </c>
      <c r="BP160" s="110">
        <f>SUMIF('20.01'!$AG:$AG,$B:$B,'20.01'!$D:$D)*1.2</f>
        <v>0</v>
      </c>
      <c r="BQ160" s="110">
        <f>SUMIF('20.01'!$AH:$AH,$B:$B,'20.01'!$D:$D)*1.2</f>
        <v>0</v>
      </c>
      <c r="BR160" s="110">
        <f>SUMIF('20.01'!$AI:$AI,$B:$B,'20.01'!$D:$D)*1.2</f>
        <v>0</v>
      </c>
      <c r="BS160" s="110">
        <f t="shared" si="208"/>
        <v>0</v>
      </c>
      <c r="BT160" s="17">
        <f>SUMIF('20.01'!$AJ:$AJ,$B:$B,'20.01'!$D:$D)*1.2</f>
        <v>0</v>
      </c>
      <c r="BU160" s="17">
        <f>SUMIF('20.01'!$AK:$AK,$B:$B,'20.01'!$D:$D)*1.2</f>
        <v>0</v>
      </c>
      <c r="BV160" s="110">
        <f>SUMIF('20.01'!$AL:$AL,$B:$B,'20.01'!$D:$D)*1.2</f>
        <v>0</v>
      </c>
      <c r="BW160" s="110">
        <f>SUMIF('20.01'!$AM:$AM,$B:$B,'20.01'!$D:$D)*1.2</f>
        <v>0</v>
      </c>
      <c r="BX160" s="110">
        <f>SUMIF('20.01'!$AN:$AN,$B:$B,'20.01'!$D:$D)*1.2</f>
        <v>0</v>
      </c>
      <c r="BY160" s="110">
        <f t="shared" si="158"/>
        <v>485011.11392963445</v>
      </c>
      <c r="BZ160" s="17">
        <f t="shared" si="225"/>
        <v>291029.37421681487</v>
      </c>
      <c r="CA160" s="17">
        <f t="shared" si="159"/>
        <v>20785.703701399547</v>
      </c>
      <c r="CB160" s="17">
        <f t="shared" si="160"/>
        <v>1381.7271256363804</v>
      </c>
      <c r="CC160" s="17">
        <f>SUMIF('20.01'!$AO:$AO,$B:$B,'20.01'!$D:$D)*1.2</f>
        <v>0</v>
      </c>
      <c r="CD160" s="17">
        <f t="shared" si="161"/>
        <v>21691.712520023651</v>
      </c>
      <c r="CE160" s="17">
        <f>SUMIF('20.01'!$AQ:$AQ,$B:$B,'20.01'!$D:$D)*1.2</f>
        <v>0</v>
      </c>
      <c r="CF160" s="17">
        <f t="shared" si="162"/>
        <v>1973.6029374473674</v>
      </c>
      <c r="CG160" s="17">
        <f>SUMIF('20.01'!$AR:$AR,$B:$B,'20.01'!$D:$D)*1.2</f>
        <v>145836.03599999999</v>
      </c>
      <c r="CH160" s="17">
        <f t="shared" si="163"/>
        <v>1162.3089231373713</v>
      </c>
      <c r="CI160" s="17">
        <f>SUMIF('20.01'!$AT:$AT,$B:$B,'20.01'!$D:$D)*1.2</f>
        <v>0</v>
      </c>
      <c r="CJ160" s="17">
        <f>SUMIF('20.01'!$AU:$AU,$B:$B,'20.01'!$D:$D)*1.2</f>
        <v>0</v>
      </c>
      <c r="CK160" s="17">
        <f>SUMIF('20.01'!$AV:$AV,$B:$B,'20.01'!$D:$D)*1.2</f>
        <v>0</v>
      </c>
      <c r="CL160" s="17">
        <f t="shared" si="164"/>
        <v>1150.6485051752275</v>
      </c>
      <c r="CM160" s="17">
        <f>SUMIF('20.01'!$AW:$AW,$B:$B,'20.01'!$D:$D)*1.2</f>
        <v>0</v>
      </c>
      <c r="CN160" s="17">
        <f>SUMIF('20.01'!$AX:$AX,$B:$B,'20.01'!$D:$D)*1.2</f>
        <v>0</v>
      </c>
      <c r="CO160" s="110">
        <f t="shared" si="209"/>
        <v>385998.18240338436</v>
      </c>
      <c r="CP160" s="17">
        <f t="shared" si="210"/>
        <v>304491.33800204267</v>
      </c>
      <c r="CQ160" s="17">
        <f t="shared" si="165"/>
        <v>93939.767465092955</v>
      </c>
      <c r="CR160" s="17">
        <f t="shared" si="166"/>
        <v>210551.5705369497</v>
      </c>
      <c r="CS160" s="17">
        <f t="shared" si="211"/>
        <v>81506.844401341717</v>
      </c>
      <c r="CT160" s="17">
        <f t="shared" si="167"/>
        <v>2969.3658414488482</v>
      </c>
      <c r="CU160" s="17">
        <f t="shared" si="168"/>
        <v>2872.0701081649236</v>
      </c>
      <c r="CV160" s="17">
        <f t="shared" si="169"/>
        <v>2968.3472288975613</v>
      </c>
      <c r="CW160" s="17">
        <f t="shared" si="170"/>
        <v>31.126388977955827</v>
      </c>
      <c r="CX160" s="17">
        <f t="shared" si="171"/>
        <v>43829.08502158038</v>
      </c>
      <c r="CY160" s="17">
        <f t="shared" si="172"/>
        <v>28836.849812272056</v>
      </c>
      <c r="CZ160" s="110">
        <f t="shared" si="212"/>
        <v>95814.853981276974</v>
      </c>
      <c r="DA160" s="17">
        <f t="shared" si="213"/>
        <v>3619.3475555762598</v>
      </c>
      <c r="DB160" s="17">
        <f t="shared" si="173"/>
        <v>3434.6280631066579</v>
      </c>
      <c r="DC160" s="17">
        <f t="shared" si="174"/>
        <v>184.71949246960176</v>
      </c>
      <c r="DD160" s="17">
        <f t="shared" si="175"/>
        <v>6377.7055628124363</v>
      </c>
      <c r="DE160" s="17">
        <f t="shared" si="176"/>
        <v>2200.4764699734196</v>
      </c>
      <c r="DF160" s="17">
        <f t="shared" si="177"/>
        <v>2670.584756205199</v>
      </c>
      <c r="DG160" s="17">
        <f t="shared" si="214"/>
        <v>80946.739636709666</v>
      </c>
      <c r="DH160" s="110">
        <f t="shared" si="215"/>
        <v>59795.953675050485</v>
      </c>
      <c r="DI160" s="17">
        <f t="shared" si="178"/>
        <v>53639.408463278152</v>
      </c>
      <c r="DJ160" s="17">
        <f t="shared" si="179"/>
        <v>5932.2033881679999</v>
      </c>
      <c r="DK160" s="17">
        <f t="shared" si="180"/>
        <v>224.3418236043313</v>
      </c>
      <c r="DL160" s="110">
        <f t="shared" si="216"/>
        <v>355489.12841700169</v>
      </c>
      <c r="DM160" s="17">
        <f t="shared" si="181"/>
        <v>188409.2380610109</v>
      </c>
      <c r="DN160" s="17">
        <f t="shared" si="182"/>
        <v>167079.89035599079</v>
      </c>
      <c r="DO160" s="17">
        <f t="shared" si="183"/>
        <v>0</v>
      </c>
      <c r="DP160" s="110">
        <f t="shared" si="217"/>
        <v>0</v>
      </c>
      <c r="DQ160" s="17">
        <f>SUMIF('20.01'!$BB:$BB,$B:$B,'20.01'!$D:$D)*1.2</f>
        <v>0</v>
      </c>
      <c r="DR160" s="17">
        <f t="shared" si="184"/>
        <v>0</v>
      </c>
      <c r="DS160" s="17">
        <f t="shared" si="185"/>
        <v>0</v>
      </c>
      <c r="DT160" s="110">
        <f t="shared" si="218"/>
        <v>6637.7640000000001</v>
      </c>
      <c r="DU160" s="17">
        <f>SUMIF('20.01'!$BD:$BD,$B:$B,'20.01'!$D:$D)*1.2</f>
        <v>6637.7640000000001</v>
      </c>
      <c r="DV160" s="17">
        <f t="shared" si="186"/>
        <v>0</v>
      </c>
      <c r="DW160" s="17">
        <f t="shared" si="187"/>
        <v>0</v>
      </c>
      <c r="DX160" s="110">
        <f t="shared" si="188"/>
        <v>1807599.1079759398</v>
      </c>
      <c r="DY160" s="110"/>
      <c r="DZ160" s="110">
        <f t="shared" si="219"/>
        <v>1807599.1079759398</v>
      </c>
      <c r="EA160" s="257"/>
      <c r="EB160" s="110">
        <f t="shared" si="189"/>
        <v>3546.2168674698792</v>
      </c>
      <c r="EC160" s="110">
        <f>SUMIF(еирц!$B:$B,$B:$B,еирц!$K:$K)</f>
        <v>1121815.26</v>
      </c>
      <c r="ED160" s="110">
        <f>SUMIF(еирц!$B:$B,$B:$B,еирц!$P:$P)</f>
        <v>1139767.83</v>
      </c>
      <c r="EE160" s="110">
        <f>SUMIF(еирц!$B:$B,$B:$B,еирц!$S:$S)</f>
        <v>369995.35000000003</v>
      </c>
      <c r="EF160" s="177">
        <f t="shared" si="220"/>
        <v>-682237.6311084698</v>
      </c>
      <c r="EG160" s="181">
        <f t="shared" si="221"/>
        <v>0</v>
      </c>
      <c r="EH160" s="177">
        <f t="shared" si="222"/>
        <v>-682237.6311084698</v>
      </c>
    </row>
    <row r="161" spans="1:138" ht="12" customHeight="1" x14ac:dyDescent="0.25">
      <c r="A161" s="5">
        <f t="shared" si="223"/>
        <v>157</v>
      </c>
      <c r="B161" s="6" t="s">
        <v>241</v>
      </c>
      <c r="C161" s="7">
        <f t="shared" si="226"/>
        <v>3357.8</v>
      </c>
      <c r="D161" s="8">
        <v>3357.8</v>
      </c>
      <c r="E161" s="8">
        <v>0</v>
      </c>
      <c r="F161" s="8">
        <v>279.2</v>
      </c>
      <c r="G161" s="87">
        <f t="shared" si="156"/>
        <v>3357.8</v>
      </c>
      <c r="H161" s="87">
        <f t="shared" si="157"/>
        <v>3357.8</v>
      </c>
      <c r="I161" s="91">
        <v>0</v>
      </c>
      <c r="J161" s="112">
        <v>0</v>
      </c>
      <c r="K161" s="17">
        <v>4</v>
      </c>
      <c r="L161" s="112">
        <f t="shared" si="190"/>
        <v>9.638554216867469E-3</v>
      </c>
      <c r="M161" s="116">
        <v>3.4064177512318952</v>
      </c>
      <c r="N161" s="120">
        <f t="shared" si="191"/>
        <v>3357.8</v>
      </c>
      <c r="O161" s="116">
        <v>3.0862358429147378</v>
      </c>
      <c r="P161" s="120">
        <f t="shared" si="192"/>
        <v>3357.8</v>
      </c>
      <c r="Q161" s="116">
        <v>0</v>
      </c>
      <c r="R161" s="120">
        <f t="shared" si="193"/>
        <v>0</v>
      </c>
      <c r="S161" s="5" t="s">
        <v>73</v>
      </c>
      <c r="T161" s="87">
        <v>28.44</v>
      </c>
      <c r="U161" s="88">
        <v>4.68</v>
      </c>
      <c r="V161" s="88">
        <v>6.05</v>
      </c>
      <c r="W161" s="88">
        <v>8.24</v>
      </c>
      <c r="X161" s="88">
        <v>6.34</v>
      </c>
      <c r="Y161" s="88">
        <v>2.89</v>
      </c>
      <c r="Z161" s="88">
        <v>0</v>
      </c>
      <c r="AA161" s="88">
        <v>0</v>
      </c>
      <c r="AB161" s="88">
        <v>0.24</v>
      </c>
      <c r="AC161" s="257"/>
      <c r="AD161" s="110">
        <f t="shared" si="194"/>
        <v>126058.50443289925</v>
      </c>
      <c r="AE161" s="110">
        <f t="shared" si="195"/>
        <v>125115.25792013605</v>
      </c>
      <c r="AF161" s="16">
        <f>SUMIF('20.01'!$I:$I,$B:$B,'20.01'!$D:$D)*1.2</f>
        <v>54821.039999999994</v>
      </c>
      <c r="AG161" s="17">
        <f t="shared" si="224"/>
        <v>21484.256339253163</v>
      </c>
      <c r="AH161" s="17">
        <f t="shared" si="196"/>
        <v>2564.0127114194875</v>
      </c>
      <c r="AI161" s="16">
        <f>SUMIF('20.01'!$J:$J,$B:$B,'20.01'!$D:$D)*1.2</f>
        <v>0</v>
      </c>
      <c r="AJ161" s="17">
        <f t="shared" si="197"/>
        <v>1041.9571214769965</v>
      </c>
      <c r="AK161" s="17">
        <f t="shared" si="198"/>
        <v>2534.8502008732244</v>
      </c>
      <c r="AL161" s="17">
        <f t="shared" si="199"/>
        <v>42669.141547113191</v>
      </c>
      <c r="AM161" s="110">
        <f t="shared" si="200"/>
        <v>0</v>
      </c>
      <c r="AN161" s="17">
        <f>SUMIF('20.01'!$K:$K,$B:$B,'20.01'!$D:$D)*1.2</f>
        <v>0</v>
      </c>
      <c r="AO161" s="17">
        <f>SUMIF('20.01'!$L:$L,$B:$B,'20.01'!$D:$D)*1.2</f>
        <v>0</v>
      </c>
      <c r="AP161" s="17">
        <f>SUMIF('20.01'!$M:$M,$B:$B,'20.01'!$D:$D)*1.2</f>
        <v>0</v>
      </c>
      <c r="AQ161" s="110">
        <f t="shared" si="201"/>
        <v>943.24651276320787</v>
      </c>
      <c r="AR161" s="17">
        <f t="shared" si="202"/>
        <v>943.24651276320787</v>
      </c>
      <c r="AS161" s="17">
        <f>(SUMIF('20.01'!$N:$N,$B:$B,'20.01'!$D:$D)+SUMIF('20.01'!$O:$O,$B:$B,'20.01'!$D:$D))*1.2</f>
        <v>0</v>
      </c>
      <c r="AT161" s="110">
        <f>SUMIF('20.01'!$P:$P,$B:$B,'20.01'!$D:$D)*1.2</f>
        <v>0</v>
      </c>
      <c r="AU161" s="110">
        <f t="shared" si="203"/>
        <v>0</v>
      </c>
      <c r="AV161" s="17">
        <f>SUMIF('20.01'!$Q:$Q,$B:$B,'20.01'!$D:$D)*1.2</f>
        <v>0</v>
      </c>
      <c r="AW161" s="17">
        <f>SUMIF('20.01'!$R:$R,$B:$B,'20.01'!$D:$D)*1.2</f>
        <v>0</v>
      </c>
      <c r="AX161" s="110">
        <f t="shared" si="204"/>
        <v>0</v>
      </c>
      <c r="AY161" s="17">
        <f>SUMIF('20.01'!$S:$S,$B:$B,'20.01'!$D:$D)*1.2</f>
        <v>0</v>
      </c>
      <c r="AZ161" s="17">
        <f>SUMIF('20.01'!$T:$T,$B:$B,'20.01'!$D:$D)*1.2</f>
        <v>0</v>
      </c>
      <c r="BA161" s="110">
        <f t="shared" si="205"/>
        <v>0</v>
      </c>
      <c r="BB161" s="17">
        <f>SUMIF('20.01'!$U:$U,$B:$B,'20.01'!$D:$D)*1.2</f>
        <v>0</v>
      </c>
      <c r="BC161" s="17">
        <f>SUMIF('20.01'!$V:$V,$B:$B,'20.01'!$D:$D)*1.2</f>
        <v>0</v>
      </c>
      <c r="BD161" s="17">
        <f>SUMIF('20.01'!$W:$W,$B:$B,'20.01'!$D:$D)*1.2</f>
        <v>0</v>
      </c>
      <c r="BE161" s="110">
        <f>SUMIF('20.01'!$X:$X,$B:$B,'20.01'!$D:$D)*1.2</f>
        <v>0</v>
      </c>
      <c r="BF161" s="110">
        <f t="shared" si="206"/>
        <v>0</v>
      </c>
      <c r="BG161" s="17">
        <f>SUMIF('20.01'!$Y:$Y,$B:$B,'20.01'!$D:$D)*1.2</f>
        <v>0</v>
      </c>
      <c r="BH161" s="17">
        <f>SUMIF('20.01'!$Z:$Z,$B:$B,'20.01'!$D:$D)*1.2</f>
        <v>0</v>
      </c>
      <c r="BI161" s="17">
        <f>SUMIF('20.01'!$AA:$AA,$B:$B,'20.01'!$D:$D)*1.2</f>
        <v>0</v>
      </c>
      <c r="BJ161" s="17">
        <f>SUMIF('20.01'!$AB:$AB,$B:$B,'20.01'!$D:$D)*1.2</f>
        <v>0</v>
      </c>
      <c r="BK161" s="17">
        <f>SUMIF('20.01'!$AC:$AC,$B:$B,'20.01'!$D:$D)*1.2</f>
        <v>0</v>
      </c>
      <c r="BL161" s="17">
        <f>SUMIF('20.01'!$AD:$AD,$B:$B,'20.01'!$D:$D)*1.2</f>
        <v>0</v>
      </c>
      <c r="BM161" s="110">
        <f t="shared" si="207"/>
        <v>0</v>
      </c>
      <c r="BN161" s="17">
        <f>SUMIF('20.01'!$AE:$AE,$B:$B,'20.01'!$D:$D)*1.2</f>
        <v>0</v>
      </c>
      <c r="BO161" s="17">
        <f>SUMIF('20.01'!$AF:$AF,$B:$B,'20.01'!$D:$D)*1.2</f>
        <v>0</v>
      </c>
      <c r="BP161" s="110">
        <f>SUMIF('20.01'!$AG:$AG,$B:$B,'20.01'!$D:$D)*1.2</f>
        <v>0</v>
      </c>
      <c r="BQ161" s="110">
        <f>SUMIF('20.01'!$AH:$AH,$B:$B,'20.01'!$D:$D)*1.2</f>
        <v>0</v>
      </c>
      <c r="BR161" s="110">
        <f>SUMIF('20.01'!$AI:$AI,$B:$B,'20.01'!$D:$D)*1.2</f>
        <v>0</v>
      </c>
      <c r="BS161" s="110">
        <f t="shared" si="208"/>
        <v>0</v>
      </c>
      <c r="BT161" s="17">
        <f>SUMIF('20.01'!$AJ:$AJ,$B:$B,'20.01'!$D:$D)*1.2</f>
        <v>0</v>
      </c>
      <c r="BU161" s="17">
        <f>SUMIF('20.01'!$AK:$AK,$B:$B,'20.01'!$D:$D)*1.2</f>
        <v>0</v>
      </c>
      <c r="BV161" s="110">
        <f>SUMIF('20.01'!$AL:$AL,$B:$B,'20.01'!$D:$D)*1.2</f>
        <v>0</v>
      </c>
      <c r="BW161" s="110">
        <f>SUMIF('20.01'!$AM:$AM,$B:$B,'20.01'!$D:$D)*1.2</f>
        <v>0</v>
      </c>
      <c r="BX161" s="110">
        <f>SUMIF('20.01'!$AN:$AN,$B:$B,'20.01'!$D:$D)*1.2</f>
        <v>0</v>
      </c>
      <c r="BY161" s="110">
        <f t="shared" si="158"/>
        <v>472888.34754373727</v>
      </c>
      <c r="BZ161" s="17">
        <f t="shared" si="225"/>
        <v>291593.83903118822</v>
      </c>
      <c r="CA161" s="17">
        <f t="shared" si="159"/>
        <v>20826.01852670886</v>
      </c>
      <c r="CB161" s="17">
        <f t="shared" si="160"/>
        <v>1384.4070487458116</v>
      </c>
      <c r="CC161" s="17">
        <f>SUMIF('20.01'!$AO:$AO,$B:$B,'20.01'!$D:$D)*1.2</f>
        <v>0</v>
      </c>
      <c r="CD161" s="17">
        <f t="shared" si="161"/>
        <v>21733.784590975269</v>
      </c>
      <c r="CE161" s="17">
        <f>SUMIF('20.01'!$AQ:$AQ,$B:$B,'20.01'!$D:$D)*1.2</f>
        <v>0</v>
      </c>
      <c r="CF161" s="17">
        <f t="shared" si="162"/>
        <v>1977.4308308300569</v>
      </c>
      <c r="CG161" s="17">
        <f>SUMIF('20.01'!$AR:$AR,$B:$B,'20.01'!$D:$D)*1.2</f>
        <v>133055.424</v>
      </c>
      <c r="CH161" s="17">
        <f t="shared" si="163"/>
        <v>1164.5632745831961</v>
      </c>
      <c r="CI161" s="17">
        <f>SUMIF('20.01'!$AT:$AT,$B:$B,'20.01'!$D:$D)*1.2</f>
        <v>0</v>
      </c>
      <c r="CJ161" s="17">
        <f>SUMIF('20.01'!$AU:$AU,$B:$B,'20.01'!$D:$D)*1.2</f>
        <v>0</v>
      </c>
      <c r="CK161" s="17">
        <f>SUMIF('20.01'!$AV:$AV,$B:$B,'20.01'!$D:$D)*1.2</f>
        <v>0</v>
      </c>
      <c r="CL161" s="17">
        <f t="shared" si="164"/>
        <v>1152.8802407058095</v>
      </c>
      <c r="CM161" s="17">
        <f>SUMIF('20.01'!$AW:$AW,$B:$B,'20.01'!$D:$D)*1.2</f>
        <v>0</v>
      </c>
      <c r="CN161" s="17">
        <f>SUMIF('20.01'!$AX:$AX,$B:$B,'20.01'!$D:$D)*1.2</f>
        <v>0</v>
      </c>
      <c r="CO161" s="110">
        <f t="shared" si="209"/>
        <v>386746.84357535408</v>
      </c>
      <c r="CP161" s="17">
        <f t="shared" si="210"/>
        <v>305081.91291237995</v>
      </c>
      <c r="CQ161" s="17">
        <f t="shared" si="165"/>
        <v>94121.967951030674</v>
      </c>
      <c r="CR161" s="17">
        <f t="shared" si="166"/>
        <v>210959.94496134925</v>
      </c>
      <c r="CS161" s="17">
        <f t="shared" si="211"/>
        <v>81664.930662974133</v>
      </c>
      <c r="CT161" s="17">
        <f t="shared" si="167"/>
        <v>2975.1250626374667</v>
      </c>
      <c r="CU161" s="17">
        <f t="shared" si="168"/>
        <v>2877.6406198180348</v>
      </c>
      <c r="CV161" s="17">
        <f t="shared" si="169"/>
        <v>2974.1044744404358</v>
      </c>
      <c r="CW161" s="17">
        <f t="shared" si="170"/>
        <v>31.186760036457517</v>
      </c>
      <c r="CX161" s="17">
        <f t="shared" si="171"/>
        <v>43914.093541450362</v>
      </c>
      <c r="CY161" s="17">
        <f t="shared" si="172"/>
        <v>28892.780204591385</v>
      </c>
      <c r="CZ161" s="110">
        <f t="shared" si="212"/>
        <v>96000.691283481603</v>
      </c>
      <c r="DA161" s="17">
        <f t="shared" si="213"/>
        <v>3626.3674460997122</v>
      </c>
      <c r="DB161" s="17">
        <f t="shared" si="173"/>
        <v>3441.2896817054684</v>
      </c>
      <c r="DC161" s="17">
        <f t="shared" si="174"/>
        <v>185.07776439424367</v>
      </c>
      <c r="DD161" s="17">
        <f t="shared" si="175"/>
        <v>6390.0754151557894</v>
      </c>
      <c r="DE161" s="17">
        <f t="shared" si="176"/>
        <v>2204.7443949741141</v>
      </c>
      <c r="DF161" s="17">
        <f t="shared" si="177"/>
        <v>2675.7644777805081</v>
      </c>
      <c r="DG161" s="17">
        <f t="shared" si="214"/>
        <v>81103.739549471473</v>
      </c>
      <c r="DH161" s="110">
        <f t="shared" si="215"/>
        <v>59911.930668720946</v>
      </c>
      <c r="DI161" s="17">
        <f t="shared" si="178"/>
        <v>53743.444555245842</v>
      </c>
      <c r="DJ161" s="17">
        <f t="shared" si="179"/>
        <v>5943.7091686183003</v>
      </c>
      <c r="DK161" s="17">
        <f t="shared" si="180"/>
        <v>224.77694485680891</v>
      </c>
      <c r="DL161" s="110">
        <f t="shared" si="216"/>
        <v>356178.61587998935</v>
      </c>
      <c r="DM161" s="17">
        <f t="shared" si="181"/>
        <v>188774.66641639435</v>
      </c>
      <c r="DN161" s="17">
        <f t="shared" si="182"/>
        <v>167403.949463595</v>
      </c>
      <c r="DO161" s="17">
        <f t="shared" si="183"/>
        <v>0</v>
      </c>
      <c r="DP161" s="110">
        <f t="shared" si="217"/>
        <v>0</v>
      </c>
      <c r="DQ161" s="17">
        <f>SUMIF('20.01'!$BB:$BB,$B:$B,'20.01'!$D:$D)*1.2</f>
        <v>0</v>
      </c>
      <c r="DR161" s="17">
        <f t="shared" si="184"/>
        <v>0</v>
      </c>
      <c r="DS161" s="17">
        <f t="shared" si="185"/>
        <v>0</v>
      </c>
      <c r="DT161" s="110">
        <f t="shared" si="218"/>
        <v>6637.7640000000001</v>
      </c>
      <c r="DU161" s="17">
        <f>SUMIF('20.01'!$BD:$BD,$B:$B,'20.01'!$D:$D)*1.2</f>
        <v>6637.7640000000001</v>
      </c>
      <c r="DV161" s="17">
        <f t="shared" si="186"/>
        <v>0</v>
      </c>
      <c r="DW161" s="17">
        <f t="shared" si="187"/>
        <v>0</v>
      </c>
      <c r="DX161" s="110">
        <f t="shared" si="188"/>
        <v>1504422.6973841824</v>
      </c>
      <c r="DY161" s="110"/>
      <c r="DZ161" s="110">
        <f t="shared" si="219"/>
        <v>1504422.6973841824</v>
      </c>
      <c r="EA161" s="257"/>
      <c r="EB161" s="110">
        <f t="shared" si="189"/>
        <v>3546.2168674698792</v>
      </c>
      <c r="EC161" s="110">
        <f>SUMIF(еирц!$B:$B,$B:$B,еирц!$K:$K)</f>
        <v>1123990.92</v>
      </c>
      <c r="ED161" s="110">
        <f>SUMIF(еирц!$B:$B,$B:$B,еирц!$P:$P)</f>
        <v>1181717.99</v>
      </c>
      <c r="EE161" s="110">
        <f>SUMIF(еирц!$B:$B,$B:$B,еирц!$S:$S)</f>
        <v>483053.58</v>
      </c>
      <c r="EF161" s="177">
        <f t="shared" si="220"/>
        <v>-376885.56051671249</v>
      </c>
      <c r="EG161" s="181">
        <f t="shared" si="221"/>
        <v>0</v>
      </c>
      <c r="EH161" s="177">
        <f t="shared" si="222"/>
        <v>-376885.56051671249</v>
      </c>
    </row>
    <row r="162" spans="1:138" ht="12" customHeight="1" x14ac:dyDescent="0.25">
      <c r="A162" s="5">
        <f t="shared" si="223"/>
        <v>158</v>
      </c>
      <c r="B162" s="6" t="s">
        <v>242</v>
      </c>
      <c r="C162" s="7">
        <f t="shared" si="226"/>
        <v>4948.74</v>
      </c>
      <c r="D162" s="8">
        <v>4641.3</v>
      </c>
      <c r="E162" s="8">
        <v>307.44</v>
      </c>
      <c r="F162" s="8">
        <v>379.6</v>
      </c>
      <c r="G162" s="91">
        <f t="shared" si="156"/>
        <v>4948.74</v>
      </c>
      <c r="H162" s="87">
        <f t="shared" si="157"/>
        <v>0</v>
      </c>
      <c r="I162" s="91">
        <v>3</v>
      </c>
      <c r="J162" s="112">
        <v>7.7711871527259679E-3</v>
      </c>
      <c r="K162" s="17">
        <v>3</v>
      </c>
      <c r="L162" s="112">
        <f t="shared" si="190"/>
        <v>7.2289156626506026E-3</v>
      </c>
      <c r="M162" s="116">
        <v>3.4064184264449722</v>
      </c>
      <c r="N162" s="120">
        <f t="shared" si="191"/>
        <v>4948.74</v>
      </c>
      <c r="O162" s="116">
        <v>3.0862322058627396</v>
      </c>
      <c r="P162" s="120">
        <f t="shared" si="192"/>
        <v>4948.74</v>
      </c>
      <c r="Q162" s="116">
        <v>1.6009266733218284</v>
      </c>
      <c r="R162" s="120">
        <f t="shared" si="193"/>
        <v>4948.74</v>
      </c>
      <c r="S162" s="5" t="s">
        <v>73</v>
      </c>
      <c r="T162" s="87">
        <v>41.1</v>
      </c>
      <c r="U162" s="88">
        <v>4.68</v>
      </c>
      <c r="V162" s="88">
        <v>7.92</v>
      </c>
      <c r="W162" s="88">
        <v>12.32</v>
      </c>
      <c r="X162" s="88">
        <v>6.34</v>
      </c>
      <c r="Y162" s="88">
        <v>2.89</v>
      </c>
      <c r="Z162" s="88">
        <v>1.66</v>
      </c>
      <c r="AA162" s="88">
        <v>5.29</v>
      </c>
      <c r="AB162" s="88">
        <v>0</v>
      </c>
      <c r="AC162" s="257"/>
      <c r="AD162" s="110">
        <f t="shared" si="194"/>
        <v>439824.38773603726</v>
      </c>
      <c r="AE162" s="110">
        <f t="shared" si="195"/>
        <v>248597.71899162966</v>
      </c>
      <c r="AF162" s="16">
        <f>SUMIF('20.01'!$I:$I,$B:$B,'20.01'!$D:$D)*1.2</f>
        <v>144997.79999999999</v>
      </c>
      <c r="AG162" s="17">
        <f t="shared" si="224"/>
        <v>31663.588872570046</v>
      </c>
      <c r="AH162" s="17">
        <f t="shared" si="196"/>
        <v>3778.8528993716341</v>
      </c>
      <c r="AI162" s="16">
        <f>SUMIF('20.01'!$J:$J,$B:$B,'20.01'!$D:$D)*1.2</f>
        <v>0</v>
      </c>
      <c r="AJ162" s="17">
        <f t="shared" si="197"/>
        <v>1535.6408616767142</v>
      </c>
      <c r="AK162" s="17">
        <f t="shared" si="198"/>
        <v>3735.8730666118768</v>
      </c>
      <c r="AL162" s="17">
        <f t="shared" si="199"/>
        <v>62885.963291399399</v>
      </c>
      <c r="AM162" s="110">
        <f t="shared" si="200"/>
        <v>0</v>
      </c>
      <c r="AN162" s="17">
        <f>SUMIF('20.01'!$K:$K,$B:$B,'20.01'!$D:$D)*1.2</f>
        <v>0</v>
      </c>
      <c r="AO162" s="17">
        <f>SUMIF('20.01'!$L:$L,$B:$B,'20.01'!$D:$D)*1.2</f>
        <v>0</v>
      </c>
      <c r="AP162" s="17">
        <f>SUMIF('20.01'!$M:$M,$B:$B,'20.01'!$D:$D)*1.2</f>
        <v>0</v>
      </c>
      <c r="AQ162" s="110">
        <f t="shared" si="201"/>
        <v>1390.1607444075873</v>
      </c>
      <c r="AR162" s="17">
        <f t="shared" si="202"/>
        <v>1390.1607444075873</v>
      </c>
      <c r="AS162" s="17">
        <f>(SUMIF('20.01'!$N:$N,$B:$B,'20.01'!$D:$D)+SUMIF('20.01'!$O:$O,$B:$B,'20.01'!$D:$D))*1.2</f>
        <v>0</v>
      </c>
      <c r="AT162" s="110">
        <f>SUMIF('20.01'!$P:$P,$B:$B,'20.01'!$D:$D)*1.2</f>
        <v>0</v>
      </c>
      <c r="AU162" s="110">
        <f t="shared" si="203"/>
        <v>0</v>
      </c>
      <c r="AV162" s="17">
        <f>SUMIF('20.01'!$Q:$Q,$B:$B,'20.01'!$D:$D)*1.2</f>
        <v>0</v>
      </c>
      <c r="AW162" s="17">
        <f>SUMIF('20.01'!$R:$R,$B:$B,'20.01'!$D:$D)*1.2</f>
        <v>0</v>
      </c>
      <c r="AX162" s="110">
        <f t="shared" si="204"/>
        <v>189836.508</v>
      </c>
      <c r="AY162" s="17">
        <f>SUMIF('20.01'!$S:$S,$B:$B,'20.01'!$D:$D)*1.2</f>
        <v>189836.508</v>
      </c>
      <c r="AZ162" s="17">
        <f>SUMIF('20.01'!$T:$T,$B:$B,'20.01'!$D:$D)*1.2</f>
        <v>0</v>
      </c>
      <c r="BA162" s="110">
        <f t="shared" si="205"/>
        <v>0</v>
      </c>
      <c r="BB162" s="17">
        <f>SUMIF('20.01'!$U:$U,$B:$B,'20.01'!$D:$D)*1.2</f>
        <v>0</v>
      </c>
      <c r="BC162" s="17">
        <f>SUMIF('20.01'!$V:$V,$B:$B,'20.01'!$D:$D)*1.2</f>
        <v>0</v>
      </c>
      <c r="BD162" s="17">
        <f>SUMIF('20.01'!$W:$W,$B:$B,'20.01'!$D:$D)*1.2</f>
        <v>0</v>
      </c>
      <c r="BE162" s="110">
        <f>SUMIF('20.01'!$X:$X,$B:$B,'20.01'!$D:$D)*1.2</f>
        <v>0</v>
      </c>
      <c r="BF162" s="110">
        <f t="shared" si="206"/>
        <v>0</v>
      </c>
      <c r="BG162" s="17">
        <f>SUMIF('20.01'!$Y:$Y,$B:$B,'20.01'!$D:$D)*1.2</f>
        <v>0</v>
      </c>
      <c r="BH162" s="17">
        <f>SUMIF('20.01'!$Z:$Z,$B:$B,'20.01'!$D:$D)*1.2</f>
        <v>0</v>
      </c>
      <c r="BI162" s="17">
        <f>SUMIF('20.01'!$AA:$AA,$B:$B,'20.01'!$D:$D)*1.2</f>
        <v>0</v>
      </c>
      <c r="BJ162" s="17">
        <f>SUMIF('20.01'!$AB:$AB,$B:$B,'20.01'!$D:$D)*1.2</f>
        <v>0</v>
      </c>
      <c r="BK162" s="17">
        <f>SUMIF('20.01'!$AC:$AC,$B:$B,'20.01'!$D:$D)*1.2</f>
        <v>0</v>
      </c>
      <c r="BL162" s="17">
        <f>SUMIF('20.01'!$AD:$AD,$B:$B,'20.01'!$D:$D)*1.2</f>
        <v>0</v>
      </c>
      <c r="BM162" s="110">
        <f t="shared" si="207"/>
        <v>0</v>
      </c>
      <c r="BN162" s="17">
        <f>SUMIF('20.01'!$AE:$AE,$B:$B,'20.01'!$D:$D)*1.2</f>
        <v>0</v>
      </c>
      <c r="BO162" s="17">
        <f>SUMIF('20.01'!$AF:$AF,$B:$B,'20.01'!$D:$D)*1.2</f>
        <v>0</v>
      </c>
      <c r="BP162" s="110">
        <f>SUMIF('20.01'!$AG:$AG,$B:$B,'20.01'!$D:$D)*1.2</f>
        <v>0</v>
      </c>
      <c r="BQ162" s="110">
        <f>SUMIF('20.01'!$AH:$AH,$B:$B,'20.01'!$D:$D)*1.2</f>
        <v>0</v>
      </c>
      <c r="BR162" s="110">
        <f>SUMIF('20.01'!$AI:$AI,$B:$B,'20.01'!$D:$D)*1.2</f>
        <v>0</v>
      </c>
      <c r="BS162" s="110">
        <f t="shared" si="208"/>
        <v>0</v>
      </c>
      <c r="BT162" s="17">
        <f>SUMIF('20.01'!$AJ:$AJ,$B:$B,'20.01'!$D:$D)*1.2</f>
        <v>0</v>
      </c>
      <c r="BU162" s="17">
        <f>SUMIF('20.01'!$AK:$AK,$B:$B,'20.01'!$D:$D)*1.2</f>
        <v>0</v>
      </c>
      <c r="BV162" s="110">
        <f>SUMIF('20.01'!$AL:$AL,$B:$B,'20.01'!$D:$D)*1.2</f>
        <v>0</v>
      </c>
      <c r="BW162" s="110">
        <f>SUMIF('20.01'!$AM:$AM,$B:$B,'20.01'!$D:$D)*1.2</f>
        <v>0</v>
      </c>
      <c r="BX162" s="110">
        <f>SUMIF('20.01'!$AN:$AN,$B:$B,'20.01'!$D:$D)*1.2</f>
        <v>0</v>
      </c>
      <c r="BY162" s="110">
        <f t="shared" si="158"/>
        <v>583710.63605153188</v>
      </c>
      <c r="BZ162" s="17">
        <f t="shared" si="225"/>
        <v>429752.24699720117</v>
      </c>
      <c r="CA162" s="17">
        <f t="shared" si="159"/>
        <v>30693.475169416044</v>
      </c>
      <c r="CB162" s="17">
        <f t="shared" si="160"/>
        <v>2040.3450290101694</v>
      </c>
      <c r="CC162" s="17">
        <f>SUMIF('20.01'!$AO:$AO,$B:$B,'20.01'!$D:$D)*1.2</f>
        <v>0</v>
      </c>
      <c r="CD162" s="17">
        <f t="shared" si="161"/>
        <v>32031.34467709302</v>
      </c>
      <c r="CE162" s="17">
        <f>SUMIF('20.01'!$AQ:$AQ,$B:$B,'20.01'!$D:$D)*1.2</f>
        <v>0</v>
      </c>
      <c r="CF162" s="17">
        <f t="shared" si="162"/>
        <v>2914.3460151771801</v>
      </c>
      <c r="CG162" s="17">
        <f>SUMIF('20.01'!$AR:$AR,$B:$B,'20.01'!$D:$D)*1.2</f>
        <v>82863.42</v>
      </c>
      <c r="CH162" s="17">
        <f t="shared" si="163"/>
        <v>1716.338334463293</v>
      </c>
      <c r="CI162" s="17">
        <f>SUMIF('20.01'!$AT:$AT,$B:$B,'20.01'!$D:$D)*1.2</f>
        <v>0</v>
      </c>
      <c r="CJ162" s="17">
        <f>SUMIF('20.01'!$AU:$AU,$B:$B,'20.01'!$D:$D)*1.2</f>
        <v>0</v>
      </c>
      <c r="CK162" s="17">
        <f>SUMIF('20.01'!$AV:$AV,$B:$B,'20.01'!$D:$D)*1.2</f>
        <v>0</v>
      </c>
      <c r="CL162" s="17">
        <f t="shared" si="164"/>
        <v>1699.1198291710248</v>
      </c>
      <c r="CM162" s="17">
        <f>SUMIF('20.01'!$AW:$AW,$B:$B,'20.01'!$D:$D)*1.2</f>
        <v>0</v>
      </c>
      <c r="CN162" s="17">
        <f>SUMIF('20.01'!$AX:$AX,$B:$B,'20.01'!$D:$D)*1.2</f>
        <v>0</v>
      </c>
      <c r="CO162" s="110">
        <f t="shared" si="209"/>
        <v>569989.15202665352</v>
      </c>
      <c r="CP162" s="17">
        <f t="shared" si="210"/>
        <v>449631.0279665289</v>
      </c>
      <c r="CQ162" s="17">
        <f t="shared" si="165"/>
        <v>138717.35888914872</v>
      </c>
      <c r="CR162" s="17">
        <f t="shared" si="166"/>
        <v>310913.66907738021</v>
      </c>
      <c r="CS162" s="17">
        <f t="shared" si="211"/>
        <v>120358.12406012468</v>
      </c>
      <c r="CT162" s="17">
        <f t="shared" si="167"/>
        <v>4384.7520407637548</v>
      </c>
      <c r="CU162" s="17">
        <f t="shared" si="168"/>
        <v>4241.079052033564</v>
      </c>
      <c r="CV162" s="17">
        <f t="shared" si="169"/>
        <v>4383.2478935143126</v>
      </c>
      <c r="CW162" s="17">
        <f t="shared" si="170"/>
        <v>45.963180315331101</v>
      </c>
      <c r="CX162" s="17">
        <f t="shared" si="171"/>
        <v>64720.778864827284</v>
      </c>
      <c r="CY162" s="17">
        <f t="shared" si="172"/>
        <v>42582.303028670423</v>
      </c>
      <c r="CZ162" s="110">
        <f t="shared" si="212"/>
        <v>141486.22937108125</v>
      </c>
      <c r="DA162" s="17">
        <f t="shared" si="213"/>
        <v>5344.5558506198959</v>
      </c>
      <c r="DB162" s="17">
        <f t="shared" si="173"/>
        <v>5071.7874499502996</v>
      </c>
      <c r="DC162" s="17">
        <f t="shared" si="174"/>
        <v>272.76840066959596</v>
      </c>
      <c r="DD162" s="17">
        <f t="shared" si="175"/>
        <v>9417.7204747150099</v>
      </c>
      <c r="DE162" s="17">
        <f t="shared" si="176"/>
        <v>3249.3617181440814</v>
      </c>
      <c r="DF162" s="17">
        <f t="shared" si="177"/>
        <v>3943.5531305531927</v>
      </c>
      <c r="DG162" s="17">
        <f t="shared" si="214"/>
        <v>119531.03819704907</v>
      </c>
      <c r="DH162" s="110">
        <f t="shared" si="215"/>
        <v>88298.459639503868</v>
      </c>
      <c r="DI162" s="17">
        <f t="shared" si="178"/>
        <v>79207.318425256803</v>
      </c>
      <c r="DJ162" s="17">
        <f t="shared" si="179"/>
        <v>8759.8639916338452</v>
      </c>
      <c r="DK162" s="17">
        <f t="shared" si="180"/>
        <v>331.27722261322424</v>
      </c>
      <c r="DL162" s="110">
        <f t="shared" si="216"/>
        <v>668166.81416533538</v>
      </c>
      <c r="DM162" s="17">
        <f t="shared" si="181"/>
        <v>278216.91068004863</v>
      </c>
      <c r="DN162" s="17">
        <f t="shared" si="182"/>
        <v>246720.65664079785</v>
      </c>
      <c r="DO162" s="17">
        <f t="shared" si="183"/>
        <v>143229.24684448895</v>
      </c>
      <c r="DP162" s="110">
        <f t="shared" si="217"/>
        <v>223915.57989752488</v>
      </c>
      <c r="DQ162" s="17">
        <f>SUMIF('20.01'!$BB:$BB,$B:$B,'20.01'!$D:$D)*1.2</f>
        <v>9290.7839999999997</v>
      </c>
      <c r="DR162" s="17">
        <f t="shared" si="184"/>
        <v>213045.47285725744</v>
      </c>
      <c r="DS162" s="17">
        <f t="shared" si="185"/>
        <v>1579.3230402674333</v>
      </c>
      <c r="DT162" s="110">
        <f t="shared" si="218"/>
        <v>0</v>
      </c>
      <c r="DU162" s="17">
        <f>SUMIF('20.01'!$BD:$BD,$B:$B,'20.01'!$D:$D)*1.2</f>
        <v>0</v>
      </c>
      <c r="DV162" s="17">
        <f t="shared" si="186"/>
        <v>0</v>
      </c>
      <c r="DW162" s="17">
        <f t="shared" si="187"/>
        <v>0</v>
      </c>
      <c r="DX162" s="110">
        <f t="shared" si="188"/>
        <v>2715391.2588876681</v>
      </c>
      <c r="DY162" s="110"/>
      <c r="DZ162" s="110">
        <f t="shared" si="219"/>
        <v>2715391.2588876681</v>
      </c>
      <c r="EA162" s="257"/>
      <c r="EB162" s="110">
        <f t="shared" si="189"/>
        <v>2659.6626506024099</v>
      </c>
      <c r="EC162" s="110">
        <f>SUMIF(еирц!$B:$B,$B:$B,еирц!$K:$K)</f>
        <v>2203451.6800000002</v>
      </c>
      <c r="ED162" s="110">
        <f>SUMIF(еирц!$B:$B,$B:$B,еирц!$P:$P)</f>
        <v>2332715.3199999998</v>
      </c>
      <c r="EE162" s="110">
        <f>SUMIF(еирц!$B:$B,$B:$B,еирц!$S:$S)</f>
        <v>209515.51999999999</v>
      </c>
      <c r="EF162" s="177">
        <f t="shared" si="220"/>
        <v>-509279.91623706557</v>
      </c>
      <c r="EG162" s="181">
        <f t="shared" si="221"/>
        <v>0</v>
      </c>
      <c r="EH162" s="177">
        <f t="shared" si="222"/>
        <v>-509279.91623706557</v>
      </c>
    </row>
    <row r="163" spans="1:138" ht="12" customHeight="1" x14ac:dyDescent="0.25">
      <c r="A163" s="5">
        <f t="shared" si="223"/>
        <v>159</v>
      </c>
      <c r="B163" s="6" t="s">
        <v>243</v>
      </c>
      <c r="C163" s="7">
        <f t="shared" si="226"/>
        <v>2466.6</v>
      </c>
      <c r="D163" s="8">
        <v>2466.6</v>
      </c>
      <c r="E163" s="8">
        <v>0</v>
      </c>
      <c r="F163" s="8">
        <v>283.8</v>
      </c>
      <c r="G163" s="87">
        <f t="shared" si="156"/>
        <v>2466.6</v>
      </c>
      <c r="H163" s="87">
        <f t="shared" si="157"/>
        <v>2466.6</v>
      </c>
      <c r="I163" s="91">
        <v>0</v>
      </c>
      <c r="J163" s="112">
        <v>0</v>
      </c>
      <c r="K163" s="17">
        <v>0</v>
      </c>
      <c r="L163" s="112">
        <f t="shared" si="190"/>
        <v>0</v>
      </c>
      <c r="M163" s="116">
        <v>3.406415109084989</v>
      </c>
      <c r="N163" s="120">
        <f t="shared" si="191"/>
        <v>2466.6</v>
      </c>
      <c r="O163" s="116">
        <v>3.0862294692282646</v>
      </c>
      <c r="P163" s="120">
        <f t="shared" si="192"/>
        <v>2466.6</v>
      </c>
      <c r="Q163" s="116">
        <v>0</v>
      </c>
      <c r="R163" s="120">
        <f t="shared" si="193"/>
        <v>0</v>
      </c>
      <c r="S163" s="5" t="s">
        <v>73</v>
      </c>
      <c r="T163" s="87">
        <v>28.44</v>
      </c>
      <c r="U163" s="88">
        <v>4.68</v>
      </c>
      <c r="V163" s="88">
        <v>6.05</v>
      </c>
      <c r="W163" s="88">
        <v>8.24</v>
      </c>
      <c r="X163" s="88">
        <v>6.34</v>
      </c>
      <c r="Y163" s="88">
        <v>2.89</v>
      </c>
      <c r="Z163" s="88">
        <v>0</v>
      </c>
      <c r="AA163" s="88">
        <v>0</v>
      </c>
      <c r="AB163" s="88">
        <v>0.24</v>
      </c>
      <c r="AC163" s="257"/>
      <c r="AD163" s="110">
        <f t="shared" si="194"/>
        <v>257633.44329757261</v>
      </c>
      <c r="AE163" s="110">
        <f t="shared" si="195"/>
        <v>143007.8656120697</v>
      </c>
      <c r="AF163" s="16">
        <f>SUMIF('20.01'!$I:$I,$B:$B,'20.01'!$D:$D)*1.2</f>
        <v>91370.567999999999</v>
      </c>
      <c r="AG163" s="17">
        <f t="shared" si="224"/>
        <v>15782.079542081676</v>
      </c>
      <c r="AH163" s="17">
        <f t="shared" si="196"/>
        <v>1883.4932854807632</v>
      </c>
      <c r="AI163" s="16">
        <f>SUMIF('20.01'!$J:$J,$B:$B,'20.01'!$D:$D)*1.2</f>
        <v>0</v>
      </c>
      <c r="AJ163" s="17">
        <f t="shared" si="197"/>
        <v>765.40932629553845</v>
      </c>
      <c r="AK163" s="17">
        <f t="shared" si="198"/>
        <v>1862.0708515914871</v>
      </c>
      <c r="AL163" s="17">
        <f t="shared" si="199"/>
        <v>31344.244606620221</v>
      </c>
      <c r="AM163" s="110">
        <f t="shared" si="200"/>
        <v>0</v>
      </c>
      <c r="AN163" s="17">
        <f>SUMIF('20.01'!$K:$K,$B:$B,'20.01'!$D:$D)*1.2</f>
        <v>0</v>
      </c>
      <c r="AO163" s="17">
        <f>SUMIF('20.01'!$L:$L,$B:$B,'20.01'!$D:$D)*1.2</f>
        <v>0</v>
      </c>
      <c r="AP163" s="17">
        <f>SUMIF('20.01'!$M:$M,$B:$B,'20.01'!$D:$D)*1.2</f>
        <v>0</v>
      </c>
      <c r="AQ163" s="110">
        <f t="shared" si="201"/>
        <v>692.89768550292706</v>
      </c>
      <c r="AR163" s="17">
        <f t="shared" si="202"/>
        <v>692.89768550292706</v>
      </c>
      <c r="AS163" s="17">
        <f>(SUMIF('20.01'!$N:$N,$B:$B,'20.01'!$D:$D)+SUMIF('20.01'!$O:$O,$B:$B,'20.01'!$D:$D))*1.2</f>
        <v>0</v>
      </c>
      <c r="AT163" s="110">
        <f>SUMIF('20.01'!$P:$P,$B:$B,'20.01'!$D:$D)*1.2</f>
        <v>0</v>
      </c>
      <c r="AU163" s="110">
        <f t="shared" si="203"/>
        <v>0</v>
      </c>
      <c r="AV163" s="17">
        <f>SUMIF('20.01'!$Q:$Q,$B:$B,'20.01'!$D:$D)*1.2</f>
        <v>0</v>
      </c>
      <c r="AW163" s="17">
        <f>SUMIF('20.01'!$R:$R,$B:$B,'20.01'!$D:$D)*1.2</f>
        <v>0</v>
      </c>
      <c r="AX163" s="110">
        <f t="shared" si="204"/>
        <v>113932.68</v>
      </c>
      <c r="AY163" s="17">
        <f>SUMIF('20.01'!$S:$S,$B:$B,'20.01'!$D:$D)*1.2</f>
        <v>113932.68</v>
      </c>
      <c r="AZ163" s="17">
        <f>SUMIF('20.01'!$T:$T,$B:$B,'20.01'!$D:$D)*1.2</f>
        <v>0</v>
      </c>
      <c r="BA163" s="110">
        <f t="shared" si="205"/>
        <v>0</v>
      </c>
      <c r="BB163" s="17">
        <f>SUMIF('20.01'!$U:$U,$B:$B,'20.01'!$D:$D)*1.2</f>
        <v>0</v>
      </c>
      <c r="BC163" s="17">
        <f>SUMIF('20.01'!$V:$V,$B:$B,'20.01'!$D:$D)*1.2</f>
        <v>0</v>
      </c>
      <c r="BD163" s="17">
        <f>SUMIF('20.01'!$W:$W,$B:$B,'20.01'!$D:$D)*1.2</f>
        <v>0</v>
      </c>
      <c r="BE163" s="110">
        <f>SUMIF('20.01'!$X:$X,$B:$B,'20.01'!$D:$D)*1.2</f>
        <v>0</v>
      </c>
      <c r="BF163" s="110">
        <f t="shared" si="206"/>
        <v>0</v>
      </c>
      <c r="BG163" s="17">
        <f>SUMIF('20.01'!$Y:$Y,$B:$B,'20.01'!$D:$D)*1.2</f>
        <v>0</v>
      </c>
      <c r="BH163" s="17">
        <f>SUMIF('20.01'!$Z:$Z,$B:$B,'20.01'!$D:$D)*1.2</f>
        <v>0</v>
      </c>
      <c r="BI163" s="17">
        <f>SUMIF('20.01'!$AA:$AA,$B:$B,'20.01'!$D:$D)*1.2</f>
        <v>0</v>
      </c>
      <c r="BJ163" s="17">
        <f>SUMIF('20.01'!$AB:$AB,$B:$B,'20.01'!$D:$D)*1.2</f>
        <v>0</v>
      </c>
      <c r="BK163" s="17">
        <f>SUMIF('20.01'!$AC:$AC,$B:$B,'20.01'!$D:$D)*1.2</f>
        <v>0</v>
      </c>
      <c r="BL163" s="17">
        <f>SUMIF('20.01'!$AD:$AD,$B:$B,'20.01'!$D:$D)*1.2</f>
        <v>0</v>
      </c>
      <c r="BM163" s="110">
        <f t="shared" si="207"/>
        <v>0</v>
      </c>
      <c r="BN163" s="17">
        <f>SUMIF('20.01'!$AE:$AE,$B:$B,'20.01'!$D:$D)*1.2</f>
        <v>0</v>
      </c>
      <c r="BO163" s="17">
        <f>SUMIF('20.01'!$AF:$AF,$B:$B,'20.01'!$D:$D)*1.2</f>
        <v>0</v>
      </c>
      <c r="BP163" s="110">
        <f>SUMIF('20.01'!$AG:$AG,$B:$B,'20.01'!$D:$D)*1.2</f>
        <v>0</v>
      </c>
      <c r="BQ163" s="110">
        <f>SUMIF('20.01'!$AH:$AH,$B:$B,'20.01'!$D:$D)*1.2</f>
        <v>0</v>
      </c>
      <c r="BR163" s="110">
        <f>SUMIF('20.01'!$AI:$AI,$B:$B,'20.01'!$D:$D)*1.2</f>
        <v>0</v>
      </c>
      <c r="BS163" s="110">
        <f t="shared" si="208"/>
        <v>0</v>
      </c>
      <c r="BT163" s="17">
        <f>SUMIF('20.01'!$AJ:$AJ,$B:$B,'20.01'!$D:$D)*1.2</f>
        <v>0</v>
      </c>
      <c r="BU163" s="17">
        <f>SUMIF('20.01'!$AK:$AK,$B:$B,'20.01'!$D:$D)*1.2</f>
        <v>0</v>
      </c>
      <c r="BV163" s="110">
        <f>SUMIF('20.01'!$AL:$AL,$B:$B,'20.01'!$D:$D)*1.2</f>
        <v>0</v>
      </c>
      <c r="BW163" s="110">
        <f>SUMIF('20.01'!$AM:$AM,$B:$B,'20.01'!$D:$D)*1.2</f>
        <v>0</v>
      </c>
      <c r="BX163" s="110">
        <f>SUMIF('20.01'!$AN:$AN,$B:$B,'20.01'!$D:$D)*1.2</f>
        <v>0</v>
      </c>
      <c r="BY163" s="110">
        <f t="shared" si="158"/>
        <v>324480.83349936921</v>
      </c>
      <c r="BZ163" s="17">
        <f t="shared" si="225"/>
        <v>214201.37094357281</v>
      </c>
      <c r="CA163" s="17">
        <f t="shared" si="159"/>
        <v>15298.545862761352</v>
      </c>
      <c r="CB163" s="17">
        <f t="shared" si="160"/>
        <v>1016.9689756496571</v>
      </c>
      <c r="CC163" s="17">
        <f>SUMIF('20.01'!$AO:$AO,$B:$B,'20.01'!$D:$D)*1.2</f>
        <v>0</v>
      </c>
      <c r="CD163" s="17">
        <f t="shared" si="161"/>
        <v>15965.380032193578</v>
      </c>
      <c r="CE163" s="17">
        <f>SUMIF('20.01'!$AQ:$AQ,$B:$B,'20.01'!$D:$D)*1.2</f>
        <v>0</v>
      </c>
      <c r="CF163" s="17">
        <f t="shared" si="162"/>
        <v>1452.5972027295902</v>
      </c>
      <c r="CG163" s="17">
        <f>SUMIF('20.01'!$AR:$AR,$B:$B,'20.01'!$D:$D)*1.2</f>
        <v>74843.603999999992</v>
      </c>
      <c r="CH163" s="17">
        <f t="shared" si="163"/>
        <v>855.47435019563738</v>
      </c>
      <c r="CI163" s="17">
        <f>SUMIF('20.01'!$AT:$AT,$B:$B,'20.01'!$D:$D)*1.2</f>
        <v>0</v>
      </c>
      <c r="CJ163" s="17">
        <f>SUMIF('20.01'!$AU:$AU,$B:$B,'20.01'!$D:$D)*1.2</f>
        <v>0</v>
      </c>
      <c r="CK163" s="17">
        <f>SUMIF('20.01'!$AV:$AV,$B:$B,'20.01'!$D:$D)*1.2</f>
        <v>0</v>
      </c>
      <c r="CL163" s="17">
        <f t="shared" si="164"/>
        <v>846.89213226664754</v>
      </c>
      <c r="CM163" s="17">
        <f>SUMIF('20.01'!$AW:$AW,$B:$B,'20.01'!$D:$D)*1.2</f>
        <v>0</v>
      </c>
      <c r="CN163" s="17">
        <f>SUMIF('20.01'!$AX:$AX,$B:$B,'20.01'!$D:$D)*1.2</f>
        <v>0</v>
      </c>
      <c r="CO163" s="110">
        <f t="shared" si="209"/>
        <v>284099.6379662184</v>
      </c>
      <c r="CP163" s="17">
        <f t="shared" si="210"/>
        <v>224109.54982121516</v>
      </c>
      <c r="CQ163" s="17">
        <f t="shared" si="165"/>
        <v>69140.879786768797</v>
      </c>
      <c r="CR163" s="17">
        <f t="shared" si="166"/>
        <v>154968.67003444638</v>
      </c>
      <c r="CS163" s="17">
        <f t="shared" si="211"/>
        <v>59990.088145003276</v>
      </c>
      <c r="CT163" s="17">
        <f t="shared" si="167"/>
        <v>2185.4915359764054</v>
      </c>
      <c r="CU163" s="17">
        <f t="shared" si="168"/>
        <v>2113.8806220868319</v>
      </c>
      <c r="CV163" s="17">
        <f t="shared" si="169"/>
        <v>2184.7418240082129</v>
      </c>
      <c r="CW163" s="17">
        <f t="shared" si="170"/>
        <v>22.909423523118146</v>
      </c>
      <c r="CX163" s="17">
        <f t="shared" si="171"/>
        <v>32258.771555584448</v>
      </c>
      <c r="CY163" s="17">
        <f t="shared" si="172"/>
        <v>21224.293183824258</v>
      </c>
      <c r="CZ163" s="110">
        <f t="shared" si="212"/>
        <v>70520.96763352066</v>
      </c>
      <c r="DA163" s="17">
        <f t="shared" si="213"/>
        <v>2663.886456176529</v>
      </c>
      <c r="DB163" s="17">
        <f t="shared" si="173"/>
        <v>2527.9305285885721</v>
      </c>
      <c r="DC163" s="17">
        <f t="shared" si="174"/>
        <v>135.95592758795681</v>
      </c>
      <c r="DD163" s="17">
        <f t="shared" si="175"/>
        <v>4694.0735061716805</v>
      </c>
      <c r="DE163" s="17">
        <f t="shared" si="176"/>
        <v>1619.5790471865953</v>
      </c>
      <c r="DF163" s="17">
        <f t="shared" si="177"/>
        <v>1965.5848057934961</v>
      </c>
      <c r="DG163" s="17">
        <f t="shared" si="214"/>
        <v>59577.843818192356</v>
      </c>
      <c r="DH163" s="110">
        <f t="shared" si="215"/>
        <v>44010.592705779709</v>
      </c>
      <c r="DI163" s="17">
        <f t="shared" si="178"/>
        <v>39479.296068845491</v>
      </c>
      <c r="DJ163" s="17">
        <f t="shared" si="179"/>
        <v>4366.1781628786403</v>
      </c>
      <c r="DK163" s="17">
        <f t="shared" si="180"/>
        <v>165.11847405557353</v>
      </c>
      <c r="DL163" s="110">
        <f t="shared" si="216"/>
        <v>261644.58095466724</v>
      </c>
      <c r="DM163" s="17">
        <f t="shared" si="181"/>
        <v>138671.62790597364</v>
      </c>
      <c r="DN163" s="17">
        <f t="shared" si="182"/>
        <v>122972.9530486936</v>
      </c>
      <c r="DO163" s="17">
        <f t="shared" si="183"/>
        <v>0</v>
      </c>
      <c r="DP163" s="110">
        <f t="shared" si="217"/>
        <v>0</v>
      </c>
      <c r="DQ163" s="17">
        <f>SUMIF('20.01'!$BB:$BB,$B:$B,'20.01'!$D:$D)*1.2</f>
        <v>0</v>
      </c>
      <c r="DR163" s="17">
        <f t="shared" si="184"/>
        <v>0</v>
      </c>
      <c r="DS163" s="17">
        <f t="shared" si="185"/>
        <v>0</v>
      </c>
      <c r="DT163" s="110">
        <f t="shared" si="218"/>
        <v>5689.5240000000003</v>
      </c>
      <c r="DU163" s="17">
        <f>SUMIF('20.01'!$BD:$BD,$B:$B,'20.01'!$D:$D)*1.2</f>
        <v>5689.5240000000003</v>
      </c>
      <c r="DV163" s="17">
        <f t="shared" si="186"/>
        <v>0</v>
      </c>
      <c r="DW163" s="17">
        <f t="shared" si="187"/>
        <v>0</v>
      </c>
      <c r="DX163" s="110">
        <f t="shared" si="188"/>
        <v>1248079.5800571279</v>
      </c>
      <c r="DY163" s="110"/>
      <c r="DZ163" s="110">
        <f t="shared" si="219"/>
        <v>1248079.5800571279</v>
      </c>
      <c r="EA163" s="257"/>
      <c r="EB163" s="110">
        <f t="shared" si="189"/>
        <v>0</v>
      </c>
      <c r="EC163" s="110">
        <f>SUMIF(еирц!$B:$B,$B:$B,еирц!$K:$K)</f>
        <v>609406.39999999991</v>
      </c>
      <c r="ED163" s="110">
        <f>SUMIF(еирц!$B:$B,$B:$B,еирц!$P:$P)</f>
        <v>585446.14</v>
      </c>
      <c r="EE163" s="110">
        <f>SUMIF(еирц!$B:$B,$B:$B,еирц!$S:$S)</f>
        <v>104878.06</v>
      </c>
      <c r="EF163" s="177">
        <f t="shared" si="220"/>
        <v>-638673.18005712796</v>
      </c>
      <c r="EG163" s="181">
        <f t="shared" si="221"/>
        <v>0</v>
      </c>
      <c r="EH163" s="177">
        <f t="shared" si="222"/>
        <v>-638673.18005712796</v>
      </c>
    </row>
    <row r="164" spans="1:138" ht="12" customHeight="1" x14ac:dyDescent="0.25">
      <c r="A164" s="5">
        <f t="shared" si="223"/>
        <v>160</v>
      </c>
      <c r="B164" s="6" t="s">
        <v>244</v>
      </c>
      <c r="C164" s="7">
        <f t="shared" si="226"/>
        <v>2921.9300000000003</v>
      </c>
      <c r="D164" s="8">
        <v>1982.23</v>
      </c>
      <c r="E164" s="8">
        <v>939.7</v>
      </c>
      <c r="F164" s="8">
        <v>273.8</v>
      </c>
      <c r="G164" s="87">
        <f t="shared" si="156"/>
        <v>2921.9300000000003</v>
      </c>
      <c r="H164" s="87">
        <f t="shared" si="157"/>
        <v>2921.9300000000003</v>
      </c>
      <c r="I164" s="91">
        <v>0</v>
      </c>
      <c r="J164" s="112">
        <v>0</v>
      </c>
      <c r="K164" s="17">
        <v>4</v>
      </c>
      <c r="L164" s="112">
        <f t="shared" si="190"/>
        <v>9.638554216867469E-3</v>
      </c>
      <c r="M164" s="116">
        <v>3.406414260524576</v>
      </c>
      <c r="N164" s="120">
        <f t="shared" si="191"/>
        <v>2921.9300000000003</v>
      </c>
      <c r="O164" s="116">
        <v>3.086229226361032</v>
      </c>
      <c r="P164" s="120">
        <f t="shared" si="192"/>
        <v>2921.9300000000003</v>
      </c>
      <c r="Q164" s="116">
        <v>0</v>
      </c>
      <c r="R164" s="120">
        <f t="shared" si="193"/>
        <v>0</v>
      </c>
      <c r="S164" s="5" t="s">
        <v>73</v>
      </c>
      <c r="T164" s="87">
        <v>28.44</v>
      </c>
      <c r="U164" s="88">
        <v>4.68</v>
      </c>
      <c r="V164" s="88">
        <v>6.05</v>
      </c>
      <c r="W164" s="88">
        <v>8.24</v>
      </c>
      <c r="X164" s="88">
        <v>6.34</v>
      </c>
      <c r="Y164" s="88">
        <v>2.89</v>
      </c>
      <c r="Z164" s="88">
        <v>0</v>
      </c>
      <c r="AA164" s="88">
        <v>0</v>
      </c>
      <c r="AB164" s="88">
        <v>0.24</v>
      </c>
      <c r="AC164" s="257"/>
      <c r="AD164" s="110">
        <f t="shared" si="194"/>
        <v>503914.55684984854</v>
      </c>
      <c r="AE164" s="110">
        <f t="shared" si="195"/>
        <v>107149.14347637835</v>
      </c>
      <c r="AF164" s="16">
        <f>SUMIF('20.01'!$I:$I,$B:$B,'20.01'!$D:$D)*1.2</f>
        <v>45979.692000000003</v>
      </c>
      <c r="AG164" s="17">
        <f t="shared" si="224"/>
        <v>18695.423528904044</v>
      </c>
      <c r="AH164" s="17">
        <f t="shared" si="196"/>
        <v>2231.1828166888863</v>
      </c>
      <c r="AI164" s="16">
        <f>SUMIF('20.01'!$J:$J,$B:$B,'20.01'!$D:$D)*1.2</f>
        <v>0</v>
      </c>
      <c r="AJ164" s="17">
        <f t="shared" si="197"/>
        <v>906.70253498042769</v>
      </c>
      <c r="AK164" s="17">
        <f t="shared" si="198"/>
        <v>2205.8058393702727</v>
      </c>
      <c r="AL164" s="17">
        <f t="shared" si="199"/>
        <v>37130.336756434706</v>
      </c>
      <c r="AM164" s="110">
        <f t="shared" si="200"/>
        <v>0</v>
      </c>
      <c r="AN164" s="17">
        <f>SUMIF('20.01'!$K:$K,$B:$B,'20.01'!$D:$D)*1.2</f>
        <v>0</v>
      </c>
      <c r="AO164" s="17">
        <f>SUMIF('20.01'!$L:$L,$B:$B,'20.01'!$D:$D)*1.2</f>
        <v>0</v>
      </c>
      <c r="AP164" s="17">
        <f>SUMIF('20.01'!$M:$M,$B:$B,'20.01'!$D:$D)*1.2</f>
        <v>0</v>
      </c>
      <c r="AQ164" s="110">
        <f t="shared" si="201"/>
        <v>820.8053734701889</v>
      </c>
      <c r="AR164" s="17">
        <f t="shared" si="202"/>
        <v>820.8053734701889</v>
      </c>
      <c r="AS164" s="17">
        <f>(SUMIF('20.01'!$N:$N,$B:$B,'20.01'!$D:$D)+SUMIF('20.01'!$O:$O,$B:$B,'20.01'!$D:$D))*1.2</f>
        <v>0</v>
      </c>
      <c r="AT164" s="110">
        <f>SUMIF('20.01'!$P:$P,$B:$B,'20.01'!$D:$D)*1.2</f>
        <v>0</v>
      </c>
      <c r="AU164" s="110">
        <f t="shared" si="203"/>
        <v>0</v>
      </c>
      <c r="AV164" s="17">
        <f>SUMIF('20.01'!$Q:$Q,$B:$B,'20.01'!$D:$D)*1.2</f>
        <v>0</v>
      </c>
      <c r="AW164" s="17">
        <f>SUMIF('20.01'!$R:$R,$B:$B,'20.01'!$D:$D)*1.2</f>
        <v>0</v>
      </c>
      <c r="AX164" s="110">
        <f t="shared" si="204"/>
        <v>0</v>
      </c>
      <c r="AY164" s="17">
        <f>SUMIF('20.01'!$S:$S,$B:$B,'20.01'!$D:$D)*1.2</f>
        <v>0</v>
      </c>
      <c r="AZ164" s="17">
        <f>SUMIF('20.01'!$T:$T,$B:$B,'20.01'!$D:$D)*1.2</f>
        <v>0</v>
      </c>
      <c r="BA164" s="110">
        <f t="shared" si="205"/>
        <v>0</v>
      </c>
      <c r="BB164" s="17">
        <f>SUMIF('20.01'!$U:$U,$B:$B,'20.01'!$D:$D)*1.2</f>
        <v>0</v>
      </c>
      <c r="BC164" s="17">
        <f>SUMIF('20.01'!$V:$V,$B:$B,'20.01'!$D:$D)*1.2</f>
        <v>0</v>
      </c>
      <c r="BD164" s="17">
        <f>SUMIF('20.01'!$W:$W,$B:$B,'20.01'!$D:$D)*1.2</f>
        <v>0</v>
      </c>
      <c r="BE164" s="110">
        <f>SUMIF('20.01'!$X:$X,$B:$B,'20.01'!$D:$D)*1.2</f>
        <v>0</v>
      </c>
      <c r="BF164" s="110">
        <f t="shared" si="206"/>
        <v>105247.2</v>
      </c>
      <c r="BG164" s="17">
        <f>SUMIF('20.01'!$Y:$Y,$B:$B,'20.01'!$D:$D)*1.2</f>
        <v>0</v>
      </c>
      <c r="BH164" s="17">
        <f>SUMIF('20.01'!$Z:$Z,$B:$B,'20.01'!$D:$D)*1.2</f>
        <v>105247.2</v>
      </c>
      <c r="BI164" s="17">
        <f>SUMIF('20.01'!$AA:$AA,$B:$B,'20.01'!$D:$D)*1.2</f>
        <v>0</v>
      </c>
      <c r="BJ164" s="17">
        <f>SUMIF('20.01'!$AB:$AB,$B:$B,'20.01'!$D:$D)*1.2</f>
        <v>0</v>
      </c>
      <c r="BK164" s="17">
        <f>SUMIF('20.01'!$AC:$AC,$B:$B,'20.01'!$D:$D)*1.2</f>
        <v>0</v>
      </c>
      <c r="BL164" s="17">
        <f>SUMIF('20.01'!$AD:$AD,$B:$B,'20.01'!$D:$D)*1.2</f>
        <v>0</v>
      </c>
      <c r="BM164" s="110">
        <f t="shared" si="207"/>
        <v>0</v>
      </c>
      <c r="BN164" s="17">
        <f>SUMIF('20.01'!$AE:$AE,$B:$B,'20.01'!$D:$D)*1.2</f>
        <v>0</v>
      </c>
      <c r="BO164" s="17">
        <f>SUMIF('20.01'!$AF:$AF,$B:$B,'20.01'!$D:$D)*1.2</f>
        <v>0</v>
      </c>
      <c r="BP164" s="110">
        <f>SUMIF('20.01'!$AG:$AG,$B:$B,'20.01'!$D:$D)*1.2</f>
        <v>0</v>
      </c>
      <c r="BQ164" s="110">
        <f>SUMIF('20.01'!$AH:$AH,$B:$B,'20.01'!$D:$D)*1.2</f>
        <v>0</v>
      </c>
      <c r="BR164" s="110">
        <f>SUMIF('20.01'!$AI:$AI,$B:$B,'20.01'!$D:$D)*1.2</f>
        <v>0</v>
      </c>
      <c r="BS164" s="110">
        <f t="shared" si="208"/>
        <v>0</v>
      </c>
      <c r="BT164" s="17">
        <f>SUMIF('20.01'!$AJ:$AJ,$B:$B,'20.01'!$D:$D)*1.2</f>
        <v>0</v>
      </c>
      <c r="BU164" s="17">
        <f>SUMIF('20.01'!$AK:$AK,$B:$B,'20.01'!$D:$D)*1.2</f>
        <v>0</v>
      </c>
      <c r="BV164" s="110">
        <f>SUMIF('20.01'!$AL:$AL,$B:$B,'20.01'!$D:$D)*1.2</f>
        <v>290697.408</v>
      </c>
      <c r="BW164" s="110">
        <f>SUMIF('20.01'!$AM:$AM,$B:$B,'20.01'!$D:$D)*1.2</f>
        <v>0</v>
      </c>
      <c r="BX164" s="110">
        <f>SUMIF('20.01'!$AN:$AN,$B:$B,'20.01'!$D:$D)*1.2</f>
        <v>0</v>
      </c>
      <c r="BY164" s="110">
        <f t="shared" si="158"/>
        <v>360740.14080235641</v>
      </c>
      <c r="BZ164" s="17">
        <f t="shared" si="225"/>
        <v>253742.56539412704</v>
      </c>
      <c r="CA164" s="17">
        <f t="shared" si="159"/>
        <v>18122.63038708274</v>
      </c>
      <c r="CB164" s="17">
        <f t="shared" si="160"/>
        <v>1204.6996509446212</v>
      </c>
      <c r="CC164" s="17">
        <f>SUMIF('20.01'!$AO:$AO,$B:$B,'20.01'!$D:$D)*1.2</f>
        <v>0</v>
      </c>
      <c r="CD164" s="17">
        <f t="shared" si="161"/>
        <v>18912.560965485845</v>
      </c>
      <c r="CE164" s="17">
        <f>SUMIF('20.01'!$AQ:$AQ,$B:$B,'20.01'!$D:$D)*1.2</f>
        <v>0</v>
      </c>
      <c r="CF164" s="17">
        <f t="shared" si="162"/>
        <v>1720.744078720373</v>
      </c>
      <c r="CG164" s="17">
        <f>SUMIF('20.01'!$AR:$AR,$B:$B,'20.01'!$D:$D)*1.2</f>
        <v>65020.319999999992</v>
      </c>
      <c r="CH164" s="17">
        <f t="shared" si="163"/>
        <v>1013.393403092167</v>
      </c>
      <c r="CI164" s="17">
        <f>SUMIF('20.01'!$AT:$AT,$B:$B,'20.01'!$D:$D)*1.2</f>
        <v>0</v>
      </c>
      <c r="CJ164" s="17">
        <f>SUMIF('20.01'!$AU:$AU,$B:$B,'20.01'!$D:$D)*1.2</f>
        <v>0</v>
      </c>
      <c r="CK164" s="17">
        <f>SUMIF('20.01'!$AV:$AV,$B:$B,'20.01'!$D:$D)*1.2</f>
        <v>0</v>
      </c>
      <c r="CL164" s="17">
        <f t="shared" si="164"/>
        <v>1003.2269229035458</v>
      </c>
      <c r="CM164" s="17">
        <f>SUMIF('20.01'!$AW:$AW,$B:$B,'20.01'!$D:$D)*1.2</f>
        <v>0</v>
      </c>
      <c r="CN164" s="17">
        <f>SUMIF('20.01'!$AX:$AX,$B:$B,'20.01'!$D:$D)*1.2</f>
        <v>0</v>
      </c>
      <c r="CO164" s="110">
        <f t="shared" si="209"/>
        <v>336543.92895590398</v>
      </c>
      <c r="CP164" s="17">
        <f t="shared" si="210"/>
        <v>265479.77657873323</v>
      </c>
      <c r="CQ164" s="17">
        <f t="shared" si="165"/>
        <v>81904.163980926533</v>
      </c>
      <c r="CR164" s="17">
        <f t="shared" si="166"/>
        <v>183575.61259780667</v>
      </c>
      <c r="CS164" s="17">
        <f t="shared" si="211"/>
        <v>71064.152377170773</v>
      </c>
      <c r="CT164" s="17">
        <f t="shared" si="167"/>
        <v>2588.9294104092837</v>
      </c>
      <c r="CU164" s="17">
        <f t="shared" si="168"/>
        <v>2504.099248396245</v>
      </c>
      <c r="CV164" s="17">
        <f t="shared" si="169"/>
        <v>2588.0413029369652</v>
      </c>
      <c r="CW164" s="17">
        <f t="shared" si="170"/>
        <v>27.138462610437287</v>
      </c>
      <c r="CX164" s="17">
        <f t="shared" si="171"/>
        <v>38213.683763645859</v>
      </c>
      <c r="CY164" s="17">
        <f t="shared" si="172"/>
        <v>25142.26018917199</v>
      </c>
      <c r="CZ164" s="110">
        <f t="shared" si="212"/>
        <v>83539.013604724329</v>
      </c>
      <c r="DA164" s="17">
        <f t="shared" si="213"/>
        <v>3155.6351872601499</v>
      </c>
      <c r="DB164" s="17">
        <f t="shared" si="173"/>
        <v>2994.5820357572397</v>
      </c>
      <c r="DC164" s="17">
        <f t="shared" si="174"/>
        <v>161.05315150291037</v>
      </c>
      <c r="DD164" s="17">
        <f t="shared" si="175"/>
        <v>5560.5911780946326</v>
      </c>
      <c r="DE164" s="17">
        <f t="shared" si="176"/>
        <v>1918.5504765044711</v>
      </c>
      <c r="DF164" s="17">
        <f t="shared" si="177"/>
        <v>2328.4282865451191</v>
      </c>
      <c r="DG164" s="17">
        <f t="shared" si="214"/>
        <v>70575.808476319959</v>
      </c>
      <c r="DH164" s="110">
        <f t="shared" si="215"/>
        <v>52134.870325467811</v>
      </c>
      <c r="DI164" s="17">
        <f t="shared" si="178"/>
        <v>46767.104338944991</v>
      </c>
      <c r="DJ164" s="17">
        <f t="shared" si="179"/>
        <v>5172.1669340225362</v>
      </c>
      <c r="DK164" s="17">
        <f t="shared" si="180"/>
        <v>195.59905250028461</v>
      </c>
      <c r="DL164" s="110">
        <f t="shared" si="216"/>
        <v>309943.70811192365</v>
      </c>
      <c r="DM164" s="17">
        <f t="shared" si="181"/>
        <v>164270.16529931955</v>
      </c>
      <c r="DN164" s="17">
        <f t="shared" si="182"/>
        <v>145673.54281260414</v>
      </c>
      <c r="DO164" s="17">
        <f t="shared" si="183"/>
        <v>0</v>
      </c>
      <c r="DP164" s="110">
        <f t="shared" si="217"/>
        <v>0</v>
      </c>
      <c r="DQ164" s="17">
        <f>SUMIF('20.01'!$BB:$BB,$B:$B,'20.01'!$D:$D)*1.2</f>
        <v>0</v>
      </c>
      <c r="DR164" s="17">
        <f t="shared" si="184"/>
        <v>0</v>
      </c>
      <c r="DS164" s="17">
        <f t="shared" si="185"/>
        <v>0</v>
      </c>
      <c r="DT164" s="110">
        <f t="shared" si="218"/>
        <v>4551.6120000000001</v>
      </c>
      <c r="DU164" s="17">
        <f>SUMIF('20.01'!$BD:$BD,$B:$B,'20.01'!$D:$D)*1.2</f>
        <v>4551.6120000000001</v>
      </c>
      <c r="DV164" s="17">
        <f t="shared" si="186"/>
        <v>0</v>
      </c>
      <c r="DW164" s="17">
        <f t="shared" si="187"/>
        <v>0</v>
      </c>
      <c r="DX164" s="110">
        <f t="shared" si="188"/>
        <v>1651367.8306502246</v>
      </c>
      <c r="DY164" s="110"/>
      <c r="DZ164" s="110">
        <f t="shared" si="219"/>
        <v>1651367.8306502246</v>
      </c>
      <c r="EA164" s="257"/>
      <c r="EB164" s="110">
        <f t="shared" si="189"/>
        <v>3546.2168674698792</v>
      </c>
      <c r="EC164" s="110">
        <f>SUMIF(еирц!$B:$B,$B:$B,еирц!$K:$K)</f>
        <v>227364.03000000003</v>
      </c>
      <c r="ED164" s="110">
        <f>SUMIF(еирц!$B:$B,$B:$B,еирц!$P:$P)</f>
        <v>407205.18000000005</v>
      </c>
      <c r="EE164" s="110">
        <f>SUMIF(еирц!$B:$B,$B:$B,еирц!$S:$S)</f>
        <v>-82627.59</v>
      </c>
      <c r="EF164" s="177">
        <f t="shared" si="220"/>
        <v>-1420457.5837827546</v>
      </c>
      <c r="EG164" s="181">
        <f t="shared" si="221"/>
        <v>0</v>
      </c>
      <c r="EH164" s="177">
        <f t="shared" si="222"/>
        <v>-1420457.5837827546</v>
      </c>
    </row>
    <row r="165" spans="1:138" ht="12" customHeight="1" x14ac:dyDescent="0.25">
      <c r="A165" s="5">
        <f t="shared" si="223"/>
        <v>161</v>
      </c>
      <c r="B165" s="6" t="s">
        <v>245</v>
      </c>
      <c r="C165" s="7">
        <f t="shared" si="226"/>
        <v>3423.1</v>
      </c>
      <c r="D165" s="8">
        <v>2691.7</v>
      </c>
      <c r="E165" s="8">
        <v>731.4</v>
      </c>
      <c r="F165" s="8">
        <v>366.3</v>
      </c>
      <c r="G165" s="87">
        <f t="shared" si="156"/>
        <v>3423.1</v>
      </c>
      <c r="H165" s="87">
        <f t="shared" si="157"/>
        <v>3423.1</v>
      </c>
      <c r="I165" s="91">
        <v>0</v>
      </c>
      <c r="J165" s="112">
        <v>0</v>
      </c>
      <c r="K165" s="17">
        <v>4</v>
      </c>
      <c r="L165" s="112">
        <f t="shared" si="190"/>
        <v>9.638554216867469E-3</v>
      </c>
      <c r="M165" s="116">
        <v>3.4064151163809471</v>
      </c>
      <c r="N165" s="120">
        <f t="shared" si="191"/>
        <v>3423.1</v>
      </c>
      <c r="O165" s="116">
        <v>3.0862285797727873</v>
      </c>
      <c r="P165" s="120">
        <f t="shared" si="192"/>
        <v>3423.1</v>
      </c>
      <c r="Q165" s="116">
        <v>0</v>
      </c>
      <c r="R165" s="120">
        <f t="shared" si="193"/>
        <v>0</v>
      </c>
      <c r="S165" s="5" t="s">
        <v>73</v>
      </c>
      <c r="T165" s="87">
        <v>28.44</v>
      </c>
      <c r="U165" s="88">
        <v>4.68</v>
      </c>
      <c r="V165" s="88">
        <v>6.05</v>
      </c>
      <c r="W165" s="88">
        <v>8.24</v>
      </c>
      <c r="X165" s="88">
        <v>6.34</v>
      </c>
      <c r="Y165" s="88">
        <v>2.89</v>
      </c>
      <c r="Z165" s="88">
        <v>0</v>
      </c>
      <c r="AA165" s="88">
        <v>0</v>
      </c>
      <c r="AB165" s="88">
        <v>0.24</v>
      </c>
      <c r="AC165" s="257"/>
      <c r="AD165" s="110">
        <f t="shared" si="194"/>
        <v>129730.2137212036</v>
      </c>
      <c r="AE165" s="110">
        <f t="shared" si="195"/>
        <v>113676.35565096722</v>
      </c>
      <c r="AF165" s="16">
        <f>SUMIF('20.01'!$I:$I,$B:$B,'20.01'!$D:$D)*1.2</f>
        <v>42015.107999999993</v>
      </c>
      <c r="AG165" s="17">
        <f t="shared" si="224"/>
        <v>21902.066196586307</v>
      </c>
      <c r="AH165" s="17">
        <f t="shared" si="196"/>
        <v>2613.8757259098356</v>
      </c>
      <c r="AI165" s="16">
        <f>SUMIF('20.01'!$J:$J,$B:$B,'20.01'!$D:$D)*1.2</f>
        <v>0</v>
      </c>
      <c r="AJ165" s="17">
        <f t="shared" si="197"/>
        <v>1062.2203295395516</v>
      </c>
      <c r="AK165" s="17">
        <f t="shared" si="198"/>
        <v>2584.1460845223464</v>
      </c>
      <c r="AL165" s="17">
        <f t="shared" si="199"/>
        <v>43498.939314409181</v>
      </c>
      <c r="AM165" s="110">
        <f t="shared" si="200"/>
        <v>15092.267999999998</v>
      </c>
      <c r="AN165" s="17">
        <f>SUMIF('20.01'!$K:$K,$B:$B,'20.01'!$D:$D)*1.2</f>
        <v>15092.267999999998</v>
      </c>
      <c r="AO165" s="17">
        <f>SUMIF('20.01'!$L:$L,$B:$B,'20.01'!$D:$D)*1.2</f>
        <v>0</v>
      </c>
      <c r="AP165" s="17">
        <f>SUMIF('20.01'!$M:$M,$B:$B,'20.01'!$D:$D)*1.2</f>
        <v>0</v>
      </c>
      <c r="AQ165" s="110">
        <f t="shared" si="201"/>
        <v>961.59007023638594</v>
      </c>
      <c r="AR165" s="17">
        <f t="shared" si="202"/>
        <v>961.59007023638594</v>
      </c>
      <c r="AS165" s="17">
        <f>(SUMIF('20.01'!$N:$N,$B:$B,'20.01'!$D:$D)+SUMIF('20.01'!$O:$O,$B:$B,'20.01'!$D:$D))*1.2</f>
        <v>0</v>
      </c>
      <c r="AT165" s="110">
        <f>SUMIF('20.01'!$P:$P,$B:$B,'20.01'!$D:$D)*1.2</f>
        <v>0</v>
      </c>
      <c r="AU165" s="110">
        <f t="shared" si="203"/>
        <v>0</v>
      </c>
      <c r="AV165" s="17">
        <f>SUMIF('20.01'!$Q:$Q,$B:$B,'20.01'!$D:$D)*1.2</f>
        <v>0</v>
      </c>
      <c r="AW165" s="17">
        <f>SUMIF('20.01'!$R:$R,$B:$B,'20.01'!$D:$D)*1.2</f>
        <v>0</v>
      </c>
      <c r="AX165" s="110">
        <f t="shared" si="204"/>
        <v>0</v>
      </c>
      <c r="AY165" s="17">
        <f>SUMIF('20.01'!$S:$S,$B:$B,'20.01'!$D:$D)*1.2</f>
        <v>0</v>
      </c>
      <c r="AZ165" s="17">
        <f>SUMIF('20.01'!$T:$T,$B:$B,'20.01'!$D:$D)*1.2</f>
        <v>0</v>
      </c>
      <c r="BA165" s="110">
        <f t="shared" si="205"/>
        <v>0</v>
      </c>
      <c r="BB165" s="17">
        <f>SUMIF('20.01'!$U:$U,$B:$B,'20.01'!$D:$D)*1.2</f>
        <v>0</v>
      </c>
      <c r="BC165" s="17">
        <f>SUMIF('20.01'!$V:$V,$B:$B,'20.01'!$D:$D)*1.2</f>
        <v>0</v>
      </c>
      <c r="BD165" s="17">
        <f>SUMIF('20.01'!$W:$W,$B:$B,'20.01'!$D:$D)*1.2</f>
        <v>0</v>
      </c>
      <c r="BE165" s="110">
        <f>SUMIF('20.01'!$X:$X,$B:$B,'20.01'!$D:$D)*1.2</f>
        <v>0</v>
      </c>
      <c r="BF165" s="110">
        <f t="shared" si="206"/>
        <v>0</v>
      </c>
      <c r="BG165" s="17">
        <f>SUMIF('20.01'!$Y:$Y,$B:$B,'20.01'!$D:$D)*1.2</f>
        <v>0</v>
      </c>
      <c r="BH165" s="17">
        <f>SUMIF('20.01'!$Z:$Z,$B:$B,'20.01'!$D:$D)*1.2</f>
        <v>0</v>
      </c>
      <c r="BI165" s="17">
        <f>SUMIF('20.01'!$AA:$AA,$B:$B,'20.01'!$D:$D)*1.2</f>
        <v>0</v>
      </c>
      <c r="BJ165" s="17">
        <f>SUMIF('20.01'!$AB:$AB,$B:$B,'20.01'!$D:$D)*1.2</f>
        <v>0</v>
      </c>
      <c r="BK165" s="17">
        <f>SUMIF('20.01'!$AC:$AC,$B:$B,'20.01'!$D:$D)*1.2</f>
        <v>0</v>
      </c>
      <c r="BL165" s="17">
        <f>SUMIF('20.01'!$AD:$AD,$B:$B,'20.01'!$D:$D)*1.2</f>
        <v>0</v>
      </c>
      <c r="BM165" s="110">
        <f t="shared" si="207"/>
        <v>0</v>
      </c>
      <c r="BN165" s="17">
        <f>SUMIF('20.01'!$AE:$AE,$B:$B,'20.01'!$D:$D)*1.2</f>
        <v>0</v>
      </c>
      <c r="BO165" s="17">
        <f>SUMIF('20.01'!$AF:$AF,$B:$B,'20.01'!$D:$D)*1.2</f>
        <v>0</v>
      </c>
      <c r="BP165" s="110">
        <f>SUMIF('20.01'!$AG:$AG,$B:$B,'20.01'!$D:$D)*1.2</f>
        <v>0</v>
      </c>
      <c r="BQ165" s="110">
        <f>SUMIF('20.01'!$AH:$AH,$B:$B,'20.01'!$D:$D)*1.2</f>
        <v>0</v>
      </c>
      <c r="BR165" s="110">
        <f>SUMIF('20.01'!$AI:$AI,$B:$B,'20.01'!$D:$D)*1.2</f>
        <v>0</v>
      </c>
      <c r="BS165" s="110">
        <f t="shared" si="208"/>
        <v>0</v>
      </c>
      <c r="BT165" s="17">
        <f>SUMIF('20.01'!$AJ:$AJ,$B:$B,'20.01'!$D:$D)*1.2</f>
        <v>0</v>
      </c>
      <c r="BU165" s="17">
        <f>SUMIF('20.01'!$AK:$AK,$B:$B,'20.01'!$D:$D)*1.2</f>
        <v>0</v>
      </c>
      <c r="BV165" s="110">
        <f>SUMIF('20.01'!$AL:$AL,$B:$B,'20.01'!$D:$D)*1.2</f>
        <v>0</v>
      </c>
      <c r="BW165" s="110">
        <f>SUMIF('20.01'!$AM:$AM,$B:$B,'20.01'!$D:$D)*1.2</f>
        <v>0</v>
      </c>
      <c r="BX165" s="110">
        <f>SUMIF('20.01'!$AN:$AN,$B:$B,'20.01'!$D:$D)*1.2</f>
        <v>0</v>
      </c>
      <c r="BY165" s="110">
        <f t="shared" si="158"/>
        <v>424545.91379003122</v>
      </c>
      <c r="BZ165" s="17">
        <f t="shared" si="225"/>
        <v>297264.53939712321</v>
      </c>
      <c r="CA165" s="17">
        <f t="shared" si="159"/>
        <v>21231.027464047023</v>
      </c>
      <c r="CB165" s="17">
        <f t="shared" si="160"/>
        <v>1411.3299685990194</v>
      </c>
      <c r="CC165" s="17">
        <f>SUMIF('20.01'!$AO:$AO,$B:$B,'20.01'!$D:$D)*1.2</f>
        <v>0</v>
      </c>
      <c r="CD165" s="17">
        <f t="shared" si="161"/>
        <v>22156.447088381512</v>
      </c>
      <c r="CE165" s="17">
        <f>SUMIF('20.01'!$AQ:$AQ,$B:$B,'20.01'!$D:$D)*1.2</f>
        <v>0</v>
      </c>
      <c r="CF165" s="17">
        <f t="shared" si="162"/>
        <v>2015.8864366592315</v>
      </c>
      <c r="CG165" s="17">
        <f>SUMIF('20.01'!$AR:$AR,$B:$B,'20.01'!$D:$D)*1.2</f>
        <v>78104.171999999991</v>
      </c>
      <c r="CH165" s="17">
        <f t="shared" si="163"/>
        <v>1187.210836031252</v>
      </c>
      <c r="CI165" s="17">
        <f>SUMIF('20.01'!$AT:$AT,$B:$B,'20.01'!$D:$D)*1.2</f>
        <v>0</v>
      </c>
      <c r="CJ165" s="17">
        <f>SUMIF('20.01'!$AU:$AU,$B:$B,'20.01'!$D:$D)*1.2</f>
        <v>0</v>
      </c>
      <c r="CK165" s="17">
        <f>SUMIF('20.01'!$AV:$AV,$B:$B,'20.01'!$D:$D)*1.2</f>
        <v>0</v>
      </c>
      <c r="CL165" s="17">
        <f t="shared" si="164"/>
        <v>1175.3005991899624</v>
      </c>
      <c r="CM165" s="17">
        <f>SUMIF('20.01'!$AW:$AW,$B:$B,'20.01'!$D:$D)*1.2</f>
        <v>0</v>
      </c>
      <c r="CN165" s="17">
        <f>SUMIF('20.01'!$AX:$AX,$B:$B,'20.01'!$D:$D)*1.2</f>
        <v>0</v>
      </c>
      <c r="CO165" s="110">
        <f t="shared" si="209"/>
        <v>394268.00888760336</v>
      </c>
      <c r="CP165" s="17">
        <f t="shared" si="210"/>
        <v>311014.91931930662</v>
      </c>
      <c r="CQ165" s="17">
        <f t="shared" si="165"/>
        <v>95952.382063605066</v>
      </c>
      <c r="CR165" s="17">
        <f t="shared" si="166"/>
        <v>215062.53725570152</v>
      </c>
      <c r="CS165" s="17">
        <f t="shared" si="211"/>
        <v>83253.089568296724</v>
      </c>
      <c r="CT165" s="17">
        <f t="shared" si="167"/>
        <v>3032.9830847323578</v>
      </c>
      <c r="CU165" s="17">
        <f t="shared" si="168"/>
        <v>2933.6028368869838</v>
      </c>
      <c r="CV165" s="17">
        <f t="shared" si="169"/>
        <v>3031.9426488942327</v>
      </c>
      <c r="CW165" s="17">
        <f t="shared" si="170"/>
        <v>31.793256978020644</v>
      </c>
      <c r="CX165" s="17">
        <f t="shared" si="171"/>
        <v>44768.102210298028</v>
      </c>
      <c r="CY165" s="17">
        <f t="shared" si="172"/>
        <v>29454.665530507104</v>
      </c>
      <c r="CZ165" s="110">
        <f t="shared" si="212"/>
        <v>97867.641411783261</v>
      </c>
      <c r="DA165" s="17">
        <f t="shared" si="213"/>
        <v>3696.8903462814706</v>
      </c>
      <c r="DB165" s="17">
        <f t="shared" si="173"/>
        <v>3508.2133270135168</v>
      </c>
      <c r="DC165" s="17">
        <f t="shared" si="174"/>
        <v>188.67701926795385</v>
      </c>
      <c r="DD165" s="17">
        <f t="shared" si="175"/>
        <v>6514.3448548513261</v>
      </c>
      <c r="DE165" s="17">
        <f t="shared" si="176"/>
        <v>2247.6206261349362</v>
      </c>
      <c r="DF165" s="17">
        <f t="shared" si="177"/>
        <v>2727.8007576063069</v>
      </c>
      <c r="DG165" s="17">
        <f t="shared" si="214"/>
        <v>82680.984826909218</v>
      </c>
      <c r="DH165" s="110">
        <f t="shared" si="215"/>
        <v>61077.053389748849</v>
      </c>
      <c r="DI165" s="17">
        <f t="shared" si="178"/>
        <v>54788.607140705826</v>
      </c>
      <c r="DJ165" s="17">
        <f t="shared" si="179"/>
        <v>6059.2980091420877</v>
      </c>
      <c r="DK165" s="17">
        <f t="shared" si="180"/>
        <v>229.14823990092992</v>
      </c>
      <c r="DL165" s="110">
        <f t="shared" si="216"/>
        <v>363105.31300815754</v>
      </c>
      <c r="DM165" s="17">
        <f t="shared" si="181"/>
        <v>192445.81589432349</v>
      </c>
      <c r="DN165" s="17">
        <f t="shared" si="182"/>
        <v>170659.49711383405</v>
      </c>
      <c r="DO165" s="17">
        <f t="shared" si="183"/>
        <v>0</v>
      </c>
      <c r="DP165" s="110">
        <f t="shared" si="217"/>
        <v>0</v>
      </c>
      <c r="DQ165" s="17">
        <f>SUMIF('20.01'!$BB:$BB,$B:$B,'20.01'!$D:$D)*1.2</f>
        <v>0</v>
      </c>
      <c r="DR165" s="17">
        <f t="shared" si="184"/>
        <v>0</v>
      </c>
      <c r="DS165" s="17">
        <f t="shared" si="185"/>
        <v>0</v>
      </c>
      <c r="DT165" s="110">
        <f t="shared" si="218"/>
        <v>6068.8200000000006</v>
      </c>
      <c r="DU165" s="17">
        <f>SUMIF('20.01'!$BD:$BD,$B:$B,'20.01'!$D:$D)*1.2</f>
        <v>6068.8200000000006</v>
      </c>
      <c r="DV165" s="17">
        <f t="shared" si="186"/>
        <v>0</v>
      </c>
      <c r="DW165" s="17">
        <f t="shared" si="187"/>
        <v>0</v>
      </c>
      <c r="DX165" s="110">
        <f t="shared" si="188"/>
        <v>1476662.9642085279</v>
      </c>
      <c r="DY165" s="110"/>
      <c r="DZ165" s="110">
        <f t="shared" si="219"/>
        <v>1476662.9642085279</v>
      </c>
      <c r="EA165" s="257"/>
      <c r="EB165" s="110">
        <f t="shared" si="189"/>
        <v>3546.2168674698792</v>
      </c>
      <c r="EC165" s="110">
        <f>SUMIF(еирц!$B:$B,$B:$B,еирц!$K:$K)</f>
        <v>901020.78</v>
      </c>
      <c r="ED165" s="110">
        <f>SUMIF(еирц!$B:$B,$B:$B,еирц!$P:$P)</f>
        <v>874062.55</v>
      </c>
      <c r="EE165" s="110">
        <f>SUMIF(еирц!$B:$B,$B:$B,еирц!$S:$S)</f>
        <v>416672.33</v>
      </c>
      <c r="EF165" s="177">
        <f t="shared" si="220"/>
        <v>-572095.96734105807</v>
      </c>
      <c r="EG165" s="181">
        <f t="shared" si="221"/>
        <v>0</v>
      </c>
      <c r="EH165" s="177">
        <f t="shared" si="222"/>
        <v>-572095.96734105807</v>
      </c>
    </row>
    <row r="166" spans="1:138" ht="12" customHeight="1" x14ac:dyDescent="0.25">
      <c r="A166" s="5">
        <f t="shared" si="223"/>
        <v>162</v>
      </c>
      <c r="B166" s="6" t="s">
        <v>246</v>
      </c>
      <c r="C166" s="7">
        <f t="shared" si="226"/>
        <v>4904.5600000000004</v>
      </c>
      <c r="D166" s="8">
        <v>4904.5600000000004</v>
      </c>
      <c r="E166" s="8">
        <v>0</v>
      </c>
      <c r="F166" s="8">
        <v>488.4</v>
      </c>
      <c r="G166" s="87">
        <f t="shared" si="156"/>
        <v>4904.5600000000004</v>
      </c>
      <c r="H166" s="87">
        <f t="shared" si="157"/>
        <v>4904.5600000000004</v>
      </c>
      <c r="I166" s="91">
        <v>0</v>
      </c>
      <c r="J166" s="112">
        <v>0</v>
      </c>
      <c r="K166" s="17">
        <v>0</v>
      </c>
      <c r="L166" s="112">
        <f t="shared" si="190"/>
        <v>0</v>
      </c>
      <c r="M166" s="116">
        <v>3.4064186229347091</v>
      </c>
      <c r="N166" s="120">
        <f t="shared" si="191"/>
        <v>4904.5600000000004</v>
      </c>
      <c r="O166" s="116">
        <v>3.0862330487480296</v>
      </c>
      <c r="P166" s="120">
        <f t="shared" si="192"/>
        <v>4904.5600000000004</v>
      </c>
      <c r="Q166" s="116">
        <v>0</v>
      </c>
      <c r="R166" s="120">
        <f t="shared" si="193"/>
        <v>0</v>
      </c>
      <c r="S166" s="5" t="s">
        <v>73</v>
      </c>
      <c r="T166" s="87">
        <v>28.44</v>
      </c>
      <c r="U166" s="88">
        <v>4.68</v>
      </c>
      <c r="V166" s="88">
        <v>6.05</v>
      </c>
      <c r="W166" s="88">
        <v>8.24</v>
      </c>
      <c r="X166" s="88">
        <v>6.34</v>
      </c>
      <c r="Y166" s="88">
        <v>2.89</v>
      </c>
      <c r="Z166" s="88">
        <v>0</v>
      </c>
      <c r="AA166" s="88">
        <v>0</v>
      </c>
      <c r="AB166" s="88">
        <v>0.24</v>
      </c>
      <c r="AC166" s="257"/>
      <c r="AD166" s="110">
        <f t="shared" si="194"/>
        <v>168352.31817589505</v>
      </c>
      <c r="AE166" s="110">
        <f t="shared" si="195"/>
        <v>163072.85212626794</v>
      </c>
      <c r="AF166" s="16">
        <f>SUMIF('20.01'!$I:$I,$B:$B,'20.01'!$D:$D)*1.2</f>
        <v>60397.823999999993</v>
      </c>
      <c r="AG166" s="17">
        <f t="shared" si="224"/>
        <v>31380.911391758742</v>
      </c>
      <c r="AH166" s="17">
        <f t="shared" si="196"/>
        <v>3745.1170956934784</v>
      </c>
      <c r="AI166" s="16">
        <f>SUMIF('20.01'!$J:$J,$B:$B,'20.01'!$D:$D)*1.2</f>
        <v>0</v>
      </c>
      <c r="AJ166" s="17">
        <f t="shared" si="197"/>
        <v>1521.93138951433</v>
      </c>
      <c r="AK166" s="17">
        <f t="shared" si="198"/>
        <v>3702.5209664645849</v>
      </c>
      <c r="AL166" s="17">
        <f t="shared" si="199"/>
        <v>62324.547282836822</v>
      </c>
      <c r="AM166" s="110">
        <f t="shared" si="200"/>
        <v>0</v>
      </c>
      <c r="AN166" s="17">
        <f>SUMIF('20.01'!$K:$K,$B:$B,'20.01'!$D:$D)*1.2</f>
        <v>0</v>
      </c>
      <c r="AO166" s="17">
        <f>SUMIF('20.01'!$L:$L,$B:$B,'20.01'!$D:$D)*1.2</f>
        <v>0</v>
      </c>
      <c r="AP166" s="17">
        <f>SUMIF('20.01'!$M:$M,$B:$B,'20.01'!$D:$D)*1.2</f>
        <v>0</v>
      </c>
      <c r="AQ166" s="110">
        <f t="shared" si="201"/>
        <v>1377.7500496271127</v>
      </c>
      <c r="AR166" s="17">
        <f t="shared" si="202"/>
        <v>1377.7500496271127</v>
      </c>
      <c r="AS166" s="17">
        <f>(SUMIF('20.01'!$N:$N,$B:$B,'20.01'!$D:$D)+SUMIF('20.01'!$O:$O,$B:$B,'20.01'!$D:$D))*1.2</f>
        <v>0</v>
      </c>
      <c r="AT166" s="110">
        <f>SUMIF('20.01'!$P:$P,$B:$B,'20.01'!$D:$D)*1.2</f>
        <v>0</v>
      </c>
      <c r="AU166" s="110">
        <f t="shared" si="203"/>
        <v>0</v>
      </c>
      <c r="AV166" s="17">
        <f>SUMIF('20.01'!$Q:$Q,$B:$B,'20.01'!$D:$D)*1.2</f>
        <v>0</v>
      </c>
      <c r="AW166" s="17">
        <f>SUMIF('20.01'!$R:$R,$B:$B,'20.01'!$D:$D)*1.2</f>
        <v>0</v>
      </c>
      <c r="AX166" s="110">
        <f t="shared" si="204"/>
        <v>0</v>
      </c>
      <c r="AY166" s="17">
        <f>SUMIF('20.01'!$S:$S,$B:$B,'20.01'!$D:$D)*1.2</f>
        <v>0</v>
      </c>
      <c r="AZ166" s="17">
        <f>SUMIF('20.01'!$T:$T,$B:$B,'20.01'!$D:$D)*1.2</f>
        <v>0</v>
      </c>
      <c r="BA166" s="110">
        <f t="shared" si="205"/>
        <v>0</v>
      </c>
      <c r="BB166" s="17">
        <f>SUMIF('20.01'!$U:$U,$B:$B,'20.01'!$D:$D)*1.2</f>
        <v>0</v>
      </c>
      <c r="BC166" s="17">
        <f>SUMIF('20.01'!$V:$V,$B:$B,'20.01'!$D:$D)*1.2</f>
        <v>0</v>
      </c>
      <c r="BD166" s="17">
        <f>SUMIF('20.01'!$W:$W,$B:$B,'20.01'!$D:$D)*1.2</f>
        <v>0</v>
      </c>
      <c r="BE166" s="110">
        <f>SUMIF('20.01'!$X:$X,$B:$B,'20.01'!$D:$D)*1.2</f>
        <v>0</v>
      </c>
      <c r="BF166" s="110">
        <f t="shared" si="206"/>
        <v>0</v>
      </c>
      <c r="BG166" s="17">
        <f>SUMIF('20.01'!$Y:$Y,$B:$B,'20.01'!$D:$D)*1.2</f>
        <v>0</v>
      </c>
      <c r="BH166" s="17">
        <f>SUMIF('20.01'!$Z:$Z,$B:$B,'20.01'!$D:$D)*1.2</f>
        <v>0</v>
      </c>
      <c r="BI166" s="17">
        <f>SUMIF('20.01'!$AA:$AA,$B:$B,'20.01'!$D:$D)*1.2</f>
        <v>0</v>
      </c>
      <c r="BJ166" s="17">
        <f>SUMIF('20.01'!$AB:$AB,$B:$B,'20.01'!$D:$D)*1.2</f>
        <v>0</v>
      </c>
      <c r="BK166" s="17">
        <f>SUMIF('20.01'!$AC:$AC,$B:$B,'20.01'!$D:$D)*1.2</f>
        <v>0</v>
      </c>
      <c r="BL166" s="17">
        <f>SUMIF('20.01'!$AD:$AD,$B:$B,'20.01'!$D:$D)*1.2</f>
        <v>0</v>
      </c>
      <c r="BM166" s="110">
        <f t="shared" si="207"/>
        <v>0</v>
      </c>
      <c r="BN166" s="17">
        <f>SUMIF('20.01'!$AE:$AE,$B:$B,'20.01'!$D:$D)*1.2</f>
        <v>0</v>
      </c>
      <c r="BO166" s="17">
        <f>SUMIF('20.01'!$AF:$AF,$B:$B,'20.01'!$D:$D)*1.2</f>
        <v>0</v>
      </c>
      <c r="BP166" s="110">
        <f>SUMIF('20.01'!$AG:$AG,$B:$B,'20.01'!$D:$D)*1.2</f>
        <v>0</v>
      </c>
      <c r="BQ166" s="110">
        <f>SUMIF('20.01'!$AH:$AH,$B:$B,'20.01'!$D:$D)*1.2</f>
        <v>0</v>
      </c>
      <c r="BR166" s="110">
        <f>SUMIF('20.01'!$AI:$AI,$B:$B,'20.01'!$D:$D)*1.2</f>
        <v>0</v>
      </c>
      <c r="BS166" s="110">
        <f t="shared" si="208"/>
        <v>3901.7159999999994</v>
      </c>
      <c r="BT166" s="17">
        <f>SUMIF('20.01'!$AJ:$AJ,$B:$B,'20.01'!$D:$D)*1.2</f>
        <v>3901.7159999999994</v>
      </c>
      <c r="BU166" s="17">
        <f>SUMIF('20.01'!$AK:$AK,$B:$B,'20.01'!$D:$D)*1.2</f>
        <v>0</v>
      </c>
      <c r="BV166" s="110">
        <f>SUMIF('20.01'!$AL:$AL,$B:$B,'20.01'!$D:$D)*1.2</f>
        <v>0</v>
      </c>
      <c r="BW166" s="110">
        <f>SUMIF('20.01'!$AM:$AM,$B:$B,'20.01'!$D:$D)*1.2</f>
        <v>0</v>
      </c>
      <c r="BX166" s="110">
        <f>SUMIF('20.01'!$AN:$AN,$B:$B,'20.01'!$D:$D)*1.2</f>
        <v>0</v>
      </c>
      <c r="BY166" s="110">
        <f t="shared" si="158"/>
        <v>598581.7020159841</v>
      </c>
      <c r="BZ166" s="17">
        <f t="shared" si="225"/>
        <v>425915.62307427614</v>
      </c>
      <c r="CA166" s="17">
        <f t="shared" si="159"/>
        <v>30419.458402929064</v>
      </c>
      <c r="CB166" s="17">
        <f t="shared" si="160"/>
        <v>2022.1297977832978</v>
      </c>
      <c r="CC166" s="17">
        <f>SUMIF('20.01'!$AO:$AO,$B:$B,'20.01'!$D:$D)*1.2</f>
        <v>0</v>
      </c>
      <c r="CD166" s="17">
        <f t="shared" si="161"/>
        <v>31745.384047148036</v>
      </c>
      <c r="CE166" s="17">
        <f>SUMIF('20.01'!$AQ:$AQ,$B:$B,'20.01'!$D:$D)*1.2</f>
        <v>0</v>
      </c>
      <c r="CF166" s="17">
        <f t="shared" si="162"/>
        <v>2888.3281183083759</v>
      </c>
      <c r="CG166" s="17">
        <f>SUMIF('20.01'!$AR:$AR,$B:$B,'20.01'!$D:$D)*1.2</f>
        <v>102205.81199999999</v>
      </c>
      <c r="CH166" s="17">
        <f t="shared" si="163"/>
        <v>1701.0156810976712</v>
      </c>
      <c r="CI166" s="17">
        <f>SUMIF('20.01'!$AT:$AT,$B:$B,'20.01'!$D:$D)*1.2</f>
        <v>0</v>
      </c>
      <c r="CJ166" s="17">
        <f>SUMIF('20.01'!$AU:$AU,$B:$B,'20.01'!$D:$D)*1.2</f>
        <v>0</v>
      </c>
      <c r="CK166" s="17">
        <f>SUMIF('20.01'!$AV:$AV,$B:$B,'20.01'!$D:$D)*1.2</f>
        <v>0</v>
      </c>
      <c r="CL166" s="17">
        <f t="shared" si="164"/>
        <v>1683.9508944416239</v>
      </c>
      <c r="CM166" s="17">
        <f>SUMIF('20.01'!$AW:$AW,$B:$B,'20.01'!$D:$D)*1.2</f>
        <v>0</v>
      </c>
      <c r="CN166" s="17">
        <f>SUMIF('20.01'!$AX:$AX,$B:$B,'20.01'!$D:$D)*1.2</f>
        <v>0</v>
      </c>
      <c r="CO166" s="110">
        <f t="shared" si="209"/>
        <v>564900.55963009666</v>
      </c>
      <c r="CP166" s="17">
        <f t="shared" si="210"/>
        <v>445616.93572980585</v>
      </c>
      <c r="CQ166" s="17">
        <f t="shared" si="165"/>
        <v>137478.95620165198</v>
      </c>
      <c r="CR166" s="17">
        <f t="shared" si="166"/>
        <v>308137.9795281539</v>
      </c>
      <c r="CS166" s="17">
        <f t="shared" si="211"/>
        <v>119283.62390029081</v>
      </c>
      <c r="CT166" s="17">
        <f t="shared" si="167"/>
        <v>4345.6070573617289</v>
      </c>
      <c r="CU166" s="17">
        <f t="shared" si="168"/>
        <v>4203.2167128282636</v>
      </c>
      <c r="CV166" s="17">
        <f t="shared" si="169"/>
        <v>4344.1163384244392</v>
      </c>
      <c r="CW166" s="17">
        <f t="shared" si="170"/>
        <v>45.552842874622698</v>
      </c>
      <c r="CX166" s="17">
        <f t="shared" si="171"/>
        <v>64142.982494387936</v>
      </c>
      <c r="CY166" s="17">
        <f t="shared" si="172"/>
        <v>42202.148454413822</v>
      </c>
      <c r="CZ166" s="110">
        <f t="shared" si="212"/>
        <v>140223.10752317365</v>
      </c>
      <c r="DA166" s="17">
        <f t="shared" si="213"/>
        <v>5296.8421947235702</v>
      </c>
      <c r="DB166" s="17">
        <f t="shared" si="173"/>
        <v>5026.5089407663863</v>
      </c>
      <c r="DC166" s="17">
        <f t="shared" si="174"/>
        <v>270.33325395718379</v>
      </c>
      <c r="DD166" s="17">
        <f t="shared" si="175"/>
        <v>9333.6435398643407</v>
      </c>
      <c r="DE166" s="17">
        <f t="shared" si="176"/>
        <v>3220.3529602162848</v>
      </c>
      <c r="DF166" s="17">
        <f t="shared" si="177"/>
        <v>3908.3469614459377</v>
      </c>
      <c r="DG166" s="17">
        <f t="shared" si="214"/>
        <v>118463.92186692351</v>
      </c>
      <c r="DH166" s="110">
        <f t="shared" si="215"/>
        <v>87510.172934832939</v>
      </c>
      <c r="DI166" s="17">
        <f t="shared" si="178"/>
        <v>78500.193110928754</v>
      </c>
      <c r="DJ166" s="17">
        <f t="shared" si="179"/>
        <v>8681.6600869731883</v>
      </c>
      <c r="DK166" s="17">
        <f t="shared" si="180"/>
        <v>328.31973693099968</v>
      </c>
      <c r="DL166" s="110">
        <f t="shared" si="216"/>
        <v>520251.17407241662</v>
      </c>
      <c r="DM166" s="17">
        <f t="shared" si="181"/>
        <v>275733.12225838081</v>
      </c>
      <c r="DN166" s="17">
        <f t="shared" si="182"/>
        <v>244518.05181403583</v>
      </c>
      <c r="DO166" s="17">
        <f t="shared" si="183"/>
        <v>0</v>
      </c>
      <c r="DP166" s="110">
        <f t="shared" si="217"/>
        <v>0</v>
      </c>
      <c r="DQ166" s="17">
        <f>SUMIF('20.01'!$BB:$BB,$B:$B,'20.01'!$D:$D)*1.2</f>
        <v>0</v>
      </c>
      <c r="DR166" s="17">
        <f t="shared" si="184"/>
        <v>0</v>
      </c>
      <c r="DS166" s="17">
        <f t="shared" si="185"/>
        <v>0</v>
      </c>
      <c r="DT166" s="110">
        <f t="shared" si="218"/>
        <v>11284.199999999999</v>
      </c>
      <c r="DU166" s="17">
        <f>SUMIF('20.01'!$BD:$BD,$B:$B,'20.01'!$D:$D)*1.2</f>
        <v>11284.199999999999</v>
      </c>
      <c r="DV166" s="17">
        <f t="shared" si="186"/>
        <v>0</v>
      </c>
      <c r="DW166" s="17">
        <f t="shared" si="187"/>
        <v>0</v>
      </c>
      <c r="DX166" s="110">
        <f t="shared" si="188"/>
        <v>2091103.2343523989</v>
      </c>
      <c r="DY166" s="110"/>
      <c r="DZ166" s="110">
        <f t="shared" si="219"/>
        <v>2091103.2343523989</v>
      </c>
      <c r="EA166" s="257"/>
      <c r="EB166" s="110">
        <f t="shared" si="189"/>
        <v>0</v>
      </c>
      <c r="EC166" s="110">
        <f>SUMIF(еирц!$B:$B,$B:$B,еирц!$K:$K)</f>
        <v>1641754.7400000002</v>
      </c>
      <c r="ED166" s="110">
        <f>SUMIF(еирц!$B:$B,$B:$B,еирц!$P:$P)</f>
        <v>1651863.4100000001</v>
      </c>
      <c r="EE166" s="110">
        <f>SUMIF(еирц!$B:$B,$B:$B,еирц!$S:$S)</f>
        <v>474877.91000000003</v>
      </c>
      <c r="EF166" s="177">
        <f t="shared" si="220"/>
        <v>-449348.49435239867</v>
      </c>
      <c r="EG166" s="181">
        <f t="shared" si="221"/>
        <v>0</v>
      </c>
      <c r="EH166" s="177">
        <f t="shared" si="222"/>
        <v>-449348.49435239867</v>
      </c>
    </row>
    <row r="167" spans="1:138" ht="12" customHeight="1" x14ac:dyDescent="0.25">
      <c r="A167" s="5">
        <f t="shared" si="223"/>
        <v>163</v>
      </c>
      <c r="B167" s="6" t="s">
        <v>247</v>
      </c>
      <c r="C167" s="7">
        <f t="shared" si="226"/>
        <v>4886.43</v>
      </c>
      <c r="D167" s="8">
        <v>4886.43</v>
      </c>
      <c r="E167" s="8">
        <v>0</v>
      </c>
      <c r="F167" s="8">
        <v>451.5</v>
      </c>
      <c r="G167" s="87">
        <f t="shared" si="156"/>
        <v>4886.43</v>
      </c>
      <c r="H167" s="87">
        <f t="shared" si="157"/>
        <v>4886.43</v>
      </c>
      <c r="I167" s="91">
        <v>0</v>
      </c>
      <c r="J167" s="112">
        <v>0</v>
      </c>
      <c r="K167" s="17">
        <v>0</v>
      </c>
      <c r="L167" s="112">
        <f t="shared" si="190"/>
        <v>0</v>
      </c>
      <c r="M167" s="116">
        <v>3.4064168598074827</v>
      </c>
      <c r="N167" s="120">
        <f t="shared" si="191"/>
        <v>4886.43</v>
      </c>
      <c r="O167" s="116">
        <v>3.0862316745462648</v>
      </c>
      <c r="P167" s="120">
        <f t="shared" si="192"/>
        <v>4886.43</v>
      </c>
      <c r="Q167" s="116">
        <v>0</v>
      </c>
      <c r="R167" s="120">
        <f t="shared" si="193"/>
        <v>0</v>
      </c>
      <c r="S167" s="5" t="s">
        <v>73</v>
      </c>
      <c r="T167" s="87">
        <v>28.44</v>
      </c>
      <c r="U167" s="88">
        <v>4.68</v>
      </c>
      <c r="V167" s="88">
        <v>6.05</v>
      </c>
      <c r="W167" s="88">
        <v>8.24</v>
      </c>
      <c r="X167" s="88">
        <v>6.34</v>
      </c>
      <c r="Y167" s="88">
        <v>2.89</v>
      </c>
      <c r="Z167" s="88">
        <v>0</v>
      </c>
      <c r="AA167" s="88">
        <v>0</v>
      </c>
      <c r="AB167" s="88">
        <v>0.24</v>
      </c>
      <c r="AC167" s="257"/>
      <c r="AD167" s="110">
        <f t="shared" si="194"/>
        <v>515572.53284485429</v>
      </c>
      <c r="AE167" s="110">
        <f t="shared" si="195"/>
        <v>163926.79973086261</v>
      </c>
      <c r="AF167" s="16">
        <f>SUMIF('20.01'!$I:$I,$B:$B,'20.01'!$D:$D)*1.2</f>
        <v>61631.315999999999</v>
      </c>
      <c r="AG167" s="17">
        <f t="shared" si="224"/>
        <v>31264.909971950932</v>
      </c>
      <c r="AH167" s="17">
        <f t="shared" si="196"/>
        <v>3731.2730458816864</v>
      </c>
      <c r="AI167" s="16">
        <f>SUMIF('20.01'!$J:$J,$B:$B,'20.01'!$D:$D)*1.2</f>
        <v>0</v>
      </c>
      <c r="AJ167" s="17">
        <f t="shared" si="197"/>
        <v>1516.3054789144201</v>
      </c>
      <c r="AK167" s="17">
        <f t="shared" si="198"/>
        <v>3688.8343757975313</v>
      </c>
      <c r="AL167" s="17">
        <f t="shared" si="199"/>
        <v>62094.160858318035</v>
      </c>
      <c r="AM167" s="110">
        <f t="shared" si="200"/>
        <v>0</v>
      </c>
      <c r="AN167" s="17">
        <f>SUMIF('20.01'!$K:$K,$B:$B,'20.01'!$D:$D)*1.2</f>
        <v>0</v>
      </c>
      <c r="AO167" s="17">
        <f>SUMIF('20.01'!$L:$L,$B:$B,'20.01'!$D:$D)*1.2</f>
        <v>0</v>
      </c>
      <c r="AP167" s="17">
        <f>SUMIF('20.01'!$M:$M,$B:$B,'20.01'!$D:$D)*1.2</f>
        <v>0</v>
      </c>
      <c r="AQ167" s="110">
        <f t="shared" si="201"/>
        <v>1372.6571139917571</v>
      </c>
      <c r="AR167" s="17">
        <f t="shared" si="202"/>
        <v>1372.6571139917571</v>
      </c>
      <c r="AS167" s="17">
        <f>(SUMIF('20.01'!$N:$N,$B:$B,'20.01'!$D:$D)+SUMIF('20.01'!$O:$O,$B:$B,'20.01'!$D:$D))*1.2</f>
        <v>0</v>
      </c>
      <c r="AT167" s="110">
        <f>SUMIF('20.01'!$P:$P,$B:$B,'20.01'!$D:$D)*1.2</f>
        <v>0</v>
      </c>
      <c r="AU167" s="110">
        <f t="shared" si="203"/>
        <v>0</v>
      </c>
      <c r="AV167" s="17">
        <f>SUMIF('20.01'!$Q:$Q,$B:$B,'20.01'!$D:$D)*1.2</f>
        <v>0</v>
      </c>
      <c r="AW167" s="17">
        <f>SUMIF('20.01'!$R:$R,$B:$B,'20.01'!$D:$D)*1.2</f>
        <v>0</v>
      </c>
      <c r="AX167" s="110">
        <f t="shared" si="204"/>
        <v>0</v>
      </c>
      <c r="AY167" s="17">
        <f>SUMIF('20.01'!$S:$S,$B:$B,'20.01'!$D:$D)*1.2</f>
        <v>0</v>
      </c>
      <c r="AZ167" s="17">
        <f>SUMIF('20.01'!$T:$T,$B:$B,'20.01'!$D:$D)*1.2</f>
        <v>0</v>
      </c>
      <c r="BA167" s="110">
        <f t="shared" si="205"/>
        <v>0</v>
      </c>
      <c r="BB167" s="17">
        <f>SUMIF('20.01'!$U:$U,$B:$B,'20.01'!$D:$D)*1.2</f>
        <v>0</v>
      </c>
      <c r="BC167" s="17">
        <f>SUMIF('20.01'!$V:$V,$B:$B,'20.01'!$D:$D)*1.2</f>
        <v>0</v>
      </c>
      <c r="BD167" s="17">
        <f>SUMIF('20.01'!$W:$W,$B:$B,'20.01'!$D:$D)*1.2</f>
        <v>0</v>
      </c>
      <c r="BE167" s="110">
        <f>SUMIF('20.01'!$X:$X,$B:$B,'20.01'!$D:$D)*1.2</f>
        <v>0</v>
      </c>
      <c r="BF167" s="110">
        <f t="shared" si="206"/>
        <v>0</v>
      </c>
      <c r="BG167" s="17">
        <f>SUMIF('20.01'!$Y:$Y,$B:$B,'20.01'!$D:$D)*1.2</f>
        <v>0</v>
      </c>
      <c r="BH167" s="17">
        <f>SUMIF('20.01'!$Z:$Z,$B:$B,'20.01'!$D:$D)*1.2</f>
        <v>0</v>
      </c>
      <c r="BI167" s="17">
        <f>SUMIF('20.01'!$AA:$AA,$B:$B,'20.01'!$D:$D)*1.2</f>
        <v>0</v>
      </c>
      <c r="BJ167" s="17">
        <f>SUMIF('20.01'!$AB:$AB,$B:$B,'20.01'!$D:$D)*1.2</f>
        <v>0</v>
      </c>
      <c r="BK167" s="17">
        <f>SUMIF('20.01'!$AC:$AC,$B:$B,'20.01'!$D:$D)*1.2</f>
        <v>0</v>
      </c>
      <c r="BL167" s="17">
        <f>SUMIF('20.01'!$AD:$AD,$B:$B,'20.01'!$D:$D)*1.2</f>
        <v>0</v>
      </c>
      <c r="BM167" s="110">
        <f t="shared" si="207"/>
        <v>0</v>
      </c>
      <c r="BN167" s="17">
        <f>SUMIF('20.01'!$AE:$AE,$B:$B,'20.01'!$D:$D)*1.2</f>
        <v>0</v>
      </c>
      <c r="BO167" s="17">
        <f>SUMIF('20.01'!$AF:$AF,$B:$B,'20.01'!$D:$D)*1.2</f>
        <v>0</v>
      </c>
      <c r="BP167" s="110">
        <f>SUMIF('20.01'!$AG:$AG,$B:$B,'20.01'!$D:$D)*1.2</f>
        <v>0</v>
      </c>
      <c r="BQ167" s="110">
        <f>SUMIF('20.01'!$AH:$AH,$B:$B,'20.01'!$D:$D)*1.2</f>
        <v>0</v>
      </c>
      <c r="BR167" s="110">
        <f>SUMIF('20.01'!$AI:$AI,$B:$B,'20.01'!$D:$D)*1.2</f>
        <v>0</v>
      </c>
      <c r="BS167" s="110">
        <f t="shared" si="208"/>
        <v>0</v>
      </c>
      <c r="BT167" s="17">
        <f>SUMIF('20.01'!$AJ:$AJ,$B:$B,'20.01'!$D:$D)*1.2</f>
        <v>0</v>
      </c>
      <c r="BU167" s="17">
        <f>SUMIF('20.01'!$AK:$AK,$B:$B,'20.01'!$D:$D)*1.2</f>
        <v>0</v>
      </c>
      <c r="BV167" s="110">
        <f>SUMIF('20.01'!$AL:$AL,$B:$B,'20.01'!$D:$D)*1.2</f>
        <v>350273.07599999994</v>
      </c>
      <c r="BW167" s="110">
        <f>SUMIF('20.01'!$AM:$AM,$B:$B,'20.01'!$D:$D)*1.2</f>
        <v>0</v>
      </c>
      <c r="BX167" s="110">
        <f>SUMIF('20.01'!$AN:$AN,$B:$B,'20.01'!$D:$D)*1.2</f>
        <v>0</v>
      </c>
      <c r="BY167" s="110">
        <f t="shared" si="158"/>
        <v>607362.71478772536</v>
      </c>
      <c r="BZ167" s="17">
        <f t="shared" si="225"/>
        <v>424341.20044587797</v>
      </c>
      <c r="CA167" s="17">
        <f t="shared" si="159"/>
        <v>30307.011051720165</v>
      </c>
      <c r="CB167" s="17">
        <f t="shared" si="160"/>
        <v>2014.6548737872999</v>
      </c>
      <c r="CC167" s="17">
        <f>SUMIF('20.01'!$AO:$AO,$B:$B,'20.01'!$D:$D)*1.2</f>
        <v>0</v>
      </c>
      <c r="CD167" s="17">
        <f t="shared" si="161"/>
        <v>31628.035332324525</v>
      </c>
      <c r="CE167" s="17">
        <f>SUMIF('20.01'!$AQ:$AQ,$B:$B,'20.01'!$D:$D)*1.2</f>
        <v>0</v>
      </c>
      <c r="CF167" s="17">
        <f t="shared" si="162"/>
        <v>2877.6512403040429</v>
      </c>
      <c r="CG167" s="17">
        <f>SUMIF('20.01'!$AR:$AR,$B:$B,'20.01'!$D:$D)*1.2</f>
        <v>112821.708</v>
      </c>
      <c r="CH167" s="17">
        <f t="shared" si="163"/>
        <v>1694.7277746803165</v>
      </c>
      <c r="CI167" s="17">
        <f>SUMIF('20.01'!$AT:$AT,$B:$B,'20.01'!$D:$D)*1.2</f>
        <v>0</v>
      </c>
      <c r="CJ167" s="17">
        <f>SUMIF('20.01'!$AU:$AU,$B:$B,'20.01'!$D:$D)*1.2</f>
        <v>0</v>
      </c>
      <c r="CK167" s="17">
        <f>SUMIF('20.01'!$AV:$AV,$B:$B,'20.01'!$D:$D)*1.2</f>
        <v>0</v>
      </c>
      <c r="CL167" s="17">
        <f t="shared" si="164"/>
        <v>1677.7260690309395</v>
      </c>
      <c r="CM167" s="17">
        <f>SUMIF('20.01'!$AW:$AW,$B:$B,'20.01'!$D:$D)*1.2</f>
        <v>0</v>
      </c>
      <c r="CN167" s="17">
        <f>SUMIF('20.01'!$AX:$AX,$B:$B,'20.01'!$D:$D)*1.2</f>
        <v>0</v>
      </c>
      <c r="CO167" s="110">
        <f t="shared" si="209"/>
        <v>562812.37085351045</v>
      </c>
      <c r="CP167" s="17">
        <f t="shared" si="210"/>
        <v>443969.68601835746</v>
      </c>
      <c r="CQ167" s="17">
        <f t="shared" si="165"/>
        <v>136970.75700010569</v>
      </c>
      <c r="CR167" s="17">
        <f t="shared" si="166"/>
        <v>306998.92901825177</v>
      </c>
      <c r="CS167" s="17">
        <f t="shared" si="211"/>
        <v>118842.68483515299</v>
      </c>
      <c r="CT167" s="17">
        <f t="shared" si="167"/>
        <v>4329.5432604156285</v>
      </c>
      <c r="CU167" s="17">
        <f t="shared" si="168"/>
        <v>4187.6792703250467</v>
      </c>
      <c r="CV167" s="17">
        <f t="shared" si="169"/>
        <v>4328.0580520102385</v>
      </c>
      <c r="CW167" s="17">
        <f t="shared" si="170"/>
        <v>45.384454060678749</v>
      </c>
      <c r="CX167" s="17">
        <f t="shared" si="171"/>
        <v>63905.874115119812</v>
      </c>
      <c r="CY167" s="17">
        <f t="shared" si="172"/>
        <v>42046.145683221599</v>
      </c>
      <c r="CZ167" s="110">
        <f t="shared" si="212"/>
        <v>139704.76440179371</v>
      </c>
      <c r="DA167" s="17">
        <f t="shared" si="213"/>
        <v>5277.2621000789259</v>
      </c>
      <c r="DB167" s="17">
        <f t="shared" si="173"/>
        <v>5007.9281491977044</v>
      </c>
      <c r="DC167" s="17">
        <f t="shared" si="174"/>
        <v>269.33395088122103</v>
      </c>
      <c r="DD167" s="17">
        <f t="shared" si="175"/>
        <v>9299.1411670974176</v>
      </c>
      <c r="DE167" s="17">
        <f t="shared" si="176"/>
        <v>3208.4487324835786</v>
      </c>
      <c r="DF167" s="17">
        <f t="shared" si="177"/>
        <v>3893.8995226520369</v>
      </c>
      <c r="DG167" s="17">
        <f t="shared" si="214"/>
        <v>118026.01287948176</v>
      </c>
      <c r="DH167" s="110">
        <f t="shared" si="215"/>
        <v>87186.686335564387</v>
      </c>
      <c r="DI167" s="17">
        <f t="shared" si="178"/>
        <v>78210.012442101957</v>
      </c>
      <c r="DJ167" s="17">
        <f t="shared" si="179"/>
        <v>8649.5678101171961</v>
      </c>
      <c r="DK167" s="17">
        <f t="shared" si="180"/>
        <v>327.10608334524295</v>
      </c>
      <c r="DL167" s="110">
        <f t="shared" si="216"/>
        <v>518328.03442565259</v>
      </c>
      <c r="DM167" s="17">
        <f t="shared" si="181"/>
        <v>274713.85824559588</v>
      </c>
      <c r="DN167" s="17">
        <f t="shared" si="182"/>
        <v>243614.17618005673</v>
      </c>
      <c r="DO167" s="17">
        <f t="shared" si="183"/>
        <v>0</v>
      </c>
      <c r="DP167" s="110">
        <f t="shared" si="217"/>
        <v>0</v>
      </c>
      <c r="DQ167" s="17">
        <f>SUMIF('20.01'!$BB:$BB,$B:$B,'20.01'!$D:$D)*1.2</f>
        <v>0</v>
      </c>
      <c r="DR167" s="17">
        <f t="shared" si="184"/>
        <v>0</v>
      </c>
      <c r="DS167" s="17">
        <f t="shared" si="185"/>
        <v>0</v>
      </c>
      <c r="DT167" s="110">
        <f t="shared" si="218"/>
        <v>11284.199999999999</v>
      </c>
      <c r="DU167" s="17">
        <f>SUMIF('20.01'!$BD:$BD,$B:$B,'20.01'!$D:$D)*1.2</f>
        <v>11284.199999999999</v>
      </c>
      <c r="DV167" s="17">
        <f t="shared" si="186"/>
        <v>0</v>
      </c>
      <c r="DW167" s="17">
        <f t="shared" si="187"/>
        <v>0</v>
      </c>
      <c r="DX167" s="110">
        <f t="shared" si="188"/>
        <v>2442251.3036491009</v>
      </c>
      <c r="DY167" s="110"/>
      <c r="DZ167" s="110">
        <f t="shared" si="219"/>
        <v>2442251.3036491009</v>
      </c>
      <c r="EA167" s="257"/>
      <c r="EB167" s="110">
        <f t="shared" si="189"/>
        <v>0</v>
      </c>
      <c r="EC167" s="110">
        <f>SUMIF(еирц!$B:$B,$B:$B,еирц!$K:$K)</f>
        <v>1635685.5599999998</v>
      </c>
      <c r="ED167" s="110">
        <f>SUMIF(еирц!$B:$B,$B:$B,еирц!$P:$P)</f>
        <v>1577856.21</v>
      </c>
      <c r="EE167" s="110">
        <f>SUMIF(еирц!$B:$B,$B:$B,еирц!$S:$S)</f>
        <v>455830.48</v>
      </c>
      <c r="EF167" s="177">
        <f t="shared" si="220"/>
        <v>-806565.74364910112</v>
      </c>
      <c r="EG167" s="181">
        <f t="shared" si="221"/>
        <v>0</v>
      </c>
      <c r="EH167" s="177">
        <f t="shared" si="222"/>
        <v>-806565.74364910112</v>
      </c>
    </row>
    <row r="168" spans="1:138" ht="12" customHeight="1" x14ac:dyDescent="0.25">
      <c r="A168" s="5">
        <f t="shared" si="223"/>
        <v>164</v>
      </c>
      <c r="B168" s="6" t="s">
        <v>248</v>
      </c>
      <c r="C168" s="7">
        <f t="shared" si="226"/>
        <v>586.91</v>
      </c>
      <c r="D168" s="8">
        <v>586.91</v>
      </c>
      <c r="E168" s="8">
        <v>0</v>
      </c>
      <c r="F168" s="8">
        <v>71.2</v>
      </c>
      <c r="G168" s="87">
        <f t="shared" si="156"/>
        <v>586.91</v>
      </c>
      <c r="H168" s="87">
        <f t="shared" si="157"/>
        <v>586.91</v>
      </c>
      <c r="I168" s="91">
        <v>0</v>
      </c>
      <c r="J168" s="112">
        <v>0</v>
      </c>
      <c r="K168" s="17">
        <v>0</v>
      </c>
      <c r="L168" s="112">
        <f t="shared" si="190"/>
        <v>0</v>
      </c>
      <c r="M168" s="116">
        <v>3.4064108563733977</v>
      </c>
      <c r="N168" s="120">
        <f t="shared" si="191"/>
        <v>586.91</v>
      </c>
      <c r="O168" s="116">
        <v>3.086233880698809</v>
      </c>
      <c r="P168" s="120">
        <f t="shared" si="192"/>
        <v>586.91</v>
      </c>
      <c r="Q168" s="116">
        <v>0</v>
      </c>
      <c r="R168" s="120">
        <f t="shared" si="193"/>
        <v>0</v>
      </c>
      <c r="S168" s="5" t="s">
        <v>73</v>
      </c>
      <c r="T168" s="87">
        <v>22.98</v>
      </c>
      <c r="U168" s="88">
        <v>3.58</v>
      </c>
      <c r="V168" s="88">
        <v>4.67</v>
      </c>
      <c r="W168" s="88">
        <v>7.75</v>
      </c>
      <c r="X168" s="88">
        <v>4.5199999999999996</v>
      </c>
      <c r="Y168" s="88">
        <v>2.2200000000000002</v>
      </c>
      <c r="Z168" s="88">
        <v>0</v>
      </c>
      <c r="AA168" s="88">
        <v>0</v>
      </c>
      <c r="AB168" s="88">
        <v>0.24</v>
      </c>
      <c r="AC168" s="257"/>
      <c r="AD168" s="110">
        <f t="shared" si="194"/>
        <v>83296.587335967881</v>
      </c>
      <c r="AE168" s="110">
        <f t="shared" si="195"/>
        <v>83131.717239236139</v>
      </c>
      <c r="AF168" s="16">
        <f>SUMIF('20.01'!$I:$I,$B:$B,'20.01'!$D:$D)*1.2</f>
        <v>67588.991999999998</v>
      </c>
      <c r="AG168" s="17">
        <f t="shared" si="224"/>
        <v>3755.2340485052932</v>
      </c>
      <c r="AH168" s="17">
        <f t="shared" si="196"/>
        <v>448.16388720567369</v>
      </c>
      <c r="AI168" s="16">
        <f>SUMIF('20.01'!$J:$J,$B:$B,'20.01'!$D:$D)*1.2</f>
        <v>3255.9959999999996</v>
      </c>
      <c r="AJ168" s="17">
        <f t="shared" si="197"/>
        <v>182.12372808567034</v>
      </c>
      <c r="AK168" s="17">
        <f t="shared" si="198"/>
        <v>443.06657078876174</v>
      </c>
      <c r="AL168" s="17">
        <f t="shared" si="199"/>
        <v>7458.1410046507235</v>
      </c>
      <c r="AM168" s="110">
        <f t="shared" si="200"/>
        <v>0</v>
      </c>
      <c r="AN168" s="17">
        <f>SUMIF('20.01'!$K:$K,$B:$B,'20.01'!$D:$D)*1.2</f>
        <v>0</v>
      </c>
      <c r="AO168" s="17">
        <f>SUMIF('20.01'!$L:$L,$B:$B,'20.01'!$D:$D)*1.2</f>
        <v>0</v>
      </c>
      <c r="AP168" s="17">
        <f>SUMIF('20.01'!$M:$M,$B:$B,'20.01'!$D:$D)*1.2</f>
        <v>0</v>
      </c>
      <c r="AQ168" s="110">
        <f t="shared" si="201"/>
        <v>164.87009673174526</v>
      </c>
      <c r="AR168" s="17">
        <f t="shared" si="202"/>
        <v>164.87009673174526</v>
      </c>
      <c r="AS168" s="17">
        <f>(SUMIF('20.01'!$N:$N,$B:$B,'20.01'!$D:$D)+SUMIF('20.01'!$O:$O,$B:$B,'20.01'!$D:$D))*1.2</f>
        <v>0</v>
      </c>
      <c r="AT168" s="110">
        <f>SUMIF('20.01'!$P:$P,$B:$B,'20.01'!$D:$D)*1.2</f>
        <v>0</v>
      </c>
      <c r="AU168" s="110">
        <f t="shared" si="203"/>
        <v>0</v>
      </c>
      <c r="AV168" s="17">
        <f>SUMIF('20.01'!$Q:$Q,$B:$B,'20.01'!$D:$D)*1.2</f>
        <v>0</v>
      </c>
      <c r="AW168" s="17">
        <f>SUMIF('20.01'!$R:$R,$B:$B,'20.01'!$D:$D)*1.2</f>
        <v>0</v>
      </c>
      <c r="AX168" s="110">
        <f t="shared" si="204"/>
        <v>0</v>
      </c>
      <c r="AY168" s="17">
        <f>SUMIF('20.01'!$S:$S,$B:$B,'20.01'!$D:$D)*1.2</f>
        <v>0</v>
      </c>
      <c r="AZ168" s="17">
        <f>SUMIF('20.01'!$T:$T,$B:$B,'20.01'!$D:$D)*1.2</f>
        <v>0</v>
      </c>
      <c r="BA168" s="110">
        <f t="shared" si="205"/>
        <v>0</v>
      </c>
      <c r="BB168" s="17">
        <f>SUMIF('20.01'!$U:$U,$B:$B,'20.01'!$D:$D)*1.2</f>
        <v>0</v>
      </c>
      <c r="BC168" s="17">
        <f>SUMIF('20.01'!$V:$V,$B:$B,'20.01'!$D:$D)*1.2</f>
        <v>0</v>
      </c>
      <c r="BD168" s="17">
        <f>SUMIF('20.01'!$W:$W,$B:$B,'20.01'!$D:$D)*1.2</f>
        <v>0</v>
      </c>
      <c r="BE168" s="110">
        <f>SUMIF('20.01'!$X:$X,$B:$B,'20.01'!$D:$D)*1.2</f>
        <v>0</v>
      </c>
      <c r="BF168" s="110">
        <f t="shared" si="206"/>
        <v>0</v>
      </c>
      <c r="BG168" s="17">
        <f>SUMIF('20.01'!$Y:$Y,$B:$B,'20.01'!$D:$D)*1.2</f>
        <v>0</v>
      </c>
      <c r="BH168" s="17">
        <f>SUMIF('20.01'!$Z:$Z,$B:$B,'20.01'!$D:$D)*1.2</f>
        <v>0</v>
      </c>
      <c r="BI168" s="17">
        <f>SUMIF('20.01'!$AA:$AA,$B:$B,'20.01'!$D:$D)*1.2</f>
        <v>0</v>
      </c>
      <c r="BJ168" s="17">
        <f>SUMIF('20.01'!$AB:$AB,$B:$B,'20.01'!$D:$D)*1.2</f>
        <v>0</v>
      </c>
      <c r="BK168" s="17">
        <f>SUMIF('20.01'!$AC:$AC,$B:$B,'20.01'!$D:$D)*1.2</f>
        <v>0</v>
      </c>
      <c r="BL168" s="17">
        <f>SUMIF('20.01'!$AD:$AD,$B:$B,'20.01'!$D:$D)*1.2</f>
        <v>0</v>
      </c>
      <c r="BM168" s="110">
        <f t="shared" si="207"/>
        <v>0</v>
      </c>
      <c r="BN168" s="17">
        <f>SUMIF('20.01'!$AE:$AE,$B:$B,'20.01'!$D:$D)*1.2</f>
        <v>0</v>
      </c>
      <c r="BO168" s="17">
        <f>SUMIF('20.01'!$AF:$AF,$B:$B,'20.01'!$D:$D)*1.2</f>
        <v>0</v>
      </c>
      <c r="BP168" s="110">
        <f>SUMIF('20.01'!$AG:$AG,$B:$B,'20.01'!$D:$D)*1.2</f>
        <v>0</v>
      </c>
      <c r="BQ168" s="110">
        <f>SUMIF('20.01'!$AH:$AH,$B:$B,'20.01'!$D:$D)*1.2</f>
        <v>0</v>
      </c>
      <c r="BR168" s="110">
        <f>SUMIF('20.01'!$AI:$AI,$B:$B,'20.01'!$D:$D)*1.2</f>
        <v>0</v>
      </c>
      <c r="BS168" s="110">
        <f t="shared" si="208"/>
        <v>0</v>
      </c>
      <c r="BT168" s="17">
        <f>SUMIF('20.01'!$AJ:$AJ,$B:$B,'20.01'!$D:$D)*1.2</f>
        <v>0</v>
      </c>
      <c r="BU168" s="17">
        <f>SUMIF('20.01'!$AK:$AK,$B:$B,'20.01'!$D:$D)*1.2</f>
        <v>0</v>
      </c>
      <c r="BV168" s="110">
        <f>SUMIF('20.01'!$AL:$AL,$B:$B,'20.01'!$D:$D)*1.2</f>
        <v>0</v>
      </c>
      <c r="BW168" s="110">
        <f>SUMIF('20.01'!$AM:$AM,$B:$B,'20.01'!$D:$D)*1.2</f>
        <v>0</v>
      </c>
      <c r="BX168" s="110">
        <f>SUMIF('20.01'!$AN:$AN,$B:$B,'20.01'!$D:$D)*1.2</f>
        <v>0</v>
      </c>
      <c r="BY168" s="110">
        <f t="shared" si="158"/>
        <v>103455.62267277823</v>
      </c>
      <c r="BZ168" s="17">
        <f t="shared" si="225"/>
        <v>50967.699108283596</v>
      </c>
      <c r="CA168" s="17">
        <f t="shared" si="159"/>
        <v>3640.1806341981937</v>
      </c>
      <c r="CB168" s="17">
        <f t="shared" si="160"/>
        <v>241.98056494710946</v>
      </c>
      <c r="CC168" s="17">
        <f>SUMIF('20.01'!$AO:$AO,$B:$B,'20.01'!$D:$D)*1.2</f>
        <v>0</v>
      </c>
      <c r="CD168" s="17">
        <f t="shared" si="161"/>
        <v>3798.8491018789964</v>
      </c>
      <c r="CE168" s="17">
        <f>SUMIF('20.01'!$AQ:$AQ,$B:$B,'20.01'!$D:$D)*1.2</f>
        <v>0</v>
      </c>
      <c r="CF168" s="17">
        <f t="shared" si="162"/>
        <v>345.63521618990666</v>
      </c>
      <c r="CG168" s="17">
        <f>SUMIF('20.01'!$AR:$AR,$B:$B,'20.01'!$D:$D)*1.2</f>
        <v>44056.212</v>
      </c>
      <c r="CH168" s="17">
        <f t="shared" si="163"/>
        <v>203.55406262601213</v>
      </c>
      <c r="CI168" s="17">
        <f>SUMIF('20.01'!$AT:$AT,$B:$B,'20.01'!$D:$D)*1.2</f>
        <v>0</v>
      </c>
      <c r="CJ168" s="17">
        <f>SUMIF('20.01'!$AU:$AU,$B:$B,'20.01'!$D:$D)*1.2</f>
        <v>0</v>
      </c>
      <c r="CK168" s="17">
        <f>SUMIF('20.01'!$AV:$AV,$B:$B,'20.01'!$D:$D)*1.2</f>
        <v>0</v>
      </c>
      <c r="CL168" s="17">
        <f t="shared" si="164"/>
        <v>201.51198465443045</v>
      </c>
      <c r="CM168" s="17">
        <f>SUMIF('20.01'!$AW:$AW,$B:$B,'20.01'!$D:$D)*1.2</f>
        <v>0</v>
      </c>
      <c r="CN168" s="17">
        <f>SUMIF('20.01'!$AX:$AX,$B:$B,'20.01'!$D:$D)*1.2</f>
        <v>0</v>
      </c>
      <c r="CO168" s="110">
        <f t="shared" si="209"/>
        <v>67599.4966831887</v>
      </c>
      <c r="CP168" s="17">
        <f t="shared" si="210"/>
        <v>53325.280096314513</v>
      </c>
      <c r="CQ168" s="17">
        <f t="shared" si="165"/>
        <v>16451.582646417122</v>
      </c>
      <c r="CR168" s="17">
        <f t="shared" si="166"/>
        <v>36873.697449897394</v>
      </c>
      <c r="CS168" s="17">
        <f t="shared" si="211"/>
        <v>14274.216586874189</v>
      </c>
      <c r="CT168" s="17">
        <f t="shared" si="167"/>
        <v>520.02223197109879</v>
      </c>
      <c r="CU168" s="17">
        <f t="shared" si="168"/>
        <v>502.98292220424167</v>
      </c>
      <c r="CV168" s="17">
        <f t="shared" si="169"/>
        <v>519.84384331819524</v>
      </c>
      <c r="CW168" s="17">
        <f t="shared" si="170"/>
        <v>5.4511350684964199</v>
      </c>
      <c r="CX168" s="17">
        <f t="shared" si="171"/>
        <v>7675.7462149063767</v>
      </c>
      <c r="CY168" s="17">
        <f t="shared" si="172"/>
        <v>5050.1702394057793</v>
      </c>
      <c r="CZ168" s="110">
        <f t="shared" si="212"/>
        <v>16779.964774908622</v>
      </c>
      <c r="DA168" s="17">
        <f t="shared" si="213"/>
        <v>633.85291494144428</v>
      </c>
      <c r="DB168" s="17">
        <f t="shared" si="173"/>
        <v>601.50316489658587</v>
      </c>
      <c r="DC168" s="17">
        <f t="shared" si="174"/>
        <v>32.349750044858396</v>
      </c>
      <c r="DD168" s="17">
        <f t="shared" si="175"/>
        <v>1116.9215444365609</v>
      </c>
      <c r="DE168" s="17">
        <f t="shared" si="176"/>
        <v>385.36736340885614</v>
      </c>
      <c r="DF168" s="17">
        <f t="shared" si="177"/>
        <v>467.69698304072841</v>
      </c>
      <c r="DG168" s="17">
        <f t="shared" si="214"/>
        <v>14176.125969081033</v>
      </c>
      <c r="DH168" s="110">
        <f t="shared" si="215"/>
        <v>10472.008823866523</v>
      </c>
      <c r="DI168" s="17">
        <f t="shared" si="178"/>
        <v>9393.8188825776797</v>
      </c>
      <c r="DJ168" s="17">
        <f t="shared" si="179"/>
        <v>1038.9011698593622</v>
      </c>
      <c r="DK168" s="17">
        <f t="shared" si="180"/>
        <v>39.288771429480519</v>
      </c>
      <c r="DL168" s="110">
        <f t="shared" si="216"/>
        <v>62256.474908012548</v>
      </c>
      <c r="DM168" s="17">
        <f t="shared" si="181"/>
        <v>32995.931701246649</v>
      </c>
      <c r="DN168" s="17">
        <f t="shared" si="182"/>
        <v>29260.543206765899</v>
      </c>
      <c r="DO168" s="17">
        <f t="shared" si="183"/>
        <v>0</v>
      </c>
      <c r="DP168" s="110">
        <f t="shared" si="217"/>
        <v>0</v>
      </c>
      <c r="DQ168" s="17">
        <f>SUMIF('20.01'!$BB:$BB,$B:$B,'20.01'!$D:$D)*1.2</f>
        <v>0</v>
      </c>
      <c r="DR168" s="17">
        <f t="shared" si="184"/>
        <v>0</v>
      </c>
      <c r="DS168" s="17">
        <f t="shared" si="185"/>
        <v>0</v>
      </c>
      <c r="DT168" s="110">
        <f t="shared" si="218"/>
        <v>758.60399999999993</v>
      </c>
      <c r="DU168" s="17">
        <f>SUMIF('20.01'!$BD:$BD,$B:$B,'20.01'!$D:$D)*1.2</f>
        <v>758.60399999999993</v>
      </c>
      <c r="DV168" s="17">
        <f t="shared" si="186"/>
        <v>0</v>
      </c>
      <c r="DW168" s="17">
        <f t="shared" si="187"/>
        <v>0</v>
      </c>
      <c r="DX168" s="110">
        <f t="shared" si="188"/>
        <v>344618.75919872255</v>
      </c>
      <c r="DY168" s="110"/>
      <c r="DZ168" s="110">
        <f t="shared" si="219"/>
        <v>344618.75919872255</v>
      </c>
      <c r="EA168" s="257"/>
      <c r="EB168" s="110">
        <f t="shared" si="189"/>
        <v>0</v>
      </c>
      <c r="EC168" s="110">
        <f>SUMIF(еирц!$B:$B,$B:$B,еирц!$K:$K)</f>
        <v>158747.57999999999</v>
      </c>
      <c r="ED168" s="110">
        <f>SUMIF(еирц!$B:$B,$B:$B,еирц!$P:$P)</f>
        <v>170800.78</v>
      </c>
      <c r="EE168" s="110">
        <f>SUMIF(еирц!$B:$B,$B:$B,еирц!$S:$S)</f>
        <v>122982.85999999999</v>
      </c>
      <c r="EF168" s="177">
        <f t="shared" si="220"/>
        <v>-185871.17919872256</v>
      </c>
      <c r="EG168" s="181">
        <f t="shared" si="221"/>
        <v>0</v>
      </c>
      <c r="EH168" s="177">
        <f t="shared" si="222"/>
        <v>-185871.17919872256</v>
      </c>
    </row>
    <row r="169" spans="1:138" ht="12" customHeight="1" x14ac:dyDescent="0.25">
      <c r="A169" s="5">
        <f t="shared" si="223"/>
        <v>165</v>
      </c>
      <c r="B169" s="6" t="s">
        <v>249</v>
      </c>
      <c r="C169" s="7">
        <f t="shared" si="226"/>
        <v>3857.82</v>
      </c>
      <c r="D169" s="8">
        <v>3857.82</v>
      </c>
      <c r="E169" s="8">
        <v>0</v>
      </c>
      <c r="F169" s="8">
        <v>681.2</v>
      </c>
      <c r="G169" s="91">
        <f t="shared" si="156"/>
        <v>3857.82</v>
      </c>
      <c r="H169" s="87">
        <f t="shared" si="157"/>
        <v>0</v>
      </c>
      <c r="I169" s="91">
        <v>2</v>
      </c>
      <c r="J169" s="112">
        <v>6.0589593758724556E-3</v>
      </c>
      <c r="K169" s="17">
        <v>1</v>
      </c>
      <c r="L169" s="112">
        <f t="shared" si="190"/>
        <v>2.4096385542168672E-3</v>
      </c>
      <c r="M169" s="116">
        <v>3.4064182013369915</v>
      </c>
      <c r="N169" s="120">
        <f t="shared" si="191"/>
        <v>3857.82</v>
      </c>
      <c r="O169" s="116">
        <v>3.0862312092562534</v>
      </c>
      <c r="P169" s="120">
        <f t="shared" si="192"/>
        <v>3857.82</v>
      </c>
      <c r="Q169" s="116">
        <v>1.6009292763754985</v>
      </c>
      <c r="R169" s="120">
        <f t="shared" si="193"/>
        <v>3857.82</v>
      </c>
      <c r="S169" s="5" t="s">
        <v>73</v>
      </c>
      <c r="T169" s="87">
        <v>41.1</v>
      </c>
      <c r="U169" s="88">
        <v>4.68</v>
      </c>
      <c r="V169" s="88">
        <v>7.92</v>
      </c>
      <c r="W169" s="88">
        <v>12.32</v>
      </c>
      <c r="X169" s="88">
        <v>6.34</v>
      </c>
      <c r="Y169" s="88">
        <v>2.89</v>
      </c>
      <c r="Z169" s="88">
        <v>1.66</v>
      </c>
      <c r="AA169" s="88">
        <v>5.29</v>
      </c>
      <c r="AB169" s="88">
        <v>0</v>
      </c>
      <c r="AC169" s="257"/>
      <c r="AD169" s="110">
        <f t="shared" si="194"/>
        <v>170419.03945920765</v>
      </c>
      <c r="AE169" s="110">
        <f t="shared" si="195"/>
        <v>169335.33129854646</v>
      </c>
      <c r="AF169" s="16">
        <f>SUMIF('20.01'!$I:$I,$B:$B,'20.01'!$D:$D)*1.2</f>
        <v>53923.392</v>
      </c>
      <c r="AG169" s="17">
        <f t="shared" si="224"/>
        <v>24683.540946660803</v>
      </c>
      <c r="AH169" s="17">
        <f t="shared" si="196"/>
        <v>2945.8274817941292</v>
      </c>
      <c r="AI169" s="16">
        <f>SUMIF('20.01'!$J:$J,$B:$B,'20.01'!$D:$D)*1.2</f>
        <v>34650</v>
      </c>
      <c r="AJ169" s="17">
        <f t="shared" si="197"/>
        <v>1197.1180601514045</v>
      </c>
      <c r="AK169" s="17">
        <f t="shared" si="198"/>
        <v>2912.3222949350002</v>
      </c>
      <c r="AL169" s="17">
        <f t="shared" si="199"/>
        <v>49023.130515005127</v>
      </c>
      <c r="AM169" s="110">
        <f t="shared" si="200"/>
        <v>0</v>
      </c>
      <c r="AN169" s="17">
        <f>SUMIF('20.01'!$K:$K,$B:$B,'20.01'!$D:$D)*1.2</f>
        <v>0</v>
      </c>
      <c r="AO169" s="17">
        <f>SUMIF('20.01'!$L:$L,$B:$B,'20.01'!$D:$D)*1.2</f>
        <v>0</v>
      </c>
      <c r="AP169" s="17">
        <f>SUMIF('20.01'!$M:$M,$B:$B,'20.01'!$D:$D)*1.2</f>
        <v>0</v>
      </c>
      <c r="AQ169" s="110">
        <f t="shared" si="201"/>
        <v>1083.7081606611944</v>
      </c>
      <c r="AR169" s="17">
        <f t="shared" si="202"/>
        <v>1083.7081606611944</v>
      </c>
      <c r="AS169" s="17">
        <f>(SUMIF('20.01'!$N:$N,$B:$B,'20.01'!$D:$D)+SUMIF('20.01'!$O:$O,$B:$B,'20.01'!$D:$D))*1.2</f>
        <v>0</v>
      </c>
      <c r="AT169" s="110">
        <f>SUMIF('20.01'!$P:$P,$B:$B,'20.01'!$D:$D)*1.2</f>
        <v>0</v>
      </c>
      <c r="AU169" s="110">
        <f t="shared" si="203"/>
        <v>0</v>
      </c>
      <c r="AV169" s="17">
        <f>SUMIF('20.01'!$Q:$Q,$B:$B,'20.01'!$D:$D)*1.2</f>
        <v>0</v>
      </c>
      <c r="AW169" s="17">
        <f>SUMIF('20.01'!$R:$R,$B:$B,'20.01'!$D:$D)*1.2</f>
        <v>0</v>
      </c>
      <c r="AX169" s="110">
        <f t="shared" si="204"/>
        <v>0</v>
      </c>
      <c r="AY169" s="17">
        <f>SUMIF('20.01'!$S:$S,$B:$B,'20.01'!$D:$D)*1.2</f>
        <v>0</v>
      </c>
      <c r="AZ169" s="17">
        <f>SUMIF('20.01'!$T:$T,$B:$B,'20.01'!$D:$D)*1.2</f>
        <v>0</v>
      </c>
      <c r="BA169" s="110">
        <f t="shared" si="205"/>
        <v>0</v>
      </c>
      <c r="BB169" s="17">
        <f>SUMIF('20.01'!$U:$U,$B:$B,'20.01'!$D:$D)*1.2</f>
        <v>0</v>
      </c>
      <c r="BC169" s="17">
        <f>SUMIF('20.01'!$V:$V,$B:$B,'20.01'!$D:$D)*1.2</f>
        <v>0</v>
      </c>
      <c r="BD169" s="17">
        <f>SUMIF('20.01'!$W:$W,$B:$B,'20.01'!$D:$D)*1.2</f>
        <v>0</v>
      </c>
      <c r="BE169" s="110">
        <f>SUMIF('20.01'!$X:$X,$B:$B,'20.01'!$D:$D)*1.2</f>
        <v>0</v>
      </c>
      <c r="BF169" s="110">
        <f t="shared" si="206"/>
        <v>0</v>
      </c>
      <c r="BG169" s="17">
        <f>SUMIF('20.01'!$Y:$Y,$B:$B,'20.01'!$D:$D)*1.2</f>
        <v>0</v>
      </c>
      <c r="BH169" s="17">
        <f>SUMIF('20.01'!$Z:$Z,$B:$B,'20.01'!$D:$D)*1.2</f>
        <v>0</v>
      </c>
      <c r="BI169" s="17">
        <f>SUMIF('20.01'!$AA:$AA,$B:$B,'20.01'!$D:$D)*1.2</f>
        <v>0</v>
      </c>
      <c r="BJ169" s="17">
        <f>SUMIF('20.01'!$AB:$AB,$B:$B,'20.01'!$D:$D)*1.2</f>
        <v>0</v>
      </c>
      <c r="BK169" s="17">
        <f>SUMIF('20.01'!$AC:$AC,$B:$B,'20.01'!$D:$D)*1.2</f>
        <v>0</v>
      </c>
      <c r="BL169" s="17">
        <f>SUMIF('20.01'!$AD:$AD,$B:$B,'20.01'!$D:$D)*1.2</f>
        <v>0</v>
      </c>
      <c r="BM169" s="110">
        <f t="shared" si="207"/>
        <v>0</v>
      </c>
      <c r="BN169" s="17">
        <f>SUMIF('20.01'!$AE:$AE,$B:$B,'20.01'!$D:$D)*1.2</f>
        <v>0</v>
      </c>
      <c r="BO169" s="17">
        <f>SUMIF('20.01'!$AF:$AF,$B:$B,'20.01'!$D:$D)*1.2</f>
        <v>0</v>
      </c>
      <c r="BP169" s="110">
        <f>SUMIF('20.01'!$AG:$AG,$B:$B,'20.01'!$D:$D)*1.2</f>
        <v>0</v>
      </c>
      <c r="BQ169" s="110">
        <f>SUMIF('20.01'!$AH:$AH,$B:$B,'20.01'!$D:$D)*1.2</f>
        <v>0</v>
      </c>
      <c r="BR169" s="110">
        <f>SUMIF('20.01'!$AI:$AI,$B:$B,'20.01'!$D:$D)*1.2</f>
        <v>0</v>
      </c>
      <c r="BS169" s="110">
        <f t="shared" si="208"/>
        <v>0</v>
      </c>
      <c r="BT169" s="17">
        <f>SUMIF('20.01'!$AJ:$AJ,$B:$B,'20.01'!$D:$D)*1.2</f>
        <v>0</v>
      </c>
      <c r="BU169" s="17">
        <f>SUMIF('20.01'!$AK:$AK,$B:$B,'20.01'!$D:$D)*1.2</f>
        <v>0</v>
      </c>
      <c r="BV169" s="110">
        <f>SUMIF('20.01'!$AL:$AL,$B:$B,'20.01'!$D:$D)*1.2</f>
        <v>0</v>
      </c>
      <c r="BW169" s="110">
        <f>SUMIF('20.01'!$AM:$AM,$B:$B,'20.01'!$D:$D)*1.2</f>
        <v>0</v>
      </c>
      <c r="BX169" s="110">
        <f>SUMIF('20.01'!$AN:$AN,$B:$B,'20.01'!$D:$D)*1.2</f>
        <v>0</v>
      </c>
      <c r="BY169" s="110">
        <f t="shared" si="158"/>
        <v>390438.4564612247</v>
      </c>
      <c r="BZ169" s="17">
        <f t="shared" si="225"/>
        <v>335015.94618241064</v>
      </c>
      <c r="CA169" s="17">
        <f t="shared" si="159"/>
        <v>23927.282980733806</v>
      </c>
      <c r="CB169" s="17">
        <f t="shared" si="160"/>
        <v>1590.5632261577719</v>
      </c>
      <c r="CC169" s="17">
        <f>SUMIF('20.01'!$AO:$AO,$B:$B,'20.01'!$D:$D)*1.2</f>
        <v>0</v>
      </c>
      <c r="CD169" s="17">
        <f t="shared" si="161"/>
        <v>24970.227193625651</v>
      </c>
      <c r="CE169" s="17">
        <f>SUMIF('20.01'!$AQ:$AQ,$B:$B,'20.01'!$D:$D)*1.2</f>
        <v>0</v>
      </c>
      <c r="CF169" s="17">
        <f t="shared" si="162"/>
        <v>2271.8959460935166</v>
      </c>
      <c r="CG169" s="17">
        <f>SUMIF('20.01'!$AR:$AR,$B:$B,'20.01'!$D:$D)*1.2</f>
        <v>0</v>
      </c>
      <c r="CH169" s="17">
        <f t="shared" si="163"/>
        <v>1337.9818607280199</v>
      </c>
      <c r="CI169" s="17">
        <f>SUMIF('20.01'!$AT:$AT,$B:$B,'20.01'!$D:$D)*1.2</f>
        <v>0</v>
      </c>
      <c r="CJ169" s="17">
        <f>SUMIF('20.01'!$AU:$AU,$B:$B,'20.01'!$D:$D)*1.2</f>
        <v>0</v>
      </c>
      <c r="CK169" s="17">
        <f>SUMIF('20.01'!$AV:$AV,$B:$B,'20.01'!$D:$D)*1.2</f>
        <v>0</v>
      </c>
      <c r="CL169" s="17">
        <f t="shared" si="164"/>
        <v>1324.5590714752771</v>
      </c>
      <c r="CM169" s="17">
        <f>SUMIF('20.01'!$AW:$AW,$B:$B,'20.01'!$D:$D)*1.2</f>
        <v>0</v>
      </c>
      <c r="CN169" s="17">
        <f>SUMIF('20.01'!$AX:$AX,$B:$B,'20.01'!$D:$D)*1.2</f>
        <v>0</v>
      </c>
      <c r="CO169" s="110">
        <f t="shared" si="209"/>
        <v>444338.46806893573</v>
      </c>
      <c r="CP169" s="17">
        <f t="shared" si="210"/>
        <v>350512.56932266289</v>
      </c>
      <c r="CQ169" s="17">
        <f t="shared" si="165"/>
        <v>108137.95056312025</v>
      </c>
      <c r="CR169" s="17">
        <f t="shared" si="166"/>
        <v>242374.61875954265</v>
      </c>
      <c r="CS169" s="17">
        <f t="shared" si="211"/>
        <v>93825.898746272826</v>
      </c>
      <c r="CT169" s="17">
        <f t="shared" si="167"/>
        <v>3418.1597978271698</v>
      </c>
      <c r="CU169" s="17">
        <f t="shared" si="168"/>
        <v>3306.1586562470698</v>
      </c>
      <c r="CV169" s="17">
        <f t="shared" si="169"/>
        <v>3416.9872308016561</v>
      </c>
      <c r="CW169" s="17">
        <f t="shared" si="170"/>
        <v>35.830873370613659</v>
      </c>
      <c r="CX169" s="17">
        <f t="shared" si="171"/>
        <v>50453.472019202469</v>
      </c>
      <c r="CY169" s="17">
        <f t="shared" si="172"/>
        <v>33195.290168823849</v>
      </c>
      <c r="CZ169" s="110">
        <f t="shared" si="212"/>
        <v>110296.4401832274</v>
      </c>
      <c r="DA169" s="17">
        <f t="shared" si="213"/>
        <v>4166.3806244899606</v>
      </c>
      <c r="DB169" s="17">
        <f t="shared" si="173"/>
        <v>3953.7423789019563</v>
      </c>
      <c r="DC169" s="17">
        <f t="shared" si="174"/>
        <v>212.63824558800437</v>
      </c>
      <c r="DD169" s="17">
        <f t="shared" si="175"/>
        <v>7341.6405795748133</v>
      </c>
      <c r="DE169" s="17">
        <f t="shared" si="176"/>
        <v>2533.0594501813798</v>
      </c>
      <c r="DF169" s="17">
        <f t="shared" si="177"/>
        <v>3074.2205365629875</v>
      </c>
      <c r="DG169" s="17">
        <f t="shared" si="214"/>
        <v>93181.138992418259</v>
      </c>
      <c r="DH169" s="110">
        <f t="shared" si="215"/>
        <v>68833.594726429525</v>
      </c>
      <c r="DI169" s="17">
        <f t="shared" si="178"/>
        <v>61746.540971504706</v>
      </c>
      <c r="DJ169" s="17">
        <f t="shared" si="179"/>
        <v>6828.8046056581843</v>
      </c>
      <c r="DK169" s="17">
        <f t="shared" si="180"/>
        <v>258.24914926663126</v>
      </c>
      <c r="DL169" s="110">
        <f t="shared" si="216"/>
        <v>520873.45445978467</v>
      </c>
      <c r="DM169" s="17">
        <f t="shared" si="181"/>
        <v>216885.66430236894</v>
      </c>
      <c r="DN169" s="17">
        <f t="shared" si="182"/>
        <v>192332.57023040266</v>
      </c>
      <c r="DO169" s="17">
        <f t="shared" si="183"/>
        <v>111655.21992701302</v>
      </c>
      <c r="DP169" s="110">
        <f t="shared" si="217"/>
        <v>173349.05630215802</v>
      </c>
      <c r="DQ169" s="17">
        <f>SUMIF('20.01'!$BB:$BB,$B:$B,'20.01'!$D:$D)*1.2</f>
        <v>6012.5999999999995</v>
      </c>
      <c r="DR169" s="17">
        <f t="shared" si="184"/>
        <v>166105.10593646733</v>
      </c>
      <c r="DS169" s="17">
        <f t="shared" si="185"/>
        <v>1231.3503656906698</v>
      </c>
      <c r="DT169" s="110">
        <f t="shared" si="218"/>
        <v>0</v>
      </c>
      <c r="DU169" s="17">
        <f>SUMIF('20.01'!$BD:$BD,$B:$B,'20.01'!$D:$D)*1.2</f>
        <v>0</v>
      </c>
      <c r="DV169" s="17">
        <f t="shared" si="186"/>
        <v>0</v>
      </c>
      <c r="DW169" s="17">
        <f t="shared" si="187"/>
        <v>0</v>
      </c>
      <c r="DX169" s="110">
        <f t="shared" si="188"/>
        <v>1878548.5096609679</v>
      </c>
      <c r="DY169" s="110"/>
      <c r="DZ169" s="110">
        <f t="shared" si="219"/>
        <v>1878548.5096609679</v>
      </c>
      <c r="EA169" s="257"/>
      <c r="EB169" s="110">
        <f t="shared" si="189"/>
        <v>886.55421686746979</v>
      </c>
      <c r="EC169" s="110">
        <f>SUMIF(еирц!$B:$B,$B:$B,еирц!$K:$K)</f>
        <v>1866104.5799999998</v>
      </c>
      <c r="ED169" s="110">
        <f>SUMIF(еирц!$B:$B,$B:$B,еирц!$P:$P)</f>
        <v>1852847.5699999998</v>
      </c>
      <c r="EE169" s="110">
        <f>SUMIF(еирц!$B:$B,$B:$B,еирц!$S:$S)</f>
        <v>373050.72</v>
      </c>
      <c r="EF169" s="177">
        <f t="shared" si="220"/>
        <v>-11557.375444100471</v>
      </c>
      <c r="EG169" s="181">
        <f t="shared" si="221"/>
        <v>0</v>
      </c>
      <c r="EH169" s="177">
        <f t="shared" si="222"/>
        <v>-11557.375444100471</v>
      </c>
    </row>
    <row r="170" spans="1:138" ht="12" customHeight="1" x14ac:dyDescent="0.25">
      <c r="A170" s="5">
        <f t="shared" si="223"/>
        <v>166</v>
      </c>
      <c r="B170" s="6" t="s">
        <v>250</v>
      </c>
      <c r="C170" s="7">
        <f t="shared" si="226"/>
        <v>3817.5</v>
      </c>
      <c r="D170" s="8">
        <v>3817.5</v>
      </c>
      <c r="E170" s="8">
        <v>0</v>
      </c>
      <c r="F170" s="8">
        <v>710.3</v>
      </c>
      <c r="G170" s="87">
        <f t="shared" si="156"/>
        <v>3817.5</v>
      </c>
      <c r="H170" s="87">
        <f t="shared" si="157"/>
        <v>3817.5</v>
      </c>
      <c r="I170" s="91">
        <v>2</v>
      </c>
      <c r="J170" s="112">
        <v>5.986078225444549E-3</v>
      </c>
      <c r="K170" s="17">
        <v>1</v>
      </c>
      <c r="L170" s="112">
        <f t="shared" si="190"/>
        <v>2.4096385542168672E-3</v>
      </c>
      <c r="M170" s="116">
        <v>3.4064180929866041</v>
      </c>
      <c r="N170" s="120">
        <f t="shared" si="191"/>
        <v>3817.5</v>
      </c>
      <c r="O170" s="116">
        <v>3.0862317835566064</v>
      </c>
      <c r="P170" s="120">
        <f t="shared" si="192"/>
        <v>3817.5</v>
      </c>
      <c r="Q170" s="116">
        <v>1.6009257893354349</v>
      </c>
      <c r="R170" s="120">
        <f t="shared" si="193"/>
        <v>3817.5</v>
      </c>
      <c r="S170" s="5" t="s">
        <v>73</v>
      </c>
      <c r="T170" s="87">
        <v>41.34</v>
      </c>
      <c r="U170" s="88">
        <v>4.68</v>
      </c>
      <c r="V170" s="88">
        <v>7.92</v>
      </c>
      <c r="W170" s="88">
        <v>12.32</v>
      </c>
      <c r="X170" s="88">
        <v>6.34</v>
      </c>
      <c r="Y170" s="88">
        <v>2.89</v>
      </c>
      <c r="Z170" s="88">
        <v>1.66</v>
      </c>
      <c r="AA170" s="88">
        <v>5.29</v>
      </c>
      <c r="AB170" s="88">
        <v>0.24</v>
      </c>
      <c r="AC170" s="257"/>
      <c r="AD170" s="110">
        <f t="shared" si="194"/>
        <v>166502.39379635267</v>
      </c>
      <c r="AE170" s="110">
        <f t="shared" si="195"/>
        <v>165430.012009923</v>
      </c>
      <c r="AF170" s="16">
        <f>SUMIF('20.01'!$I:$I,$B:$B,'20.01'!$D:$D)*1.2</f>
        <v>50862.155999999995</v>
      </c>
      <c r="AG170" s="17">
        <f t="shared" si="224"/>
        <v>24425.560955119112</v>
      </c>
      <c r="AH170" s="17">
        <f t="shared" si="196"/>
        <v>2915.03917024358</v>
      </c>
      <c r="AI170" s="16">
        <f>SUMIF('20.01'!$J:$J,$B:$B,'20.01'!$D:$D)*1.2</f>
        <v>34650</v>
      </c>
      <c r="AJ170" s="17">
        <f t="shared" si="197"/>
        <v>1184.6063825238052</v>
      </c>
      <c r="AK170" s="17">
        <f t="shared" si="198"/>
        <v>2881.8841627951438</v>
      </c>
      <c r="AL170" s="17">
        <f t="shared" si="199"/>
        <v>48510.765339241349</v>
      </c>
      <c r="AM170" s="110">
        <f t="shared" si="200"/>
        <v>0</v>
      </c>
      <c r="AN170" s="17">
        <f>SUMIF('20.01'!$K:$K,$B:$B,'20.01'!$D:$D)*1.2</f>
        <v>0</v>
      </c>
      <c r="AO170" s="17">
        <f>SUMIF('20.01'!$L:$L,$B:$B,'20.01'!$D:$D)*1.2</f>
        <v>0</v>
      </c>
      <c r="AP170" s="17">
        <f>SUMIF('20.01'!$M:$M,$B:$B,'20.01'!$D:$D)*1.2</f>
        <v>0</v>
      </c>
      <c r="AQ170" s="110">
        <f t="shared" si="201"/>
        <v>1072.38178642967</v>
      </c>
      <c r="AR170" s="17">
        <f t="shared" si="202"/>
        <v>1072.38178642967</v>
      </c>
      <c r="AS170" s="17">
        <f>(SUMIF('20.01'!$N:$N,$B:$B,'20.01'!$D:$D)+SUMIF('20.01'!$O:$O,$B:$B,'20.01'!$D:$D))*1.2</f>
        <v>0</v>
      </c>
      <c r="AT170" s="110">
        <f>SUMIF('20.01'!$P:$P,$B:$B,'20.01'!$D:$D)*1.2</f>
        <v>0</v>
      </c>
      <c r="AU170" s="110">
        <f t="shared" si="203"/>
        <v>0</v>
      </c>
      <c r="AV170" s="17">
        <f>SUMIF('20.01'!$Q:$Q,$B:$B,'20.01'!$D:$D)*1.2</f>
        <v>0</v>
      </c>
      <c r="AW170" s="17">
        <f>SUMIF('20.01'!$R:$R,$B:$B,'20.01'!$D:$D)*1.2</f>
        <v>0</v>
      </c>
      <c r="AX170" s="110">
        <f t="shared" si="204"/>
        <v>0</v>
      </c>
      <c r="AY170" s="17">
        <f>SUMIF('20.01'!$S:$S,$B:$B,'20.01'!$D:$D)*1.2</f>
        <v>0</v>
      </c>
      <c r="AZ170" s="17">
        <f>SUMIF('20.01'!$T:$T,$B:$B,'20.01'!$D:$D)*1.2</f>
        <v>0</v>
      </c>
      <c r="BA170" s="110">
        <f t="shared" si="205"/>
        <v>0</v>
      </c>
      <c r="BB170" s="17">
        <f>SUMIF('20.01'!$U:$U,$B:$B,'20.01'!$D:$D)*1.2</f>
        <v>0</v>
      </c>
      <c r="BC170" s="17">
        <f>SUMIF('20.01'!$V:$V,$B:$B,'20.01'!$D:$D)*1.2</f>
        <v>0</v>
      </c>
      <c r="BD170" s="17">
        <f>SUMIF('20.01'!$W:$W,$B:$B,'20.01'!$D:$D)*1.2</f>
        <v>0</v>
      </c>
      <c r="BE170" s="110">
        <f>SUMIF('20.01'!$X:$X,$B:$B,'20.01'!$D:$D)*1.2</f>
        <v>0</v>
      </c>
      <c r="BF170" s="110">
        <f t="shared" si="206"/>
        <v>0</v>
      </c>
      <c r="BG170" s="17">
        <f>SUMIF('20.01'!$Y:$Y,$B:$B,'20.01'!$D:$D)*1.2</f>
        <v>0</v>
      </c>
      <c r="BH170" s="17">
        <f>SUMIF('20.01'!$Z:$Z,$B:$B,'20.01'!$D:$D)*1.2</f>
        <v>0</v>
      </c>
      <c r="BI170" s="17">
        <f>SUMIF('20.01'!$AA:$AA,$B:$B,'20.01'!$D:$D)*1.2</f>
        <v>0</v>
      </c>
      <c r="BJ170" s="17">
        <f>SUMIF('20.01'!$AB:$AB,$B:$B,'20.01'!$D:$D)*1.2</f>
        <v>0</v>
      </c>
      <c r="BK170" s="17">
        <f>SUMIF('20.01'!$AC:$AC,$B:$B,'20.01'!$D:$D)*1.2</f>
        <v>0</v>
      </c>
      <c r="BL170" s="17">
        <f>SUMIF('20.01'!$AD:$AD,$B:$B,'20.01'!$D:$D)*1.2</f>
        <v>0</v>
      </c>
      <c r="BM170" s="110">
        <f t="shared" si="207"/>
        <v>0</v>
      </c>
      <c r="BN170" s="17">
        <f>SUMIF('20.01'!$AE:$AE,$B:$B,'20.01'!$D:$D)*1.2</f>
        <v>0</v>
      </c>
      <c r="BO170" s="17">
        <f>SUMIF('20.01'!$AF:$AF,$B:$B,'20.01'!$D:$D)*1.2</f>
        <v>0</v>
      </c>
      <c r="BP170" s="110">
        <f>SUMIF('20.01'!$AG:$AG,$B:$B,'20.01'!$D:$D)*1.2</f>
        <v>0</v>
      </c>
      <c r="BQ170" s="110">
        <f>SUMIF('20.01'!$AH:$AH,$B:$B,'20.01'!$D:$D)*1.2</f>
        <v>0</v>
      </c>
      <c r="BR170" s="110">
        <f>SUMIF('20.01'!$AI:$AI,$B:$B,'20.01'!$D:$D)*1.2</f>
        <v>0</v>
      </c>
      <c r="BS170" s="110">
        <f t="shared" si="208"/>
        <v>0</v>
      </c>
      <c r="BT170" s="17">
        <f>SUMIF('20.01'!$AJ:$AJ,$B:$B,'20.01'!$D:$D)*1.2</f>
        <v>0</v>
      </c>
      <c r="BU170" s="17">
        <f>SUMIF('20.01'!$AK:$AK,$B:$B,'20.01'!$D:$D)*1.2</f>
        <v>0</v>
      </c>
      <c r="BV170" s="110">
        <f>SUMIF('20.01'!$AL:$AL,$B:$B,'20.01'!$D:$D)*1.2</f>
        <v>0</v>
      </c>
      <c r="BW170" s="110">
        <f>SUMIF('20.01'!$AM:$AM,$B:$B,'20.01'!$D:$D)*1.2</f>
        <v>0</v>
      </c>
      <c r="BX170" s="110">
        <f>SUMIF('20.01'!$AN:$AN,$B:$B,'20.01'!$D:$D)*1.2</f>
        <v>0</v>
      </c>
      <c r="BY170" s="110">
        <f t="shared" si="158"/>
        <v>386357.78951343644</v>
      </c>
      <c r="BZ170" s="17">
        <f t="shared" si="225"/>
        <v>331514.52751848259</v>
      </c>
      <c r="CA170" s="17">
        <f t="shared" si="159"/>
        <v>23677.207018199733</v>
      </c>
      <c r="CB170" s="17">
        <f t="shared" si="160"/>
        <v>1573.9394569620392</v>
      </c>
      <c r="CC170" s="17">
        <f>SUMIF('20.01'!$AO:$AO,$B:$B,'20.01'!$D:$D)*1.2</f>
        <v>0</v>
      </c>
      <c r="CD170" s="17">
        <f t="shared" si="161"/>
        <v>24709.250901199623</v>
      </c>
      <c r="CE170" s="17">
        <f>SUMIF('20.01'!$AQ:$AQ,$B:$B,'20.01'!$D:$D)*1.2</f>
        <v>0</v>
      </c>
      <c r="CF170" s="17">
        <f t="shared" si="162"/>
        <v>2248.1512289873554</v>
      </c>
      <c r="CG170" s="17">
        <f>SUMIF('20.01'!$AR:$AR,$B:$B,'20.01'!$D:$D)*1.2</f>
        <v>0</v>
      </c>
      <c r="CH170" s="17">
        <f t="shared" si="163"/>
        <v>1323.9979452979185</v>
      </c>
      <c r="CI170" s="17">
        <f>SUMIF('20.01'!$AT:$AT,$B:$B,'20.01'!$D:$D)*1.2</f>
        <v>0</v>
      </c>
      <c r="CJ170" s="17">
        <f>SUMIF('20.01'!$AU:$AU,$B:$B,'20.01'!$D:$D)*1.2</f>
        <v>0</v>
      </c>
      <c r="CK170" s="17">
        <f>SUMIF('20.01'!$AV:$AV,$B:$B,'20.01'!$D:$D)*1.2</f>
        <v>0</v>
      </c>
      <c r="CL170" s="17">
        <f t="shared" si="164"/>
        <v>1310.715444307114</v>
      </c>
      <c r="CM170" s="17">
        <f>SUMIF('20.01'!$AW:$AW,$B:$B,'20.01'!$D:$D)*1.2</f>
        <v>0</v>
      </c>
      <c r="CN170" s="17">
        <f>SUMIF('20.01'!$AX:$AX,$B:$B,'20.01'!$D:$D)*1.2</f>
        <v>0</v>
      </c>
      <c r="CO170" s="110">
        <f t="shared" si="209"/>
        <v>439694.46522988688</v>
      </c>
      <c r="CP170" s="17">
        <f t="shared" si="210"/>
        <v>346849.1877250016</v>
      </c>
      <c r="CQ170" s="17">
        <f t="shared" si="165"/>
        <v>107007.74693342653</v>
      </c>
      <c r="CR170" s="17">
        <f t="shared" si="166"/>
        <v>239841.44079157506</v>
      </c>
      <c r="CS170" s="17">
        <f t="shared" si="211"/>
        <v>92845.277504885278</v>
      </c>
      <c r="CT170" s="17">
        <f t="shared" si="167"/>
        <v>3382.4349057771542</v>
      </c>
      <c r="CU170" s="17">
        <f t="shared" si="168"/>
        <v>3271.6043439619239</v>
      </c>
      <c r="CV170" s="17">
        <f t="shared" si="169"/>
        <v>3381.2745938341659</v>
      </c>
      <c r="CW170" s="17">
        <f t="shared" si="170"/>
        <v>35.456387050800096</v>
      </c>
      <c r="CX170" s="17">
        <f t="shared" si="171"/>
        <v>49926.157631332047</v>
      </c>
      <c r="CY170" s="17">
        <f t="shared" si="172"/>
        <v>32848.349642929177</v>
      </c>
      <c r="CZ170" s="110">
        <f t="shared" si="212"/>
        <v>109143.67710247511</v>
      </c>
      <c r="DA170" s="17">
        <f t="shared" si="213"/>
        <v>4122.835703581407</v>
      </c>
      <c r="DB170" s="17">
        <f t="shared" si="173"/>
        <v>3912.4198463013354</v>
      </c>
      <c r="DC170" s="17">
        <f t="shared" si="174"/>
        <v>210.4158572800718</v>
      </c>
      <c r="DD170" s="17">
        <f t="shared" si="175"/>
        <v>7264.9094339618878</v>
      </c>
      <c r="DE170" s="17">
        <f t="shared" si="176"/>
        <v>2506.5851831001492</v>
      </c>
      <c r="DF170" s="17">
        <f t="shared" si="177"/>
        <v>3042.0903251912232</v>
      </c>
      <c r="DG170" s="17">
        <f t="shared" si="214"/>
        <v>92207.256456640447</v>
      </c>
      <c r="DH170" s="110">
        <f t="shared" si="215"/>
        <v>68114.180513384417</v>
      </c>
      <c r="DI170" s="17">
        <f t="shared" si="178"/>
        <v>61101.197090252841</v>
      </c>
      <c r="DJ170" s="17">
        <f t="shared" si="179"/>
        <v>6757.4333644649359</v>
      </c>
      <c r="DK170" s="17">
        <f t="shared" si="180"/>
        <v>255.55005866664717</v>
      </c>
      <c r="DL170" s="110">
        <f t="shared" si="216"/>
        <v>515429.54632414877</v>
      </c>
      <c r="DM170" s="17">
        <f t="shared" si="181"/>
        <v>214618.88410405186</v>
      </c>
      <c r="DN170" s="17">
        <f t="shared" si="182"/>
        <v>190322.40665831015</v>
      </c>
      <c r="DO170" s="17">
        <f t="shared" si="183"/>
        <v>110488.25556178676</v>
      </c>
      <c r="DP170" s="110">
        <f t="shared" si="217"/>
        <v>172703.43129119655</v>
      </c>
      <c r="DQ170" s="17">
        <f>SUMIF('20.01'!$BB:$BB,$B:$B,'20.01'!$D:$D)*1.2</f>
        <v>7379.808</v>
      </c>
      <c r="DR170" s="17">
        <f t="shared" si="184"/>
        <v>164107.08441798572</v>
      </c>
      <c r="DS170" s="17">
        <f t="shared" si="185"/>
        <v>1216.5388732108352</v>
      </c>
      <c r="DT170" s="110">
        <f t="shared" si="218"/>
        <v>7965.3240000000005</v>
      </c>
      <c r="DU170" s="17">
        <f>SUMIF('20.01'!$BD:$BD,$B:$B,'20.01'!$D:$D)*1.2</f>
        <v>7965.3240000000005</v>
      </c>
      <c r="DV170" s="17">
        <f t="shared" si="186"/>
        <v>0</v>
      </c>
      <c r="DW170" s="17">
        <f t="shared" si="187"/>
        <v>0</v>
      </c>
      <c r="DX170" s="110">
        <f t="shared" si="188"/>
        <v>1865910.8077708809</v>
      </c>
      <c r="DY170" s="110"/>
      <c r="DZ170" s="110">
        <f t="shared" si="219"/>
        <v>1865910.8077708809</v>
      </c>
      <c r="EA170" s="257"/>
      <c r="EB170" s="110">
        <f t="shared" si="189"/>
        <v>886.55421686746979</v>
      </c>
      <c r="EC170" s="110">
        <f>SUMIF(еирц!$B:$B,$B:$B,еирц!$K:$K)</f>
        <v>1849774.2399999998</v>
      </c>
      <c r="ED170" s="110">
        <f>SUMIF(еирц!$B:$B,$B:$B,еирц!$P:$P)</f>
        <v>1842917.6099999999</v>
      </c>
      <c r="EE170" s="110">
        <f>SUMIF(еирц!$B:$B,$B:$B,еирц!$S:$S)</f>
        <v>302707.59999999998</v>
      </c>
      <c r="EF170" s="177">
        <f t="shared" si="220"/>
        <v>-15250.013554013567</v>
      </c>
      <c r="EG170" s="181">
        <f t="shared" si="221"/>
        <v>0</v>
      </c>
      <c r="EH170" s="177">
        <f t="shared" si="222"/>
        <v>-15250.013554013567</v>
      </c>
    </row>
    <row r="171" spans="1:138" ht="12" customHeight="1" x14ac:dyDescent="0.25">
      <c r="A171" s="5">
        <f t="shared" si="223"/>
        <v>167</v>
      </c>
      <c r="B171" s="6" t="s">
        <v>251</v>
      </c>
      <c r="C171" s="7">
        <f t="shared" si="226"/>
        <v>3706.6</v>
      </c>
      <c r="D171" s="8">
        <v>3673.7</v>
      </c>
      <c r="E171" s="8">
        <v>32.9</v>
      </c>
      <c r="F171" s="8">
        <v>670.6</v>
      </c>
      <c r="G171" s="87">
        <f t="shared" si="156"/>
        <v>3706.6</v>
      </c>
      <c r="H171" s="87">
        <f t="shared" si="157"/>
        <v>3706.6</v>
      </c>
      <c r="I171" s="91">
        <v>2</v>
      </c>
      <c r="J171" s="112">
        <v>5.8230684083067554E-3</v>
      </c>
      <c r="K171" s="17">
        <v>1</v>
      </c>
      <c r="L171" s="112">
        <f t="shared" si="190"/>
        <v>2.4096385542168672E-3</v>
      </c>
      <c r="M171" s="116">
        <v>3.4064190358134145</v>
      </c>
      <c r="N171" s="120">
        <f t="shared" si="191"/>
        <v>3706.6</v>
      </c>
      <c r="O171" s="116">
        <v>3.0862342827885416</v>
      </c>
      <c r="P171" s="120">
        <f t="shared" si="192"/>
        <v>3706.6</v>
      </c>
      <c r="Q171" s="116">
        <v>1.6009267185857881</v>
      </c>
      <c r="R171" s="120">
        <f t="shared" si="193"/>
        <v>3706.6</v>
      </c>
      <c r="S171" s="5" t="s">
        <v>73</v>
      </c>
      <c r="T171" s="87">
        <v>41.34</v>
      </c>
      <c r="U171" s="88">
        <v>4.68</v>
      </c>
      <c r="V171" s="88">
        <v>7.92</v>
      </c>
      <c r="W171" s="88">
        <v>12.32</v>
      </c>
      <c r="X171" s="88">
        <v>6.34</v>
      </c>
      <c r="Y171" s="88">
        <v>2.89</v>
      </c>
      <c r="Z171" s="88">
        <v>1.66</v>
      </c>
      <c r="AA171" s="88">
        <v>5.29</v>
      </c>
      <c r="AB171" s="88">
        <v>0.24</v>
      </c>
      <c r="AC171" s="257"/>
      <c r="AD171" s="110">
        <f t="shared" si="194"/>
        <v>1763553.5729131526</v>
      </c>
      <c r="AE171" s="110">
        <f t="shared" si="195"/>
        <v>124147.892274101</v>
      </c>
      <c r="AF171" s="16">
        <f>SUMIF('20.01'!$I:$I,$B:$B,'20.01'!$D:$D)*1.2</f>
        <v>46551.684000000001</v>
      </c>
      <c r="AG171" s="17">
        <f t="shared" si="224"/>
        <v>23715.988012113816</v>
      </c>
      <c r="AH171" s="17">
        <f t="shared" si="196"/>
        <v>2830.3560414996341</v>
      </c>
      <c r="AI171" s="16">
        <f>SUMIF('20.01'!$J:$J,$B:$B,'20.01'!$D:$D)*1.2</f>
        <v>0</v>
      </c>
      <c r="AJ171" s="17">
        <f t="shared" si="197"/>
        <v>1150.1930628586081</v>
      </c>
      <c r="AK171" s="17">
        <f t="shared" si="198"/>
        <v>2798.1642011307085</v>
      </c>
      <c r="AL171" s="17">
        <f t="shared" si="199"/>
        <v>47101.506956498226</v>
      </c>
      <c r="AM171" s="110">
        <f t="shared" si="200"/>
        <v>0</v>
      </c>
      <c r="AN171" s="17">
        <f>SUMIF('20.01'!$K:$K,$B:$B,'20.01'!$D:$D)*1.2</f>
        <v>0</v>
      </c>
      <c r="AO171" s="17">
        <f>SUMIF('20.01'!$L:$L,$B:$B,'20.01'!$D:$D)*1.2</f>
        <v>0</v>
      </c>
      <c r="AP171" s="17">
        <f>SUMIF('20.01'!$M:$M,$B:$B,'20.01'!$D:$D)*1.2</f>
        <v>0</v>
      </c>
      <c r="AQ171" s="110">
        <f t="shared" si="201"/>
        <v>1041.2286390517918</v>
      </c>
      <c r="AR171" s="17">
        <f t="shared" si="202"/>
        <v>1041.2286390517918</v>
      </c>
      <c r="AS171" s="17">
        <f>(SUMIF('20.01'!$N:$N,$B:$B,'20.01'!$D:$D)+SUMIF('20.01'!$O:$O,$B:$B,'20.01'!$D:$D))*1.2</f>
        <v>0</v>
      </c>
      <c r="AT171" s="110">
        <f>SUMIF('20.01'!$P:$P,$B:$B,'20.01'!$D:$D)*1.2</f>
        <v>0</v>
      </c>
      <c r="AU171" s="110">
        <f t="shared" si="203"/>
        <v>0</v>
      </c>
      <c r="AV171" s="17">
        <f>SUMIF('20.01'!$Q:$Q,$B:$B,'20.01'!$D:$D)*1.2</f>
        <v>0</v>
      </c>
      <c r="AW171" s="17">
        <f>SUMIF('20.01'!$R:$R,$B:$B,'20.01'!$D:$D)*1.2</f>
        <v>0</v>
      </c>
      <c r="AX171" s="110">
        <f t="shared" si="204"/>
        <v>57446.400000000001</v>
      </c>
      <c r="AY171" s="17">
        <f>SUMIF('20.01'!$S:$S,$B:$B,'20.01'!$D:$D)*1.2</f>
        <v>57446.400000000001</v>
      </c>
      <c r="AZ171" s="17">
        <f>SUMIF('20.01'!$T:$T,$B:$B,'20.01'!$D:$D)*1.2</f>
        <v>0</v>
      </c>
      <c r="BA171" s="110">
        <f t="shared" si="205"/>
        <v>0</v>
      </c>
      <c r="BB171" s="17">
        <f>SUMIF('20.01'!$U:$U,$B:$B,'20.01'!$D:$D)*1.2</f>
        <v>0</v>
      </c>
      <c r="BC171" s="17">
        <f>SUMIF('20.01'!$V:$V,$B:$B,'20.01'!$D:$D)*1.2</f>
        <v>0</v>
      </c>
      <c r="BD171" s="17">
        <f>SUMIF('20.01'!$W:$W,$B:$B,'20.01'!$D:$D)*1.2</f>
        <v>0</v>
      </c>
      <c r="BE171" s="110">
        <f>SUMIF('20.01'!$X:$X,$B:$B,'20.01'!$D:$D)*1.2</f>
        <v>32600.003999999997</v>
      </c>
      <c r="BF171" s="110">
        <f t="shared" si="206"/>
        <v>1548318.048</v>
      </c>
      <c r="BG171" s="17">
        <f>SUMIF('20.01'!$Y:$Y,$B:$B,'20.01'!$D:$D)*1.2</f>
        <v>0</v>
      </c>
      <c r="BH171" s="17">
        <f>SUMIF('20.01'!$Z:$Z,$B:$B,'20.01'!$D:$D)*1.2</f>
        <v>1548318.048</v>
      </c>
      <c r="BI171" s="17">
        <f>SUMIF('20.01'!$AA:$AA,$B:$B,'20.01'!$D:$D)*1.2</f>
        <v>0</v>
      </c>
      <c r="BJ171" s="17">
        <f>SUMIF('20.01'!$AB:$AB,$B:$B,'20.01'!$D:$D)*1.2</f>
        <v>0</v>
      </c>
      <c r="BK171" s="17">
        <f>SUMIF('20.01'!$AC:$AC,$B:$B,'20.01'!$D:$D)*1.2</f>
        <v>0</v>
      </c>
      <c r="BL171" s="17">
        <f>SUMIF('20.01'!$AD:$AD,$B:$B,'20.01'!$D:$D)*1.2</f>
        <v>0</v>
      </c>
      <c r="BM171" s="110">
        <f t="shared" si="207"/>
        <v>0</v>
      </c>
      <c r="BN171" s="17">
        <f>SUMIF('20.01'!$AE:$AE,$B:$B,'20.01'!$D:$D)*1.2</f>
        <v>0</v>
      </c>
      <c r="BO171" s="17">
        <f>SUMIF('20.01'!$AF:$AF,$B:$B,'20.01'!$D:$D)*1.2</f>
        <v>0</v>
      </c>
      <c r="BP171" s="110">
        <f>SUMIF('20.01'!$AG:$AG,$B:$B,'20.01'!$D:$D)*1.2</f>
        <v>0</v>
      </c>
      <c r="BQ171" s="110">
        <f>SUMIF('20.01'!$AH:$AH,$B:$B,'20.01'!$D:$D)*1.2</f>
        <v>0</v>
      </c>
      <c r="BR171" s="110">
        <f>SUMIF('20.01'!$AI:$AI,$B:$B,'20.01'!$D:$D)*1.2</f>
        <v>0</v>
      </c>
      <c r="BS171" s="110">
        <f t="shared" si="208"/>
        <v>0</v>
      </c>
      <c r="BT171" s="17">
        <f>SUMIF('20.01'!$AJ:$AJ,$B:$B,'20.01'!$D:$D)*1.2</f>
        <v>0</v>
      </c>
      <c r="BU171" s="17">
        <f>SUMIF('20.01'!$AK:$AK,$B:$B,'20.01'!$D:$D)*1.2</f>
        <v>0</v>
      </c>
      <c r="BV171" s="110">
        <f>SUMIF('20.01'!$AL:$AL,$B:$B,'20.01'!$D:$D)*1.2</f>
        <v>0</v>
      </c>
      <c r="BW171" s="110">
        <f>SUMIF('20.01'!$AM:$AM,$B:$B,'20.01'!$D:$D)*1.2</f>
        <v>0</v>
      </c>
      <c r="BX171" s="110">
        <f>SUMIF('20.01'!$AN:$AN,$B:$B,'20.01'!$D:$D)*1.2</f>
        <v>0</v>
      </c>
      <c r="BY171" s="110">
        <f t="shared" si="158"/>
        <v>375133.93126666755</v>
      </c>
      <c r="BZ171" s="17">
        <f t="shared" si="225"/>
        <v>321883.8893778671</v>
      </c>
      <c r="CA171" s="17">
        <f t="shared" si="159"/>
        <v>22989.374075614705</v>
      </c>
      <c r="CB171" s="17">
        <f t="shared" si="160"/>
        <v>1528.2158457565147</v>
      </c>
      <c r="CC171" s="17">
        <f>SUMIF('20.01'!$AO:$AO,$B:$B,'20.01'!$D:$D)*1.2</f>
        <v>0</v>
      </c>
      <c r="CD171" s="17">
        <f t="shared" si="161"/>
        <v>23991.436644502035</v>
      </c>
      <c r="CE171" s="17">
        <f>SUMIF('20.01'!$AQ:$AQ,$B:$B,'20.01'!$D:$D)*1.2</f>
        <v>0</v>
      </c>
      <c r="CF171" s="17">
        <f t="shared" si="162"/>
        <v>2182.8414788119271</v>
      </c>
      <c r="CG171" s="17">
        <f>SUMIF('20.01'!$AR:$AR,$B:$B,'20.01'!$D:$D)*1.2</f>
        <v>0</v>
      </c>
      <c r="CH171" s="17">
        <f t="shared" si="163"/>
        <v>1285.5352413991525</v>
      </c>
      <c r="CI171" s="17">
        <f>SUMIF('20.01'!$AT:$AT,$B:$B,'20.01'!$D:$D)*1.2</f>
        <v>0</v>
      </c>
      <c r="CJ171" s="17">
        <f>SUMIF('20.01'!$AU:$AU,$B:$B,'20.01'!$D:$D)*1.2</f>
        <v>0</v>
      </c>
      <c r="CK171" s="17">
        <f>SUMIF('20.01'!$AV:$AV,$B:$B,'20.01'!$D:$D)*1.2</f>
        <v>0</v>
      </c>
      <c r="CL171" s="17">
        <f t="shared" si="164"/>
        <v>1272.6386027161095</v>
      </c>
      <c r="CM171" s="17">
        <f>SUMIF('20.01'!$AW:$AW,$B:$B,'20.01'!$D:$D)*1.2</f>
        <v>0</v>
      </c>
      <c r="CN171" s="17">
        <f>SUMIF('20.01'!$AX:$AX,$B:$B,'20.01'!$D:$D)*1.2</f>
        <v>0</v>
      </c>
      <c r="CO171" s="110">
        <f t="shared" si="209"/>
        <v>426921.15384966566</v>
      </c>
      <c r="CP171" s="17">
        <f t="shared" si="210"/>
        <v>336773.0711778627</v>
      </c>
      <c r="CQ171" s="17">
        <f t="shared" si="165"/>
        <v>103899.12633488901</v>
      </c>
      <c r="CR171" s="17">
        <f t="shared" si="166"/>
        <v>232873.94484297369</v>
      </c>
      <c r="CS171" s="17">
        <f t="shared" si="211"/>
        <v>90148.082671802942</v>
      </c>
      <c r="CT171" s="17">
        <f t="shared" si="167"/>
        <v>3284.1737319590306</v>
      </c>
      <c r="CU171" s="17">
        <f t="shared" si="168"/>
        <v>3176.5628451419166</v>
      </c>
      <c r="CV171" s="17">
        <f t="shared" si="169"/>
        <v>3283.0471275718974</v>
      </c>
      <c r="CW171" s="17">
        <f t="shared" si="170"/>
        <v>34.42636391420973</v>
      </c>
      <c r="CX171" s="17">
        <f t="shared" si="171"/>
        <v>48475.781500011886</v>
      </c>
      <c r="CY171" s="17">
        <f t="shared" si="172"/>
        <v>31894.091103204006</v>
      </c>
      <c r="CZ171" s="110">
        <f t="shared" si="212"/>
        <v>105973.00682332266</v>
      </c>
      <c r="DA171" s="17">
        <f t="shared" si="213"/>
        <v>4003.0655714197364</v>
      </c>
      <c r="DB171" s="17">
        <f t="shared" si="173"/>
        <v>3798.762384361632</v>
      </c>
      <c r="DC171" s="17">
        <f t="shared" si="174"/>
        <v>204.30318705810456</v>
      </c>
      <c r="DD171" s="17">
        <f t="shared" si="175"/>
        <v>7053.8607224422085</v>
      </c>
      <c r="DE171" s="17">
        <f t="shared" si="176"/>
        <v>2433.7678165498396</v>
      </c>
      <c r="DF171" s="17">
        <f t="shared" si="177"/>
        <v>2953.7163063140242</v>
      </c>
      <c r="DG171" s="17">
        <f t="shared" si="214"/>
        <v>89528.596406596858</v>
      </c>
      <c r="DH171" s="110">
        <f t="shared" si="215"/>
        <v>66135.434575222185</v>
      </c>
      <c r="DI171" s="17">
        <f t="shared" si="178"/>
        <v>59326.181305758</v>
      </c>
      <c r="DJ171" s="17">
        <f t="shared" si="179"/>
        <v>6561.1270487821166</v>
      </c>
      <c r="DK171" s="17">
        <f t="shared" si="180"/>
        <v>248.12622068206795</v>
      </c>
      <c r="DL171" s="110">
        <f t="shared" si="216"/>
        <v>500456.09859989252</v>
      </c>
      <c r="DM171" s="17">
        <f t="shared" si="181"/>
        <v>208384.11416374031</v>
      </c>
      <c r="DN171" s="17">
        <f t="shared" si="182"/>
        <v>184793.45973010935</v>
      </c>
      <c r="DO171" s="17">
        <f t="shared" si="183"/>
        <v>107278.52470604291</v>
      </c>
      <c r="DP171" s="110">
        <f t="shared" si="217"/>
        <v>166834.21503365258</v>
      </c>
      <c r="DQ171" s="17">
        <f>SUMIF('20.01'!$BB:$BB,$B:$B,'20.01'!$D:$D)*1.2</f>
        <v>6012.5999999999995</v>
      </c>
      <c r="DR171" s="17">
        <f t="shared" si="184"/>
        <v>159638.2043241233</v>
      </c>
      <c r="DS171" s="17">
        <f t="shared" si="185"/>
        <v>1183.4107095292807</v>
      </c>
      <c r="DT171" s="110">
        <f t="shared" si="218"/>
        <v>7680.8519999999999</v>
      </c>
      <c r="DU171" s="17">
        <f>SUMIF('20.01'!$BD:$BD,$B:$B,'20.01'!$D:$D)*1.2</f>
        <v>7680.8519999999999</v>
      </c>
      <c r="DV171" s="17">
        <f t="shared" si="186"/>
        <v>0</v>
      </c>
      <c r="DW171" s="17">
        <f t="shared" si="187"/>
        <v>0</v>
      </c>
      <c r="DX171" s="110">
        <f t="shared" si="188"/>
        <v>3412688.2650615759</v>
      </c>
      <c r="DY171" s="110"/>
      <c r="DZ171" s="110">
        <f t="shared" si="219"/>
        <v>3412688.2650615759</v>
      </c>
      <c r="EA171" s="257"/>
      <c r="EB171" s="110">
        <f t="shared" si="189"/>
        <v>886.55421686746979</v>
      </c>
      <c r="EC171" s="110">
        <f>SUMIF(еирц!$B:$B,$B:$B,еирц!$K:$K)</f>
        <v>1787403.48</v>
      </c>
      <c r="ED171" s="110">
        <f>SUMIF(еирц!$B:$B,$B:$B,еирц!$P:$P)</f>
        <v>1761899.86</v>
      </c>
      <c r="EE171" s="110">
        <f>SUMIF(еирц!$B:$B,$B:$B,еирц!$S:$S)</f>
        <v>593448.41</v>
      </c>
      <c r="EF171" s="177">
        <f t="shared" si="220"/>
        <v>-1624398.2308447084</v>
      </c>
      <c r="EG171" s="181">
        <f t="shared" si="221"/>
        <v>0</v>
      </c>
      <c r="EH171" s="177">
        <f t="shared" si="222"/>
        <v>-1624398.2308447084</v>
      </c>
    </row>
    <row r="172" spans="1:138" ht="12" customHeight="1" x14ac:dyDescent="0.25">
      <c r="A172" s="5">
        <f t="shared" si="223"/>
        <v>168</v>
      </c>
      <c r="B172" s="6" t="s">
        <v>252</v>
      </c>
      <c r="C172" s="7">
        <f t="shared" si="226"/>
        <v>9577.4000000000033</v>
      </c>
      <c r="D172" s="8">
        <v>9471.7000000000025</v>
      </c>
      <c r="E172" s="8">
        <v>105.7</v>
      </c>
      <c r="F172" s="8">
        <v>963.6</v>
      </c>
      <c r="G172" s="91">
        <f t="shared" si="156"/>
        <v>9577.4000000000033</v>
      </c>
      <c r="H172" s="87">
        <f t="shared" si="157"/>
        <v>0</v>
      </c>
      <c r="I172" s="91">
        <v>8</v>
      </c>
      <c r="J172" s="112">
        <v>1.5039927382484415E-2</v>
      </c>
      <c r="K172" s="17">
        <v>4</v>
      </c>
      <c r="L172" s="112">
        <f t="shared" si="190"/>
        <v>9.638554216867469E-3</v>
      </c>
      <c r="M172" s="116">
        <v>3.406417982694478</v>
      </c>
      <c r="N172" s="120">
        <f t="shared" si="191"/>
        <v>9577.4000000000033</v>
      </c>
      <c r="O172" s="116">
        <v>3.0862320946369599</v>
      </c>
      <c r="P172" s="120">
        <f t="shared" si="192"/>
        <v>9577.4000000000033</v>
      </c>
      <c r="Q172" s="116">
        <v>1.6009271496049826</v>
      </c>
      <c r="R172" s="120">
        <f t="shared" si="193"/>
        <v>9577.4000000000033</v>
      </c>
      <c r="S172" s="5" t="s">
        <v>73</v>
      </c>
      <c r="T172" s="87">
        <v>41.1</v>
      </c>
      <c r="U172" s="88">
        <v>4.68</v>
      </c>
      <c r="V172" s="88">
        <v>7.92</v>
      </c>
      <c r="W172" s="88">
        <v>12.32</v>
      </c>
      <c r="X172" s="88">
        <v>6.34</v>
      </c>
      <c r="Y172" s="88">
        <v>2.89</v>
      </c>
      <c r="Z172" s="88">
        <v>1.66</v>
      </c>
      <c r="AA172" s="88">
        <v>5.29</v>
      </c>
      <c r="AB172" s="88">
        <v>0</v>
      </c>
      <c r="AC172" s="257"/>
      <c r="AD172" s="110">
        <f t="shared" si="194"/>
        <v>1319780.6766524657</v>
      </c>
      <c r="AE172" s="110">
        <f t="shared" si="195"/>
        <v>362220.00549559575</v>
      </c>
      <c r="AF172" s="16">
        <f>SUMIF('20.01'!$I:$I,$B:$B,'20.01'!$D:$D)*1.2</f>
        <v>133070.916</v>
      </c>
      <c r="AG172" s="17">
        <f t="shared" si="224"/>
        <v>61279.205629746655</v>
      </c>
      <c r="AH172" s="17">
        <f t="shared" si="196"/>
        <v>7313.2930318509161</v>
      </c>
      <c r="AI172" s="16">
        <f>SUMIF('20.01'!$J:$J,$B:$B,'20.01'!$D:$D)*1.2</f>
        <v>28650</v>
      </c>
      <c r="AJ172" s="17">
        <f t="shared" si="197"/>
        <v>2971.9578698057621</v>
      </c>
      <c r="AK172" s="17">
        <f t="shared" si="198"/>
        <v>7230.1132628039868</v>
      </c>
      <c r="AL172" s="17">
        <f t="shared" si="199"/>
        <v>121704.5197013884</v>
      </c>
      <c r="AM172" s="110">
        <f t="shared" si="200"/>
        <v>0</v>
      </c>
      <c r="AN172" s="17">
        <f>SUMIF('20.01'!$K:$K,$B:$B,'20.01'!$D:$D)*1.2</f>
        <v>0</v>
      </c>
      <c r="AO172" s="17">
        <f>SUMIF('20.01'!$L:$L,$B:$B,'20.01'!$D:$D)*1.2</f>
        <v>0</v>
      </c>
      <c r="AP172" s="17">
        <f>SUMIF('20.01'!$M:$M,$B:$B,'20.01'!$D:$D)*1.2</f>
        <v>0</v>
      </c>
      <c r="AQ172" s="110">
        <f t="shared" si="201"/>
        <v>2690.4071568700788</v>
      </c>
      <c r="AR172" s="17">
        <f t="shared" si="202"/>
        <v>2690.4071568700788</v>
      </c>
      <c r="AS172" s="17">
        <f>(SUMIF('20.01'!$N:$N,$B:$B,'20.01'!$D:$D)+SUMIF('20.01'!$O:$O,$B:$B,'20.01'!$D:$D))*1.2</f>
        <v>0</v>
      </c>
      <c r="AT172" s="110">
        <f>SUMIF('20.01'!$P:$P,$B:$B,'20.01'!$D:$D)*1.2</f>
        <v>0</v>
      </c>
      <c r="AU172" s="110">
        <f t="shared" si="203"/>
        <v>7728.6839999999993</v>
      </c>
      <c r="AV172" s="17">
        <f>SUMIF('20.01'!$Q:$Q,$B:$B,'20.01'!$D:$D)*1.2</f>
        <v>0</v>
      </c>
      <c r="AW172" s="17">
        <f>SUMIF('20.01'!$R:$R,$B:$B,'20.01'!$D:$D)*1.2</f>
        <v>7728.6839999999993</v>
      </c>
      <c r="AX172" s="110">
        <f t="shared" si="204"/>
        <v>0</v>
      </c>
      <c r="AY172" s="17">
        <f>SUMIF('20.01'!$S:$S,$B:$B,'20.01'!$D:$D)*1.2</f>
        <v>0</v>
      </c>
      <c r="AZ172" s="17">
        <f>SUMIF('20.01'!$T:$T,$B:$B,'20.01'!$D:$D)*1.2</f>
        <v>0</v>
      </c>
      <c r="BA172" s="110">
        <f t="shared" si="205"/>
        <v>0</v>
      </c>
      <c r="BB172" s="17">
        <f>SUMIF('20.01'!$U:$U,$B:$B,'20.01'!$D:$D)*1.2</f>
        <v>0</v>
      </c>
      <c r="BC172" s="17">
        <f>SUMIF('20.01'!$V:$V,$B:$B,'20.01'!$D:$D)*1.2</f>
        <v>0</v>
      </c>
      <c r="BD172" s="17">
        <f>SUMIF('20.01'!$W:$W,$B:$B,'20.01'!$D:$D)*1.2</f>
        <v>0</v>
      </c>
      <c r="BE172" s="110">
        <f>SUMIF('20.01'!$X:$X,$B:$B,'20.01'!$D:$D)*1.2</f>
        <v>0</v>
      </c>
      <c r="BF172" s="110">
        <f t="shared" si="206"/>
        <v>671854.07999999996</v>
      </c>
      <c r="BG172" s="17">
        <f>SUMIF('20.01'!$Y:$Y,$B:$B,'20.01'!$D:$D)*1.2</f>
        <v>0</v>
      </c>
      <c r="BH172" s="17">
        <f>SUMIF('20.01'!$Z:$Z,$B:$B,'20.01'!$D:$D)*1.2</f>
        <v>671854.07999999996</v>
      </c>
      <c r="BI172" s="17">
        <f>SUMIF('20.01'!$AA:$AA,$B:$B,'20.01'!$D:$D)*1.2</f>
        <v>0</v>
      </c>
      <c r="BJ172" s="17">
        <f>SUMIF('20.01'!$AB:$AB,$B:$B,'20.01'!$D:$D)*1.2</f>
        <v>0</v>
      </c>
      <c r="BK172" s="17">
        <f>SUMIF('20.01'!$AC:$AC,$B:$B,'20.01'!$D:$D)*1.2</f>
        <v>0</v>
      </c>
      <c r="BL172" s="17">
        <f>SUMIF('20.01'!$AD:$AD,$B:$B,'20.01'!$D:$D)*1.2</f>
        <v>0</v>
      </c>
      <c r="BM172" s="110">
        <f t="shared" si="207"/>
        <v>275287.5</v>
      </c>
      <c r="BN172" s="17">
        <f>SUMIF('20.01'!$AE:$AE,$B:$B,'20.01'!$D:$D)*1.2</f>
        <v>275287.5</v>
      </c>
      <c r="BO172" s="17">
        <f>SUMIF('20.01'!$AF:$AF,$B:$B,'20.01'!$D:$D)*1.2</f>
        <v>0</v>
      </c>
      <c r="BP172" s="110">
        <f>SUMIF('20.01'!$AG:$AG,$B:$B,'20.01'!$D:$D)*1.2</f>
        <v>0</v>
      </c>
      <c r="BQ172" s="110">
        <f>SUMIF('20.01'!$AH:$AH,$B:$B,'20.01'!$D:$D)*1.2</f>
        <v>0</v>
      </c>
      <c r="BR172" s="110">
        <f>SUMIF('20.01'!$AI:$AI,$B:$B,'20.01'!$D:$D)*1.2</f>
        <v>0</v>
      </c>
      <c r="BS172" s="110">
        <f t="shared" si="208"/>
        <v>0</v>
      </c>
      <c r="BT172" s="17">
        <f>SUMIF('20.01'!$AJ:$AJ,$B:$B,'20.01'!$D:$D)*1.2</f>
        <v>0</v>
      </c>
      <c r="BU172" s="17">
        <f>SUMIF('20.01'!$AK:$AK,$B:$B,'20.01'!$D:$D)*1.2</f>
        <v>0</v>
      </c>
      <c r="BV172" s="110">
        <f>SUMIF('20.01'!$AL:$AL,$B:$B,'20.01'!$D:$D)*1.2</f>
        <v>0</v>
      </c>
      <c r="BW172" s="110">
        <f>SUMIF('20.01'!$AM:$AM,$B:$B,'20.01'!$D:$D)*1.2</f>
        <v>0</v>
      </c>
      <c r="BX172" s="110">
        <f>SUMIF('20.01'!$AN:$AN,$B:$B,'20.01'!$D:$D)*1.2</f>
        <v>0</v>
      </c>
      <c r="BY172" s="110">
        <f t="shared" si="158"/>
        <v>969300.08992429264</v>
      </c>
      <c r="BZ172" s="17">
        <f t="shared" si="225"/>
        <v>831708.50971984712</v>
      </c>
      <c r="CA172" s="17">
        <f t="shared" si="159"/>
        <v>59401.724294985259</v>
      </c>
      <c r="CB172" s="17">
        <f t="shared" si="160"/>
        <v>3948.7223981946927</v>
      </c>
      <c r="CC172" s="17">
        <f>SUMIF('20.01'!$AO:$AO,$B:$B,'20.01'!$D:$D)*1.2</f>
        <v>0</v>
      </c>
      <c r="CD172" s="17">
        <f t="shared" si="161"/>
        <v>61990.931128002441</v>
      </c>
      <c r="CE172" s="17">
        <f>SUMIF('20.01'!$AQ:$AQ,$B:$B,'20.01'!$D:$D)*1.2</f>
        <v>0</v>
      </c>
      <c r="CF172" s="17">
        <f t="shared" si="162"/>
        <v>5640.1947820572377</v>
      </c>
      <c r="CG172" s="17">
        <f>SUMIF('20.01'!$AR:$AR,$B:$B,'20.01'!$D:$D)*1.2</f>
        <v>0</v>
      </c>
      <c r="CH172" s="17">
        <f t="shared" si="163"/>
        <v>3321.665467268183</v>
      </c>
      <c r="CI172" s="17">
        <f>SUMIF('20.01'!$AT:$AT,$B:$B,'20.01'!$D:$D)*1.2</f>
        <v>0</v>
      </c>
      <c r="CJ172" s="17">
        <f>SUMIF('20.01'!$AU:$AU,$B:$B,'20.01'!$D:$D)*1.2</f>
        <v>0</v>
      </c>
      <c r="CK172" s="17">
        <f>SUMIF('20.01'!$AV:$AV,$B:$B,'20.01'!$D:$D)*1.2</f>
        <v>0</v>
      </c>
      <c r="CL172" s="17">
        <f t="shared" si="164"/>
        <v>3288.3421339376441</v>
      </c>
      <c r="CM172" s="17">
        <f>SUMIF('20.01'!$AW:$AW,$B:$B,'20.01'!$D:$D)*1.2</f>
        <v>0</v>
      </c>
      <c r="CN172" s="17">
        <f>SUMIF('20.01'!$AX:$AX,$B:$B,'20.01'!$D:$D)*1.2</f>
        <v>0</v>
      </c>
      <c r="CO172" s="110">
        <f t="shared" si="209"/>
        <v>1103111.9243726835</v>
      </c>
      <c r="CP172" s="17">
        <f t="shared" si="210"/>
        <v>870180.33019448095</v>
      </c>
      <c r="CQ172" s="17">
        <f t="shared" si="165"/>
        <v>268462.60523384402</v>
      </c>
      <c r="CR172" s="17">
        <f t="shared" si="166"/>
        <v>601717.72496063693</v>
      </c>
      <c r="CS172" s="17">
        <f t="shared" si="211"/>
        <v>232931.59417820262</v>
      </c>
      <c r="CT172" s="17">
        <f t="shared" si="167"/>
        <v>8485.9023095193515</v>
      </c>
      <c r="CU172" s="17">
        <f t="shared" si="168"/>
        <v>8207.848970232073</v>
      </c>
      <c r="CV172" s="17">
        <f t="shared" si="169"/>
        <v>8482.9913018958359</v>
      </c>
      <c r="CW172" s="17">
        <f t="shared" si="170"/>
        <v>88.953503952935947</v>
      </c>
      <c r="CX172" s="17">
        <f t="shared" si="171"/>
        <v>125255.47664658015</v>
      </c>
      <c r="CY172" s="17">
        <f t="shared" si="172"/>
        <v>82410.421446022272</v>
      </c>
      <c r="CZ172" s="110">
        <f t="shared" si="212"/>
        <v>273821.25817452406</v>
      </c>
      <c r="DA172" s="17">
        <f t="shared" si="213"/>
        <v>10343.430692201857</v>
      </c>
      <c r="DB172" s="17">
        <f t="shared" si="173"/>
        <v>9815.5363028071843</v>
      </c>
      <c r="DC172" s="17">
        <f t="shared" si="174"/>
        <v>527.89438939467198</v>
      </c>
      <c r="DD172" s="17">
        <f t="shared" si="175"/>
        <v>18226.311358959163</v>
      </c>
      <c r="DE172" s="17">
        <f t="shared" si="176"/>
        <v>6288.5576771770466</v>
      </c>
      <c r="DF172" s="17">
        <f t="shared" si="177"/>
        <v>7632.0408331333156</v>
      </c>
      <c r="DG172" s="17">
        <f t="shared" si="214"/>
        <v>231330.91761305268</v>
      </c>
      <c r="DH172" s="110">
        <f t="shared" si="215"/>
        <v>170885.85525838591</v>
      </c>
      <c r="DI172" s="17">
        <f t="shared" si="178"/>
        <v>153291.57957097256</v>
      </c>
      <c r="DJ172" s="17">
        <f t="shared" si="179"/>
        <v>16953.147951493516</v>
      </c>
      <c r="DK172" s="17">
        <f t="shared" si="180"/>
        <v>641.12773591982909</v>
      </c>
      <c r="DL172" s="110">
        <f t="shared" si="216"/>
        <v>1293117.2068015467</v>
      </c>
      <c r="DM172" s="17">
        <f t="shared" si="181"/>
        <v>538439.00474607653</v>
      </c>
      <c r="DN172" s="17">
        <f t="shared" si="182"/>
        <v>477483.64571821882</v>
      </c>
      <c r="DO172" s="17">
        <f t="shared" si="183"/>
        <v>277194.55633725133</v>
      </c>
      <c r="DP172" s="110">
        <f t="shared" si="217"/>
        <v>438876.53903558123</v>
      </c>
      <c r="DQ172" s="17">
        <f>SUMIF('20.01'!$BB:$BB,$B:$B,'20.01'!$D:$D)*1.2</f>
        <v>23503.535999999996</v>
      </c>
      <c r="DR172" s="17">
        <f t="shared" si="184"/>
        <v>412316.46825237572</v>
      </c>
      <c r="DS172" s="17">
        <f t="shared" si="185"/>
        <v>3056.5347832055095</v>
      </c>
      <c r="DT172" s="110">
        <f t="shared" si="218"/>
        <v>0</v>
      </c>
      <c r="DU172" s="17">
        <f>SUMIF('20.01'!$BD:$BD,$B:$B,'20.01'!$D:$D)*1.2</f>
        <v>0</v>
      </c>
      <c r="DV172" s="17">
        <f t="shared" si="186"/>
        <v>0</v>
      </c>
      <c r="DW172" s="17">
        <f t="shared" si="187"/>
        <v>0</v>
      </c>
      <c r="DX172" s="110">
        <f t="shared" si="188"/>
        <v>5568893.5502194799</v>
      </c>
      <c r="DY172" s="110"/>
      <c r="DZ172" s="110">
        <f t="shared" si="219"/>
        <v>5568893.5502194799</v>
      </c>
      <c r="EA172" s="257"/>
      <c r="EB172" s="110">
        <f t="shared" si="189"/>
        <v>3546.2168674698792</v>
      </c>
      <c r="EC172" s="110">
        <f>SUMIF(еирц!$B:$B,$B:$B,еирц!$K:$K)</f>
        <v>4576396.0199999996</v>
      </c>
      <c r="ED172" s="110">
        <f>SUMIF(еирц!$B:$B,$B:$B,еирц!$P:$P)</f>
        <v>4413084.84</v>
      </c>
      <c r="EE172" s="110">
        <f>SUMIF(еирц!$B:$B,$B:$B,еирц!$S:$S)</f>
        <v>1037963.01</v>
      </c>
      <c r="EF172" s="177">
        <f t="shared" si="220"/>
        <v>-988951.31335201021</v>
      </c>
      <c r="EG172" s="181">
        <f t="shared" si="221"/>
        <v>0</v>
      </c>
      <c r="EH172" s="177">
        <f t="shared" si="222"/>
        <v>-988951.31335201021</v>
      </c>
    </row>
    <row r="173" spans="1:138" ht="12" customHeight="1" x14ac:dyDescent="0.25">
      <c r="A173" s="5">
        <f t="shared" si="223"/>
        <v>169</v>
      </c>
      <c r="B173" s="6" t="s">
        <v>253</v>
      </c>
      <c r="C173" s="7">
        <f t="shared" si="226"/>
        <v>3721.49</v>
      </c>
      <c r="D173" s="8">
        <v>3721.49</v>
      </c>
      <c r="E173" s="8">
        <v>0</v>
      </c>
      <c r="F173" s="8">
        <v>1226.4000000000001</v>
      </c>
      <c r="G173" s="91">
        <f t="shared" si="156"/>
        <v>3721.49</v>
      </c>
      <c r="H173" s="87">
        <f t="shared" si="157"/>
        <v>0</v>
      </c>
      <c r="I173" s="91">
        <v>0</v>
      </c>
      <c r="J173" s="112">
        <v>0</v>
      </c>
      <c r="K173" s="17">
        <v>2</v>
      </c>
      <c r="L173" s="112">
        <f t="shared" si="190"/>
        <v>4.8192771084337345E-3</v>
      </c>
      <c r="M173" s="116">
        <v>3.4064179001757906</v>
      </c>
      <c r="N173" s="120">
        <f t="shared" si="191"/>
        <v>3721.49</v>
      </c>
      <c r="O173" s="116">
        <v>3.0862329018163193</v>
      </c>
      <c r="P173" s="120">
        <f t="shared" si="192"/>
        <v>3721.49</v>
      </c>
      <c r="Q173" s="116">
        <v>0</v>
      </c>
      <c r="R173" s="120">
        <f t="shared" si="193"/>
        <v>0</v>
      </c>
      <c r="S173" s="5" t="s">
        <v>143</v>
      </c>
      <c r="T173" s="87">
        <v>28.2</v>
      </c>
      <c r="U173" s="88">
        <v>4.68</v>
      </c>
      <c r="V173" s="88">
        <v>6.05</v>
      </c>
      <c r="W173" s="88">
        <v>8.24</v>
      </c>
      <c r="X173" s="88">
        <v>6.34</v>
      </c>
      <c r="Y173" s="88">
        <v>2.89</v>
      </c>
      <c r="Z173" s="88">
        <v>0</v>
      </c>
      <c r="AA173" s="88">
        <v>0</v>
      </c>
      <c r="AB173" s="88">
        <v>0</v>
      </c>
      <c r="AC173" s="257"/>
      <c r="AD173" s="110">
        <f t="shared" si="194"/>
        <v>101366.43743531324</v>
      </c>
      <c r="AE173" s="110">
        <f t="shared" si="195"/>
        <v>100321.02601569827</v>
      </c>
      <c r="AF173" s="16">
        <f>SUMIF('20.01'!$I:$I,$B:$B,'20.01'!$D:$D)*1.2</f>
        <v>36296.807999999997</v>
      </c>
      <c r="AG173" s="17">
        <f t="shared" ref="AG173:AG176" si="227">IF(S173=$S$246,$AG$246,0)/$G$246*G173</f>
        <v>9927.5523644862133</v>
      </c>
      <c r="AH173" s="17">
        <f t="shared" si="196"/>
        <v>2841.7260305618283</v>
      </c>
      <c r="AI173" s="16">
        <f>SUMIF('20.01'!$J:$J,$B:$B,'20.01'!$D:$D)*1.2</f>
        <v>0</v>
      </c>
      <c r="AJ173" s="17">
        <f t="shared" si="197"/>
        <v>1154.8135707920146</v>
      </c>
      <c r="AK173" s="17">
        <f t="shared" si="198"/>
        <v>2809.404870465095</v>
      </c>
      <c r="AL173" s="17">
        <f t="shared" si="199"/>
        <v>47290.721179393127</v>
      </c>
      <c r="AM173" s="110">
        <f t="shared" si="200"/>
        <v>0</v>
      </c>
      <c r="AN173" s="17">
        <f>SUMIF('20.01'!$K:$K,$B:$B,'20.01'!$D:$D)*1.2</f>
        <v>0</v>
      </c>
      <c r="AO173" s="17">
        <f>SUMIF('20.01'!$L:$L,$B:$B,'20.01'!$D:$D)*1.2</f>
        <v>0</v>
      </c>
      <c r="AP173" s="17">
        <f>SUMIF('20.01'!$M:$M,$B:$B,'20.01'!$D:$D)*1.2</f>
        <v>0</v>
      </c>
      <c r="AQ173" s="110">
        <f t="shared" si="201"/>
        <v>1045.4114196149712</v>
      </c>
      <c r="AR173" s="17">
        <f t="shared" si="202"/>
        <v>1045.4114196149712</v>
      </c>
      <c r="AS173" s="17">
        <f>(SUMIF('20.01'!$N:$N,$B:$B,'20.01'!$D:$D)+SUMIF('20.01'!$O:$O,$B:$B,'20.01'!$D:$D))*1.2</f>
        <v>0</v>
      </c>
      <c r="AT173" s="110">
        <f>SUMIF('20.01'!$P:$P,$B:$B,'20.01'!$D:$D)*1.2</f>
        <v>0</v>
      </c>
      <c r="AU173" s="110">
        <f t="shared" si="203"/>
        <v>0</v>
      </c>
      <c r="AV173" s="17">
        <f>SUMIF('20.01'!$Q:$Q,$B:$B,'20.01'!$D:$D)*1.2</f>
        <v>0</v>
      </c>
      <c r="AW173" s="17">
        <f>SUMIF('20.01'!$R:$R,$B:$B,'20.01'!$D:$D)*1.2</f>
        <v>0</v>
      </c>
      <c r="AX173" s="110">
        <f t="shared" si="204"/>
        <v>0</v>
      </c>
      <c r="AY173" s="17">
        <f>SUMIF('20.01'!$S:$S,$B:$B,'20.01'!$D:$D)*1.2</f>
        <v>0</v>
      </c>
      <c r="AZ173" s="17">
        <f>SUMIF('20.01'!$T:$T,$B:$B,'20.01'!$D:$D)*1.2</f>
        <v>0</v>
      </c>
      <c r="BA173" s="110">
        <f t="shared" si="205"/>
        <v>0</v>
      </c>
      <c r="BB173" s="17">
        <f>SUMIF('20.01'!$U:$U,$B:$B,'20.01'!$D:$D)*1.2</f>
        <v>0</v>
      </c>
      <c r="BC173" s="17">
        <f>SUMIF('20.01'!$V:$V,$B:$B,'20.01'!$D:$D)*1.2</f>
        <v>0</v>
      </c>
      <c r="BD173" s="17">
        <f>SUMIF('20.01'!$W:$W,$B:$B,'20.01'!$D:$D)*1.2</f>
        <v>0</v>
      </c>
      <c r="BE173" s="110">
        <f>SUMIF('20.01'!$X:$X,$B:$B,'20.01'!$D:$D)*1.2</f>
        <v>0</v>
      </c>
      <c r="BF173" s="110">
        <f t="shared" si="206"/>
        <v>0</v>
      </c>
      <c r="BG173" s="17">
        <f>SUMIF('20.01'!$Y:$Y,$B:$B,'20.01'!$D:$D)*1.2</f>
        <v>0</v>
      </c>
      <c r="BH173" s="17">
        <f>SUMIF('20.01'!$Z:$Z,$B:$B,'20.01'!$D:$D)*1.2</f>
        <v>0</v>
      </c>
      <c r="BI173" s="17">
        <f>SUMIF('20.01'!$AA:$AA,$B:$B,'20.01'!$D:$D)*1.2</f>
        <v>0</v>
      </c>
      <c r="BJ173" s="17">
        <f>SUMIF('20.01'!$AB:$AB,$B:$B,'20.01'!$D:$D)*1.2</f>
        <v>0</v>
      </c>
      <c r="BK173" s="17">
        <f>SUMIF('20.01'!$AC:$AC,$B:$B,'20.01'!$D:$D)*1.2</f>
        <v>0</v>
      </c>
      <c r="BL173" s="17">
        <f>SUMIF('20.01'!$AD:$AD,$B:$B,'20.01'!$D:$D)*1.2</f>
        <v>0</v>
      </c>
      <c r="BM173" s="110">
        <f t="shared" si="207"/>
        <v>0</v>
      </c>
      <c r="BN173" s="17">
        <f>SUMIF('20.01'!$AE:$AE,$B:$B,'20.01'!$D:$D)*1.2</f>
        <v>0</v>
      </c>
      <c r="BO173" s="17">
        <f>SUMIF('20.01'!$AF:$AF,$B:$B,'20.01'!$D:$D)*1.2</f>
        <v>0</v>
      </c>
      <c r="BP173" s="110">
        <f>SUMIF('20.01'!$AG:$AG,$B:$B,'20.01'!$D:$D)*1.2</f>
        <v>0</v>
      </c>
      <c r="BQ173" s="110">
        <f>SUMIF('20.01'!$AH:$AH,$B:$B,'20.01'!$D:$D)*1.2</f>
        <v>0</v>
      </c>
      <c r="BR173" s="110">
        <f>SUMIF('20.01'!$AI:$AI,$B:$B,'20.01'!$D:$D)*1.2</f>
        <v>0</v>
      </c>
      <c r="BS173" s="110">
        <f t="shared" si="208"/>
        <v>0</v>
      </c>
      <c r="BT173" s="17">
        <f>SUMIF('20.01'!$AJ:$AJ,$B:$B,'20.01'!$D:$D)*1.2</f>
        <v>0</v>
      </c>
      <c r="BU173" s="17">
        <f>SUMIF('20.01'!$AK:$AK,$B:$B,'20.01'!$D:$D)*1.2</f>
        <v>0</v>
      </c>
      <c r="BV173" s="110">
        <f>SUMIF('20.01'!$AL:$AL,$B:$B,'20.01'!$D:$D)*1.2</f>
        <v>0</v>
      </c>
      <c r="BW173" s="110">
        <f>SUMIF('20.01'!$AM:$AM,$B:$B,'20.01'!$D:$D)*1.2</f>
        <v>0</v>
      </c>
      <c r="BX173" s="110">
        <f>SUMIF('20.01'!$AN:$AN,$B:$B,'20.01'!$D:$D)*1.2</f>
        <v>0</v>
      </c>
      <c r="BY173" s="110">
        <f t="shared" si="158"/>
        <v>281532.55258135532</v>
      </c>
      <c r="BZ173" s="17">
        <f>IF(S173=$S$246,$BZ$246,0)/$G$246*G173</f>
        <v>228068.59682979001</v>
      </c>
      <c r="CA173" s="17">
        <f t="shared" si="159"/>
        <v>23081.72603697711</v>
      </c>
      <c r="CB173" s="17">
        <f t="shared" si="160"/>
        <v>1534.3549311564268</v>
      </c>
      <c r="CC173" s="17">
        <f>SUMIF('20.01'!$AO:$AO,$B:$B,'20.01'!$D:$D)*1.2</f>
        <v>0</v>
      </c>
      <c r="CD173" s="17">
        <f t="shared" si="161"/>
        <v>24087.814050112738</v>
      </c>
      <c r="CE173" s="17">
        <f>SUMIF('20.01'!$AQ:$AQ,$B:$B,'20.01'!$D:$D)*1.2</f>
        <v>0</v>
      </c>
      <c r="CF173" s="17">
        <f t="shared" si="162"/>
        <v>2191.6102991916578</v>
      </c>
      <c r="CG173" s="17">
        <f>SUMIF('20.01'!$AR:$AR,$B:$B,'20.01'!$D:$D)*1.2</f>
        <v>0</v>
      </c>
      <c r="CH173" s="17">
        <f t="shared" si="163"/>
        <v>1290.6994403265883</v>
      </c>
      <c r="CI173" s="17">
        <f>SUMIF('20.01'!$AT:$AT,$B:$B,'20.01'!$D:$D)*1.2</f>
        <v>0</v>
      </c>
      <c r="CJ173" s="17">
        <f>SUMIF('20.01'!$AU:$AU,$B:$B,'20.01'!$D:$D)*1.2</f>
        <v>0</v>
      </c>
      <c r="CK173" s="17">
        <f>SUMIF('20.01'!$AV:$AV,$B:$B,'20.01'!$D:$D)*1.2</f>
        <v>0</v>
      </c>
      <c r="CL173" s="17">
        <f t="shared" si="164"/>
        <v>1277.7509938007809</v>
      </c>
      <c r="CM173" s="17">
        <f>SUMIF('20.01'!$AW:$AW,$B:$B,'20.01'!$D:$D)*1.2</f>
        <v>0</v>
      </c>
      <c r="CN173" s="17">
        <f>SUMIF('20.01'!$AX:$AX,$B:$B,'20.01'!$D:$D)*1.2</f>
        <v>0</v>
      </c>
      <c r="CO173" s="110">
        <f t="shared" si="209"/>
        <v>428636.1638266854</v>
      </c>
      <c r="CP173" s="17">
        <f t="shared" si="210"/>
        <v>338125.9420109276</v>
      </c>
      <c r="CQ173" s="17">
        <f t="shared" si="165"/>
        <v>104316.50560190635</v>
      </c>
      <c r="CR173" s="17">
        <f t="shared" si="166"/>
        <v>233809.43640902123</v>
      </c>
      <c r="CS173" s="17">
        <f t="shared" si="211"/>
        <v>90510.221815757817</v>
      </c>
      <c r="CT173" s="17">
        <f t="shared" si="167"/>
        <v>3297.3667786511123</v>
      </c>
      <c r="CU173" s="17">
        <f t="shared" si="168"/>
        <v>3189.3236018365055</v>
      </c>
      <c r="CV173" s="17">
        <f t="shared" si="169"/>
        <v>3296.2356485154969</v>
      </c>
      <c r="CW173" s="17">
        <f t="shared" si="170"/>
        <v>34.56466007745437</v>
      </c>
      <c r="CX173" s="17">
        <f t="shared" si="171"/>
        <v>48670.516401683271</v>
      </c>
      <c r="CY173" s="17">
        <f t="shared" si="172"/>
        <v>32022.214724993977</v>
      </c>
      <c r="CZ173" s="110">
        <f t="shared" si="212"/>
        <v>106398.71719714213</v>
      </c>
      <c r="DA173" s="17">
        <f t="shared" si="213"/>
        <v>4019.1465206342291</v>
      </c>
      <c r="DB173" s="17">
        <f t="shared" si="173"/>
        <v>3814.0226152749065</v>
      </c>
      <c r="DC173" s="17">
        <f t="shared" si="174"/>
        <v>205.12390535932269</v>
      </c>
      <c r="DD173" s="17">
        <f t="shared" si="175"/>
        <v>7082.1971995795211</v>
      </c>
      <c r="DE173" s="17">
        <f t="shared" si="176"/>
        <v>2443.5446478206609</v>
      </c>
      <c r="DF173" s="17">
        <f t="shared" si="177"/>
        <v>2965.5818531226942</v>
      </c>
      <c r="DG173" s="17">
        <f t="shared" si="214"/>
        <v>89888.246975985036</v>
      </c>
      <c r="DH173" s="110">
        <f t="shared" si="215"/>
        <v>66401.111103799602</v>
      </c>
      <c r="DI173" s="17">
        <f t="shared" si="178"/>
        <v>59564.503984127055</v>
      </c>
      <c r="DJ173" s="17">
        <f t="shared" si="179"/>
        <v>6587.4841366136507</v>
      </c>
      <c r="DK173" s="17">
        <f t="shared" si="180"/>
        <v>249.1229830588974</v>
      </c>
      <c r="DL173" s="110">
        <f t="shared" si="216"/>
        <v>394757.0305590629</v>
      </c>
      <c r="DM173" s="17">
        <f t="shared" si="181"/>
        <v>209221.22619630332</v>
      </c>
      <c r="DN173" s="17">
        <f t="shared" si="182"/>
        <v>185535.80436275958</v>
      </c>
      <c r="DO173" s="17">
        <f t="shared" si="183"/>
        <v>0</v>
      </c>
      <c r="DP173" s="110">
        <f t="shared" si="217"/>
        <v>0</v>
      </c>
      <c r="DQ173" s="17">
        <f>SUMIF('20.01'!$BB:$BB,$B:$B,'20.01'!$D:$D)*1.2</f>
        <v>0</v>
      </c>
      <c r="DR173" s="17">
        <f t="shared" si="184"/>
        <v>0</v>
      </c>
      <c r="DS173" s="17">
        <f t="shared" si="185"/>
        <v>0</v>
      </c>
      <c r="DT173" s="110">
        <f t="shared" si="218"/>
        <v>0</v>
      </c>
      <c r="DU173" s="17">
        <f>SUMIF('20.01'!$BD:$BD,$B:$B,'20.01'!$D:$D)*1.2</f>
        <v>0</v>
      </c>
      <c r="DV173" s="17">
        <f t="shared" si="186"/>
        <v>0</v>
      </c>
      <c r="DW173" s="17">
        <f t="shared" si="187"/>
        <v>0</v>
      </c>
      <c r="DX173" s="110">
        <f t="shared" si="188"/>
        <v>1379092.0127033587</v>
      </c>
      <c r="DY173" s="110"/>
      <c r="DZ173" s="110">
        <f t="shared" si="219"/>
        <v>1379092.0127033587</v>
      </c>
      <c r="EA173" s="257"/>
      <c r="EB173" s="110">
        <f t="shared" si="189"/>
        <v>1773.1084337349396</v>
      </c>
      <c r="EC173" s="110">
        <f>SUMIF(еирц!$B:$B,$B:$B,еирц!$K:$K)</f>
        <v>1235172.45</v>
      </c>
      <c r="ED173" s="110">
        <f>SUMIF(еирц!$B:$B,$B:$B,еирц!$P:$P)</f>
        <v>1200518.79</v>
      </c>
      <c r="EE173" s="110">
        <f>SUMIF(еирц!$B:$B,$B:$B,еирц!$S:$S)</f>
        <v>689791.15</v>
      </c>
      <c r="EF173" s="177">
        <f t="shared" si="220"/>
        <v>-142146.45426962385</v>
      </c>
      <c r="EG173" s="181">
        <f t="shared" si="221"/>
        <v>0</v>
      </c>
      <c r="EH173" s="177">
        <f t="shared" si="222"/>
        <v>-142146.45426962385</v>
      </c>
    </row>
    <row r="174" spans="1:138" ht="12" customHeight="1" x14ac:dyDescent="0.25">
      <c r="A174" s="5">
        <f t="shared" si="223"/>
        <v>170</v>
      </c>
      <c r="B174" s="6" t="s">
        <v>254</v>
      </c>
      <c r="C174" s="7">
        <f t="shared" si="226"/>
        <v>3663.6699999999996</v>
      </c>
      <c r="D174" s="8">
        <v>3506.97</v>
      </c>
      <c r="E174" s="8">
        <v>156.69999999999999</v>
      </c>
      <c r="F174" s="8">
        <v>1142.2</v>
      </c>
      <c r="G174" s="91">
        <f t="shared" si="156"/>
        <v>3663.6699999999996</v>
      </c>
      <c r="H174" s="87">
        <f t="shared" si="157"/>
        <v>0</v>
      </c>
      <c r="I174" s="91">
        <v>0</v>
      </c>
      <c r="J174" s="112">
        <v>0</v>
      </c>
      <c r="K174" s="17">
        <v>2</v>
      </c>
      <c r="L174" s="112">
        <f t="shared" si="190"/>
        <v>4.8192771084337345E-3</v>
      </c>
      <c r="M174" s="116">
        <v>3.4064176078203672</v>
      </c>
      <c r="N174" s="120">
        <f t="shared" si="191"/>
        <v>3663.6699999999996</v>
      </c>
      <c r="O174" s="116">
        <v>3.0862314542971405</v>
      </c>
      <c r="P174" s="120">
        <f t="shared" si="192"/>
        <v>3663.6699999999996</v>
      </c>
      <c r="Q174" s="116">
        <v>0</v>
      </c>
      <c r="R174" s="120">
        <f t="shared" si="193"/>
        <v>0</v>
      </c>
      <c r="S174" s="5" t="s">
        <v>143</v>
      </c>
      <c r="T174" s="87">
        <v>28.2</v>
      </c>
      <c r="U174" s="88">
        <v>4.68</v>
      </c>
      <c r="V174" s="88">
        <v>6.05</v>
      </c>
      <c r="W174" s="88">
        <v>8.24</v>
      </c>
      <c r="X174" s="88">
        <v>6.34</v>
      </c>
      <c r="Y174" s="88">
        <v>2.89</v>
      </c>
      <c r="Z174" s="88">
        <v>0</v>
      </c>
      <c r="AA174" s="88">
        <v>0</v>
      </c>
      <c r="AB174" s="88">
        <v>0</v>
      </c>
      <c r="AC174" s="257"/>
      <c r="AD174" s="110">
        <f t="shared" si="194"/>
        <v>235216.16841806751</v>
      </c>
      <c r="AE174" s="110">
        <f t="shared" si="195"/>
        <v>99912.411333722062</v>
      </c>
      <c r="AF174" s="16">
        <f>SUMIF('20.01'!$I:$I,$B:$B,'20.01'!$D:$D)*1.2</f>
        <v>36882.923999999999</v>
      </c>
      <c r="AG174" s="17">
        <f t="shared" si="227"/>
        <v>9773.3100911724086</v>
      </c>
      <c r="AH174" s="17">
        <f t="shared" si="196"/>
        <v>2797.5747365674642</v>
      </c>
      <c r="AI174" s="16">
        <f>SUMIF('20.01'!$J:$J,$B:$B,'20.01'!$D:$D)*1.2</f>
        <v>0</v>
      </c>
      <c r="AJ174" s="17">
        <f t="shared" si="197"/>
        <v>1136.8714775274366</v>
      </c>
      <c r="AK174" s="17">
        <f t="shared" si="198"/>
        <v>2765.7557434728706</v>
      </c>
      <c r="AL174" s="17">
        <f t="shared" si="199"/>
        <v>46555.975284981876</v>
      </c>
      <c r="AM174" s="110">
        <f t="shared" si="200"/>
        <v>0</v>
      </c>
      <c r="AN174" s="17">
        <f>SUMIF('20.01'!$K:$K,$B:$B,'20.01'!$D:$D)*1.2</f>
        <v>0</v>
      </c>
      <c r="AO174" s="17">
        <f>SUMIF('20.01'!$L:$L,$B:$B,'20.01'!$D:$D)*1.2</f>
        <v>0</v>
      </c>
      <c r="AP174" s="17">
        <f>SUMIF('20.01'!$M:$M,$B:$B,'20.01'!$D:$D)*1.2</f>
        <v>0</v>
      </c>
      <c r="AQ174" s="110">
        <f t="shared" si="201"/>
        <v>1029.1690843454587</v>
      </c>
      <c r="AR174" s="17">
        <f t="shared" si="202"/>
        <v>1029.1690843454587</v>
      </c>
      <c r="AS174" s="17">
        <f>(SUMIF('20.01'!$N:$N,$B:$B,'20.01'!$D:$D)+SUMIF('20.01'!$O:$O,$B:$B,'20.01'!$D:$D))*1.2</f>
        <v>0</v>
      </c>
      <c r="AT174" s="110">
        <f>SUMIF('20.01'!$P:$P,$B:$B,'20.01'!$D:$D)*1.2</f>
        <v>0</v>
      </c>
      <c r="AU174" s="110">
        <f t="shared" si="203"/>
        <v>0</v>
      </c>
      <c r="AV174" s="17">
        <f>SUMIF('20.01'!$Q:$Q,$B:$B,'20.01'!$D:$D)*1.2</f>
        <v>0</v>
      </c>
      <c r="AW174" s="17">
        <f>SUMIF('20.01'!$R:$R,$B:$B,'20.01'!$D:$D)*1.2</f>
        <v>0</v>
      </c>
      <c r="AX174" s="110">
        <f t="shared" si="204"/>
        <v>0</v>
      </c>
      <c r="AY174" s="17">
        <f>SUMIF('20.01'!$S:$S,$B:$B,'20.01'!$D:$D)*1.2</f>
        <v>0</v>
      </c>
      <c r="AZ174" s="17">
        <f>SUMIF('20.01'!$T:$T,$B:$B,'20.01'!$D:$D)*1.2</f>
        <v>0</v>
      </c>
      <c r="BA174" s="110">
        <f t="shared" si="205"/>
        <v>0</v>
      </c>
      <c r="BB174" s="17">
        <f>SUMIF('20.01'!$U:$U,$B:$B,'20.01'!$D:$D)*1.2</f>
        <v>0</v>
      </c>
      <c r="BC174" s="17">
        <f>SUMIF('20.01'!$V:$V,$B:$B,'20.01'!$D:$D)*1.2</f>
        <v>0</v>
      </c>
      <c r="BD174" s="17">
        <f>SUMIF('20.01'!$W:$W,$B:$B,'20.01'!$D:$D)*1.2</f>
        <v>0</v>
      </c>
      <c r="BE174" s="110">
        <f>SUMIF('20.01'!$X:$X,$B:$B,'20.01'!$D:$D)*1.2</f>
        <v>0</v>
      </c>
      <c r="BF174" s="110">
        <f t="shared" si="206"/>
        <v>134274.58799999999</v>
      </c>
      <c r="BG174" s="17">
        <f>SUMIF('20.01'!$Y:$Y,$B:$B,'20.01'!$D:$D)*1.2</f>
        <v>0</v>
      </c>
      <c r="BH174" s="17">
        <f>SUMIF('20.01'!$Z:$Z,$B:$B,'20.01'!$D:$D)*1.2</f>
        <v>0</v>
      </c>
      <c r="BI174" s="17">
        <f>SUMIF('20.01'!$AA:$AA,$B:$B,'20.01'!$D:$D)*1.2</f>
        <v>0</v>
      </c>
      <c r="BJ174" s="17">
        <f>SUMIF('20.01'!$AB:$AB,$B:$B,'20.01'!$D:$D)*1.2</f>
        <v>0</v>
      </c>
      <c r="BK174" s="17">
        <f>SUMIF('20.01'!$AC:$AC,$B:$B,'20.01'!$D:$D)*1.2</f>
        <v>134274.58799999999</v>
      </c>
      <c r="BL174" s="17">
        <f>SUMIF('20.01'!$AD:$AD,$B:$B,'20.01'!$D:$D)*1.2</f>
        <v>0</v>
      </c>
      <c r="BM174" s="110">
        <f t="shared" si="207"/>
        <v>0</v>
      </c>
      <c r="BN174" s="17">
        <f>SUMIF('20.01'!$AE:$AE,$B:$B,'20.01'!$D:$D)*1.2</f>
        <v>0</v>
      </c>
      <c r="BO174" s="17">
        <f>SUMIF('20.01'!$AF:$AF,$B:$B,'20.01'!$D:$D)*1.2</f>
        <v>0</v>
      </c>
      <c r="BP174" s="110">
        <f>SUMIF('20.01'!$AG:$AG,$B:$B,'20.01'!$D:$D)*1.2</f>
        <v>0</v>
      </c>
      <c r="BQ174" s="110">
        <f>SUMIF('20.01'!$AH:$AH,$B:$B,'20.01'!$D:$D)*1.2</f>
        <v>0</v>
      </c>
      <c r="BR174" s="110">
        <f>SUMIF('20.01'!$AI:$AI,$B:$B,'20.01'!$D:$D)*1.2</f>
        <v>0</v>
      </c>
      <c r="BS174" s="110">
        <f t="shared" si="208"/>
        <v>0</v>
      </c>
      <c r="BT174" s="17">
        <f>SUMIF('20.01'!$AJ:$AJ,$B:$B,'20.01'!$D:$D)*1.2</f>
        <v>0</v>
      </c>
      <c r="BU174" s="17">
        <f>SUMIF('20.01'!$AK:$AK,$B:$B,'20.01'!$D:$D)*1.2</f>
        <v>0</v>
      </c>
      <c r="BV174" s="110">
        <f>SUMIF('20.01'!$AL:$AL,$B:$B,'20.01'!$D:$D)*1.2</f>
        <v>0</v>
      </c>
      <c r="BW174" s="110">
        <f>SUMIF('20.01'!$AM:$AM,$B:$B,'20.01'!$D:$D)*1.2</f>
        <v>0</v>
      </c>
      <c r="BX174" s="110">
        <f>SUMIF('20.01'!$AN:$AN,$B:$B,'20.01'!$D:$D)*1.2</f>
        <v>0</v>
      </c>
      <c r="BY174" s="110">
        <f t="shared" si="158"/>
        <v>277158.44108562265</v>
      </c>
      <c r="BZ174" s="17">
        <f>IF(S174=$S$246,$BZ$246,0)/$G$246*G174</f>
        <v>224525.14346334309</v>
      </c>
      <c r="CA174" s="17">
        <f t="shared" si="159"/>
        <v>22723.110160148739</v>
      </c>
      <c r="CB174" s="17">
        <f t="shared" si="160"/>
        <v>1510.5159843583795</v>
      </c>
      <c r="CC174" s="17">
        <f>SUMIF('20.01'!$AO:$AO,$B:$B,'20.01'!$D:$D)*1.2</f>
        <v>0</v>
      </c>
      <c r="CD174" s="17">
        <f t="shared" si="161"/>
        <v>23713.566797432351</v>
      </c>
      <c r="CE174" s="17">
        <f>SUMIF('20.01'!$AQ:$AQ,$B:$B,'20.01'!$D:$D)*1.2</f>
        <v>0</v>
      </c>
      <c r="CF174" s="17">
        <f t="shared" si="162"/>
        <v>2157.5597152859473</v>
      </c>
      <c r="CG174" s="17">
        <f>SUMIF('20.01'!$AR:$AR,$B:$B,'20.01'!$D:$D)*1.2</f>
        <v>0</v>
      </c>
      <c r="CH174" s="17">
        <f t="shared" si="163"/>
        <v>1270.6461171577275</v>
      </c>
      <c r="CI174" s="17">
        <f>SUMIF('20.01'!$AT:$AT,$B:$B,'20.01'!$D:$D)*1.2</f>
        <v>0</v>
      </c>
      <c r="CJ174" s="17">
        <f>SUMIF('20.01'!$AU:$AU,$B:$B,'20.01'!$D:$D)*1.2</f>
        <v>0</v>
      </c>
      <c r="CK174" s="17">
        <f>SUMIF('20.01'!$AV:$AV,$B:$B,'20.01'!$D:$D)*1.2</f>
        <v>0</v>
      </c>
      <c r="CL174" s="17">
        <f t="shared" si="164"/>
        <v>1257.8988478964359</v>
      </c>
      <c r="CM174" s="17">
        <f>SUMIF('20.01'!$AW:$AW,$B:$B,'20.01'!$D:$D)*1.2</f>
        <v>0</v>
      </c>
      <c r="CN174" s="17">
        <f>SUMIF('20.01'!$AX:$AX,$B:$B,'20.01'!$D:$D)*1.2</f>
        <v>0</v>
      </c>
      <c r="CO174" s="110">
        <f t="shared" si="209"/>
        <v>421976.53475541045</v>
      </c>
      <c r="CP174" s="17">
        <f t="shared" si="210"/>
        <v>332872.5510392813</v>
      </c>
      <c r="CQ174" s="17">
        <f t="shared" si="165"/>
        <v>102695.76220238028</v>
      </c>
      <c r="CR174" s="17">
        <f t="shared" si="166"/>
        <v>230176.78883690102</v>
      </c>
      <c r="CS174" s="17">
        <f t="shared" si="211"/>
        <v>89103.983716129136</v>
      </c>
      <c r="CT174" s="17">
        <f t="shared" si="167"/>
        <v>3246.1362910932771</v>
      </c>
      <c r="CU174" s="17">
        <f t="shared" si="168"/>
        <v>3139.7717581775978</v>
      </c>
      <c r="CV174" s="17">
        <f t="shared" si="169"/>
        <v>3245.0227350864225</v>
      </c>
      <c r="CW174" s="17">
        <f t="shared" si="170"/>
        <v>34.027636292443951</v>
      </c>
      <c r="CX174" s="17">
        <f t="shared" si="171"/>
        <v>47914.33292185521</v>
      </c>
      <c r="CY174" s="17">
        <f t="shared" si="172"/>
        <v>31524.692373624188</v>
      </c>
      <c r="CZ174" s="110">
        <f t="shared" si="212"/>
        <v>104745.62291814668</v>
      </c>
      <c r="DA174" s="17">
        <f t="shared" si="213"/>
        <v>3956.7018944702277</v>
      </c>
      <c r="DB174" s="17">
        <f t="shared" si="173"/>
        <v>3754.7649556774886</v>
      </c>
      <c r="DC174" s="17">
        <f t="shared" si="174"/>
        <v>201.93693879273886</v>
      </c>
      <c r="DD174" s="17">
        <f t="shared" si="175"/>
        <v>6972.1626053498749</v>
      </c>
      <c r="DE174" s="17">
        <f t="shared" si="176"/>
        <v>2405.579813429868</v>
      </c>
      <c r="DF174" s="17">
        <f t="shared" si="177"/>
        <v>2919.5062375097127</v>
      </c>
      <c r="DG174" s="17">
        <f t="shared" si="214"/>
        <v>88491.672367387</v>
      </c>
      <c r="DH174" s="110">
        <f t="shared" si="215"/>
        <v>65369.451138564793</v>
      </c>
      <c r="DI174" s="17">
        <f t="shared" si="178"/>
        <v>58639.062932192952</v>
      </c>
      <c r="DJ174" s="17">
        <f t="shared" si="179"/>
        <v>6485.1357942080549</v>
      </c>
      <c r="DK174" s="17">
        <f t="shared" si="180"/>
        <v>245.25241216378132</v>
      </c>
      <c r="DL174" s="110">
        <f t="shared" si="216"/>
        <v>388623.774388302</v>
      </c>
      <c r="DM174" s="17">
        <f t="shared" si="181"/>
        <v>205970.60042580005</v>
      </c>
      <c r="DN174" s="17">
        <f t="shared" si="182"/>
        <v>182653.17396250193</v>
      </c>
      <c r="DO174" s="17">
        <f t="shared" si="183"/>
        <v>0</v>
      </c>
      <c r="DP174" s="110">
        <f t="shared" si="217"/>
        <v>0</v>
      </c>
      <c r="DQ174" s="17">
        <f>SUMIF('20.01'!$BB:$BB,$B:$B,'20.01'!$D:$D)*1.2</f>
        <v>0</v>
      </c>
      <c r="DR174" s="17">
        <f t="shared" si="184"/>
        <v>0</v>
      </c>
      <c r="DS174" s="17">
        <f t="shared" si="185"/>
        <v>0</v>
      </c>
      <c r="DT174" s="110">
        <f t="shared" si="218"/>
        <v>0</v>
      </c>
      <c r="DU174" s="17">
        <f>SUMIF('20.01'!$BD:$BD,$B:$B,'20.01'!$D:$D)*1.2</f>
        <v>0</v>
      </c>
      <c r="DV174" s="17">
        <f t="shared" si="186"/>
        <v>0</v>
      </c>
      <c r="DW174" s="17">
        <f t="shared" si="187"/>
        <v>0</v>
      </c>
      <c r="DX174" s="110">
        <f t="shared" si="188"/>
        <v>1493089.9927041139</v>
      </c>
      <c r="DY174" s="110"/>
      <c r="DZ174" s="110">
        <f t="shared" si="219"/>
        <v>1493089.9927041139</v>
      </c>
      <c r="EA174" s="257"/>
      <c r="EB174" s="110">
        <f t="shared" si="189"/>
        <v>1773.1084337349396</v>
      </c>
      <c r="EC174" s="110">
        <f>SUMIF(еирц!$B:$B,$B:$B,еирц!$K:$K)</f>
        <v>1164033.42</v>
      </c>
      <c r="ED174" s="110">
        <f>SUMIF(еирц!$B:$B,$B:$B,еирц!$P:$P)</f>
        <v>1015548.26</v>
      </c>
      <c r="EE174" s="110">
        <f>SUMIF(еирц!$B:$B,$B:$B,еирц!$S:$S)</f>
        <v>729367.93</v>
      </c>
      <c r="EF174" s="177">
        <f t="shared" si="220"/>
        <v>-327283.46427037916</v>
      </c>
      <c r="EG174" s="181">
        <f t="shared" si="221"/>
        <v>0</v>
      </c>
      <c r="EH174" s="177">
        <f t="shared" si="222"/>
        <v>-327283.46427037916</v>
      </c>
    </row>
    <row r="175" spans="1:138" ht="12" customHeight="1" x14ac:dyDescent="0.25">
      <c r="A175" s="5">
        <f t="shared" si="223"/>
        <v>171</v>
      </c>
      <c r="B175" s="6" t="s">
        <v>255</v>
      </c>
      <c r="C175" s="7">
        <f t="shared" si="226"/>
        <v>3870.2</v>
      </c>
      <c r="D175" s="8">
        <v>3870.2</v>
      </c>
      <c r="E175" s="8">
        <v>0</v>
      </c>
      <c r="F175" s="8">
        <v>760.2</v>
      </c>
      <c r="G175" s="87">
        <f t="shared" si="156"/>
        <v>3870.2</v>
      </c>
      <c r="H175" s="87">
        <f t="shared" si="157"/>
        <v>3870.2</v>
      </c>
      <c r="I175" s="91">
        <v>2</v>
      </c>
      <c r="J175" s="112">
        <v>6.0744964429659378E-3</v>
      </c>
      <c r="K175" s="17">
        <v>1</v>
      </c>
      <c r="L175" s="112">
        <f t="shared" si="190"/>
        <v>2.4096385542168672E-3</v>
      </c>
      <c r="M175" s="116">
        <v>3.4064167615106058</v>
      </c>
      <c r="N175" s="120">
        <f t="shared" si="191"/>
        <v>3870.2</v>
      </c>
      <c r="O175" s="116">
        <v>3.0862322400413871</v>
      </c>
      <c r="P175" s="120">
        <f t="shared" si="192"/>
        <v>3870.2</v>
      </c>
      <c r="Q175" s="116">
        <v>1.6009282772891877</v>
      </c>
      <c r="R175" s="120">
        <f t="shared" si="193"/>
        <v>3870.2</v>
      </c>
      <c r="S175" s="5" t="s">
        <v>143</v>
      </c>
      <c r="T175" s="87">
        <v>41.34</v>
      </c>
      <c r="U175" s="88">
        <v>4.68</v>
      </c>
      <c r="V175" s="88">
        <v>7.92</v>
      </c>
      <c r="W175" s="88">
        <v>12.32</v>
      </c>
      <c r="X175" s="88">
        <v>6.34</v>
      </c>
      <c r="Y175" s="88">
        <v>2.89</v>
      </c>
      <c r="Z175" s="88">
        <v>1.66</v>
      </c>
      <c r="AA175" s="88">
        <v>5.29</v>
      </c>
      <c r="AB175" s="88">
        <v>0.24</v>
      </c>
      <c r="AC175" s="257"/>
      <c r="AD175" s="110">
        <f t="shared" si="194"/>
        <v>247836.10688177837</v>
      </c>
      <c r="AE175" s="110">
        <f t="shared" si="195"/>
        <v>184753.65702982288</v>
      </c>
      <c r="AF175" s="16">
        <f>SUMIF('20.01'!$I:$I,$B:$B,'20.01'!$D:$D)*1.2</f>
        <v>118171.04399999999</v>
      </c>
      <c r="AG175" s="17">
        <f t="shared" si="227"/>
        <v>10324.255381859026</v>
      </c>
      <c r="AH175" s="17">
        <f t="shared" si="196"/>
        <v>2955.2808373743819</v>
      </c>
      <c r="AI175" s="16">
        <f>SUMIF('20.01'!$J:$J,$B:$B,'20.01'!$D:$D)*1.2</f>
        <v>0</v>
      </c>
      <c r="AJ175" s="17">
        <f t="shared" si="197"/>
        <v>1200.9596913277358</v>
      </c>
      <c r="AK175" s="17">
        <f t="shared" si="198"/>
        <v>2921.6681301505605</v>
      </c>
      <c r="AL175" s="17">
        <f t="shared" si="199"/>
        <v>49180.448989111159</v>
      </c>
      <c r="AM175" s="110">
        <f t="shared" si="200"/>
        <v>0</v>
      </c>
      <c r="AN175" s="17">
        <f>SUMIF('20.01'!$K:$K,$B:$B,'20.01'!$D:$D)*1.2</f>
        <v>0</v>
      </c>
      <c r="AO175" s="17">
        <f>SUMIF('20.01'!$L:$L,$B:$B,'20.01'!$D:$D)*1.2</f>
        <v>0</v>
      </c>
      <c r="AP175" s="17">
        <f>SUMIF('20.01'!$M:$M,$B:$B,'20.01'!$D:$D)*1.2</f>
        <v>0</v>
      </c>
      <c r="AQ175" s="110">
        <f t="shared" si="201"/>
        <v>1087.1858519554967</v>
      </c>
      <c r="AR175" s="17">
        <f t="shared" si="202"/>
        <v>1087.1858519554967</v>
      </c>
      <c r="AS175" s="17">
        <f>(SUMIF('20.01'!$N:$N,$B:$B,'20.01'!$D:$D)+SUMIF('20.01'!$O:$O,$B:$B,'20.01'!$D:$D))*1.2</f>
        <v>0</v>
      </c>
      <c r="AT175" s="110">
        <f>SUMIF('20.01'!$P:$P,$B:$B,'20.01'!$D:$D)*1.2</f>
        <v>0</v>
      </c>
      <c r="AU175" s="110">
        <f t="shared" si="203"/>
        <v>0</v>
      </c>
      <c r="AV175" s="17">
        <f>SUMIF('20.01'!$Q:$Q,$B:$B,'20.01'!$D:$D)*1.2</f>
        <v>0</v>
      </c>
      <c r="AW175" s="17">
        <f>SUMIF('20.01'!$R:$R,$B:$B,'20.01'!$D:$D)*1.2</f>
        <v>0</v>
      </c>
      <c r="AX175" s="110">
        <f t="shared" si="204"/>
        <v>61995.263999999996</v>
      </c>
      <c r="AY175" s="17">
        <f>SUMIF('20.01'!$S:$S,$B:$B,'20.01'!$D:$D)*1.2</f>
        <v>61995.263999999996</v>
      </c>
      <c r="AZ175" s="17">
        <f>SUMIF('20.01'!$T:$T,$B:$B,'20.01'!$D:$D)*1.2</f>
        <v>0</v>
      </c>
      <c r="BA175" s="110">
        <f t="shared" si="205"/>
        <v>0</v>
      </c>
      <c r="BB175" s="17">
        <f>SUMIF('20.01'!$U:$U,$B:$B,'20.01'!$D:$D)*1.2</f>
        <v>0</v>
      </c>
      <c r="BC175" s="17">
        <f>SUMIF('20.01'!$V:$V,$B:$B,'20.01'!$D:$D)*1.2</f>
        <v>0</v>
      </c>
      <c r="BD175" s="17">
        <f>SUMIF('20.01'!$W:$W,$B:$B,'20.01'!$D:$D)*1.2</f>
        <v>0</v>
      </c>
      <c r="BE175" s="110">
        <f>SUMIF('20.01'!$X:$X,$B:$B,'20.01'!$D:$D)*1.2</f>
        <v>0</v>
      </c>
      <c r="BF175" s="110">
        <f t="shared" si="206"/>
        <v>0</v>
      </c>
      <c r="BG175" s="17">
        <f>SUMIF('20.01'!$Y:$Y,$B:$B,'20.01'!$D:$D)*1.2</f>
        <v>0</v>
      </c>
      <c r="BH175" s="17">
        <f>SUMIF('20.01'!$Z:$Z,$B:$B,'20.01'!$D:$D)*1.2</f>
        <v>0</v>
      </c>
      <c r="BI175" s="17">
        <f>SUMIF('20.01'!$AA:$AA,$B:$B,'20.01'!$D:$D)*1.2</f>
        <v>0</v>
      </c>
      <c r="BJ175" s="17">
        <f>SUMIF('20.01'!$AB:$AB,$B:$B,'20.01'!$D:$D)*1.2</f>
        <v>0</v>
      </c>
      <c r="BK175" s="17">
        <f>SUMIF('20.01'!$AC:$AC,$B:$B,'20.01'!$D:$D)*1.2</f>
        <v>0</v>
      </c>
      <c r="BL175" s="17">
        <f>SUMIF('20.01'!$AD:$AD,$B:$B,'20.01'!$D:$D)*1.2</f>
        <v>0</v>
      </c>
      <c r="BM175" s="110">
        <f t="shared" si="207"/>
        <v>0</v>
      </c>
      <c r="BN175" s="17">
        <f>SUMIF('20.01'!$AE:$AE,$B:$B,'20.01'!$D:$D)*1.2</f>
        <v>0</v>
      </c>
      <c r="BO175" s="17">
        <f>SUMIF('20.01'!$AF:$AF,$B:$B,'20.01'!$D:$D)*1.2</f>
        <v>0</v>
      </c>
      <c r="BP175" s="110">
        <f>SUMIF('20.01'!$AG:$AG,$B:$B,'20.01'!$D:$D)*1.2</f>
        <v>0</v>
      </c>
      <c r="BQ175" s="110">
        <f>SUMIF('20.01'!$AH:$AH,$B:$B,'20.01'!$D:$D)*1.2</f>
        <v>0</v>
      </c>
      <c r="BR175" s="110">
        <f>SUMIF('20.01'!$AI:$AI,$B:$B,'20.01'!$D:$D)*1.2</f>
        <v>0</v>
      </c>
      <c r="BS175" s="110">
        <f t="shared" si="208"/>
        <v>0</v>
      </c>
      <c r="BT175" s="17">
        <f>SUMIF('20.01'!$AJ:$AJ,$B:$B,'20.01'!$D:$D)*1.2</f>
        <v>0</v>
      </c>
      <c r="BU175" s="17">
        <f>SUMIF('20.01'!$AK:$AK,$B:$B,'20.01'!$D:$D)*1.2</f>
        <v>0</v>
      </c>
      <c r="BV175" s="110">
        <f>SUMIF('20.01'!$AL:$AL,$B:$B,'20.01'!$D:$D)*1.2</f>
        <v>0</v>
      </c>
      <c r="BW175" s="110">
        <f>SUMIF('20.01'!$AM:$AM,$B:$B,'20.01'!$D:$D)*1.2</f>
        <v>0</v>
      </c>
      <c r="BX175" s="110">
        <f>SUMIF('20.01'!$AN:$AN,$B:$B,'20.01'!$D:$D)*1.2</f>
        <v>0</v>
      </c>
      <c r="BY175" s="110">
        <f t="shared" si="158"/>
        <v>292782.53737088136</v>
      </c>
      <c r="BZ175" s="17">
        <f>IF(S175=$S$246,$BZ$246,0)/$G$246*G175</f>
        <v>237182.17258427493</v>
      </c>
      <c r="CA175" s="17">
        <f t="shared" si="159"/>
        <v>24004.067217246</v>
      </c>
      <c r="CB175" s="17">
        <f t="shared" si="160"/>
        <v>1595.6674489415807</v>
      </c>
      <c r="CC175" s="17">
        <f>SUMIF('20.01'!$AO:$AO,$B:$B,'20.01'!$D:$D)*1.2</f>
        <v>0</v>
      </c>
      <c r="CD175" s="17">
        <f t="shared" si="161"/>
        <v>25050.35830722273</v>
      </c>
      <c r="CE175" s="17">
        <f>SUMIF('20.01'!$AQ:$AQ,$B:$B,'20.01'!$D:$D)*1.2</f>
        <v>0</v>
      </c>
      <c r="CF175" s="17">
        <f t="shared" si="162"/>
        <v>2279.1866107208548</v>
      </c>
      <c r="CG175" s="17">
        <f>SUMIF('20.01'!$AR:$AR,$B:$B,'20.01'!$D:$D)*1.2</f>
        <v>0</v>
      </c>
      <c r="CH175" s="17">
        <f t="shared" si="163"/>
        <v>1342.2755331740677</v>
      </c>
      <c r="CI175" s="17">
        <f>SUMIF('20.01'!$AT:$AT,$B:$B,'20.01'!$D:$D)*1.2</f>
        <v>0</v>
      </c>
      <c r="CJ175" s="17">
        <f>SUMIF('20.01'!$AU:$AU,$B:$B,'20.01'!$D:$D)*1.2</f>
        <v>0</v>
      </c>
      <c r="CK175" s="17">
        <f>SUMIF('20.01'!$AV:$AV,$B:$B,'20.01'!$D:$D)*1.2</f>
        <v>0</v>
      </c>
      <c r="CL175" s="17">
        <f t="shared" si="164"/>
        <v>1328.809669301216</v>
      </c>
      <c r="CM175" s="17">
        <f>SUMIF('20.01'!$AW:$AW,$B:$B,'20.01'!$D:$D)*1.2</f>
        <v>0</v>
      </c>
      <c r="CN175" s="17">
        <f>SUMIF('20.01'!$AX:$AX,$B:$B,'20.01'!$D:$D)*1.2</f>
        <v>0</v>
      </c>
      <c r="CO175" s="110">
        <f t="shared" si="209"/>
        <v>445764.37965493335</v>
      </c>
      <c r="CP175" s="17">
        <f t="shared" si="210"/>
        <v>351637.38738265907</v>
      </c>
      <c r="CQ175" s="17">
        <f t="shared" si="165"/>
        <v>108484.97241172164</v>
      </c>
      <c r="CR175" s="17">
        <f t="shared" si="166"/>
        <v>243152.41497093745</v>
      </c>
      <c r="CS175" s="17">
        <f t="shared" si="211"/>
        <v>94126.992272274249</v>
      </c>
      <c r="CT175" s="17">
        <f t="shared" si="167"/>
        <v>3429.1288991064157</v>
      </c>
      <c r="CU175" s="17">
        <f t="shared" si="168"/>
        <v>3316.7683384417646</v>
      </c>
      <c r="CV175" s="17">
        <f t="shared" si="169"/>
        <v>3427.9525692356224</v>
      </c>
      <c r="CW175" s="17">
        <f t="shared" si="170"/>
        <v>35.945857017421488</v>
      </c>
      <c r="CX175" s="17">
        <f t="shared" si="171"/>
        <v>50615.380553970215</v>
      </c>
      <c r="CY175" s="17">
        <f t="shared" si="172"/>
        <v>33301.816054502815</v>
      </c>
      <c r="CZ175" s="110">
        <f t="shared" si="212"/>
        <v>110650.38876804171</v>
      </c>
      <c r="DA175" s="17">
        <f t="shared" si="213"/>
        <v>4179.7508159792433</v>
      </c>
      <c r="DB175" s="17">
        <f t="shared" si="173"/>
        <v>3966.4302001716901</v>
      </c>
      <c r="DC175" s="17">
        <f t="shared" si="174"/>
        <v>213.32061580755308</v>
      </c>
      <c r="DD175" s="17">
        <f t="shared" si="175"/>
        <v>7365.2003906533846</v>
      </c>
      <c r="DE175" s="17">
        <f t="shared" si="176"/>
        <v>2541.1882057980865</v>
      </c>
      <c r="DF175" s="17">
        <f t="shared" si="177"/>
        <v>3084.0859139633458</v>
      </c>
      <c r="DG175" s="17">
        <f t="shared" si="214"/>
        <v>93480.163441647645</v>
      </c>
      <c r="DH175" s="110">
        <f t="shared" si="215"/>
        <v>69054.486292835718</v>
      </c>
      <c r="DI175" s="17">
        <f t="shared" si="178"/>
        <v>61944.689712821622</v>
      </c>
      <c r="DJ175" s="17">
        <f t="shared" si="179"/>
        <v>6850.7186921158336</v>
      </c>
      <c r="DK175" s="17">
        <f t="shared" si="180"/>
        <v>259.07788789827316</v>
      </c>
      <c r="DL175" s="110">
        <f t="shared" si="216"/>
        <v>522544.97188833542</v>
      </c>
      <c r="DM175" s="17">
        <f t="shared" si="181"/>
        <v>217581.66477000693</v>
      </c>
      <c r="DN175" s="17">
        <f t="shared" si="182"/>
        <v>192949.77819227031</v>
      </c>
      <c r="DO175" s="17">
        <f t="shared" si="183"/>
        <v>112013.52892605818</v>
      </c>
      <c r="DP175" s="110">
        <f t="shared" si="217"/>
        <v>173778.15931927104</v>
      </c>
      <c r="DQ175" s="17">
        <f>SUMIF('20.01'!$BB:$BB,$B:$B,'20.01'!$D:$D)*1.2</f>
        <v>6012.5999999999995</v>
      </c>
      <c r="DR175" s="17">
        <f t="shared" si="184"/>
        <v>166531.05138607405</v>
      </c>
      <c r="DS175" s="17">
        <f t="shared" si="185"/>
        <v>1234.5079331969819</v>
      </c>
      <c r="DT175" s="110">
        <f t="shared" si="218"/>
        <v>7965.3240000000005</v>
      </c>
      <c r="DU175" s="17">
        <f>SUMIF('20.01'!$BD:$BD,$B:$B,'20.01'!$D:$D)*1.2</f>
        <v>7965.3240000000005</v>
      </c>
      <c r="DV175" s="17">
        <f t="shared" si="186"/>
        <v>0</v>
      </c>
      <c r="DW175" s="17">
        <f t="shared" si="187"/>
        <v>0</v>
      </c>
      <c r="DX175" s="110">
        <f t="shared" si="188"/>
        <v>1870376.3541760771</v>
      </c>
      <c r="DY175" s="110">
        <f>EC175*EG175</f>
        <v>150637.08800000002</v>
      </c>
      <c r="DZ175" s="110">
        <f t="shared" si="219"/>
        <v>2021013.442176077</v>
      </c>
      <c r="EA175" s="257"/>
      <c r="EB175" s="110">
        <f t="shared" si="189"/>
        <v>886.55421686746979</v>
      </c>
      <c r="EC175" s="110">
        <f>SUMIF(еирц!$B:$B,$B:$B,еирц!$K:$K)</f>
        <v>1882963.6</v>
      </c>
      <c r="ED175" s="110">
        <f>SUMIF(еирц!$B:$B,$B:$B,еирц!$P:$P)</f>
        <v>1842684.28</v>
      </c>
      <c r="EE175" s="110">
        <f>SUMIF(еирц!$B:$B,$B:$B,еирц!$S:$S)</f>
        <v>259867.23</v>
      </c>
      <c r="EF175" s="177">
        <f t="shared" si="220"/>
        <v>13473.800040790578</v>
      </c>
      <c r="EG175" s="182">
        <v>0.08</v>
      </c>
      <c r="EH175" s="177">
        <f t="shared" si="222"/>
        <v>-137163.28795920941</v>
      </c>
    </row>
    <row r="176" spans="1:138" ht="12" customHeight="1" x14ac:dyDescent="0.25">
      <c r="A176" s="5">
        <f t="shared" si="223"/>
        <v>172</v>
      </c>
      <c r="B176" s="6" t="s">
        <v>256</v>
      </c>
      <c r="C176" s="7">
        <f t="shared" si="226"/>
        <v>3892.2</v>
      </c>
      <c r="D176" s="8">
        <v>3892.2</v>
      </c>
      <c r="E176" s="8">
        <v>0</v>
      </c>
      <c r="F176" s="8">
        <v>797.4</v>
      </c>
      <c r="G176" s="87">
        <f t="shared" si="156"/>
        <v>3892.2</v>
      </c>
      <c r="H176" s="87">
        <f t="shared" si="157"/>
        <v>3892.2</v>
      </c>
      <c r="I176" s="91">
        <v>2</v>
      </c>
      <c r="J176" s="112">
        <v>6.1154419096426252E-3</v>
      </c>
      <c r="K176" s="17">
        <v>1</v>
      </c>
      <c r="L176" s="112">
        <f t="shared" si="190"/>
        <v>2.4096385542168672E-3</v>
      </c>
      <c r="M176" s="116">
        <v>3.4064166435506245</v>
      </c>
      <c r="N176" s="120">
        <f t="shared" si="191"/>
        <v>3892.2</v>
      </c>
      <c r="O176" s="116">
        <v>3.0862334206606055</v>
      </c>
      <c r="P176" s="120">
        <f t="shared" si="192"/>
        <v>3892.2</v>
      </c>
      <c r="Q176" s="116">
        <v>1.600927374531258</v>
      </c>
      <c r="R176" s="120">
        <f t="shared" si="193"/>
        <v>3892.2</v>
      </c>
      <c r="S176" s="5" t="s">
        <v>143</v>
      </c>
      <c r="T176" s="87">
        <v>41.34</v>
      </c>
      <c r="U176" s="88">
        <v>4.68</v>
      </c>
      <c r="V176" s="88">
        <v>7.92</v>
      </c>
      <c r="W176" s="88">
        <v>12.32</v>
      </c>
      <c r="X176" s="88">
        <v>6.34</v>
      </c>
      <c r="Y176" s="88">
        <v>2.89</v>
      </c>
      <c r="Z176" s="88">
        <v>1.66</v>
      </c>
      <c r="AA176" s="88">
        <v>5.29</v>
      </c>
      <c r="AB176" s="88">
        <v>0.24</v>
      </c>
      <c r="AC176" s="257"/>
      <c r="AD176" s="110">
        <f t="shared" si="194"/>
        <v>200406.70119757581</v>
      </c>
      <c r="AE176" s="110">
        <f t="shared" si="195"/>
        <v>159215.14328031539</v>
      </c>
      <c r="AF176" s="16">
        <f>SUMIF('20.01'!$I:$I,$B:$B,'20.01'!$D:$D)*1.2</f>
        <v>92254.043999999994</v>
      </c>
      <c r="AG176" s="17">
        <f t="shared" si="227"/>
        <v>10382.943206364451</v>
      </c>
      <c r="AH176" s="17">
        <f t="shared" si="196"/>
        <v>2972.080015303749</v>
      </c>
      <c r="AI176" s="16">
        <f>SUMIF('20.01'!$J:$J,$B:$B,'20.01'!$D:$D)*1.2</f>
        <v>0</v>
      </c>
      <c r="AJ176" s="17">
        <f t="shared" si="197"/>
        <v>1207.7864995570806</v>
      </c>
      <c r="AK176" s="17">
        <f t="shared" si="198"/>
        <v>2938.2762379649662</v>
      </c>
      <c r="AL176" s="17">
        <f t="shared" si="199"/>
        <v>49460.013321125123</v>
      </c>
      <c r="AM176" s="110">
        <f t="shared" si="200"/>
        <v>0</v>
      </c>
      <c r="AN176" s="17">
        <f>SUMIF('20.01'!$K:$K,$B:$B,'20.01'!$D:$D)*1.2</f>
        <v>0</v>
      </c>
      <c r="AO176" s="17">
        <f>SUMIF('20.01'!$L:$L,$B:$B,'20.01'!$D:$D)*1.2</f>
        <v>0</v>
      </c>
      <c r="AP176" s="17">
        <f>SUMIF('20.01'!$M:$M,$B:$B,'20.01'!$D:$D)*1.2</f>
        <v>0</v>
      </c>
      <c r="AQ176" s="110">
        <f t="shared" si="201"/>
        <v>1093.3659172603959</v>
      </c>
      <c r="AR176" s="17">
        <f t="shared" si="202"/>
        <v>1093.3659172603959</v>
      </c>
      <c r="AS176" s="17">
        <f>(SUMIF('20.01'!$N:$N,$B:$B,'20.01'!$D:$D)+SUMIF('20.01'!$O:$O,$B:$B,'20.01'!$D:$D))*1.2</f>
        <v>0</v>
      </c>
      <c r="AT176" s="110">
        <f>SUMIF('20.01'!$P:$P,$B:$B,'20.01'!$D:$D)*1.2</f>
        <v>0</v>
      </c>
      <c r="AU176" s="110">
        <f t="shared" si="203"/>
        <v>0</v>
      </c>
      <c r="AV176" s="17">
        <f>SUMIF('20.01'!$Q:$Q,$B:$B,'20.01'!$D:$D)*1.2</f>
        <v>0</v>
      </c>
      <c r="AW176" s="17">
        <f>SUMIF('20.01'!$R:$R,$B:$B,'20.01'!$D:$D)*1.2</f>
        <v>0</v>
      </c>
      <c r="AX176" s="110">
        <f t="shared" si="204"/>
        <v>40098.192000000003</v>
      </c>
      <c r="AY176" s="17">
        <f>SUMIF('20.01'!$S:$S,$B:$B,'20.01'!$D:$D)*1.2</f>
        <v>40098.192000000003</v>
      </c>
      <c r="AZ176" s="17">
        <f>SUMIF('20.01'!$T:$T,$B:$B,'20.01'!$D:$D)*1.2</f>
        <v>0</v>
      </c>
      <c r="BA176" s="110">
        <f t="shared" si="205"/>
        <v>0</v>
      </c>
      <c r="BB176" s="17">
        <f>SUMIF('20.01'!$U:$U,$B:$B,'20.01'!$D:$D)*1.2</f>
        <v>0</v>
      </c>
      <c r="BC176" s="17">
        <f>SUMIF('20.01'!$V:$V,$B:$B,'20.01'!$D:$D)*1.2</f>
        <v>0</v>
      </c>
      <c r="BD176" s="17">
        <f>SUMIF('20.01'!$W:$W,$B:$B,'20.01'!$D:$D)*1.2</f>
        <v>0</v>
      </c>
      <c r="BE176" s="110">
        <f>SUMIF('20.01'!$X:$X,$B:$B,'20.01'!$D:$D)*1.2</f>
        <v>0</v>
      </c>
      <c r="BF176" s="110">
        <f t="shared" si="206"/>
        <v>0</v>
      </c>
      <c r="BG176" s="17">
        <f>SUMIF('20.01'!$Y:$Y,$B:$B,'20.01'!$D:$D)*1.2</f>
        <v>0</v>
      </c>
      <c r="BH176" s="17">
        <f>SUMIF('20.01'!$Z:$Z,$B:$B,'20.01'!$D:$D)*1.2</f>
        <v>0</v>
      </c>
      <c r="BI176" s="17">
        <f>SUMIF('20.01'!$AA:$AA,$B:$B,'20.01'!$D:$D)*1.2</f>
        <v>0</v>
      </c>
      <c r="BJ176" s="17">
        <f>SUMIF('20.01'!$AB:$AB,$B:$B,'20.01'!$D:$D)*1.2</f>
        <v>0</v>
      </c>
      <c r="BK176" s="17">
        <f>SUMIF('20.01'!$AC:$AC,$B:$B,'20.01'!$D:$D)*1.2</f>
        <v>0</v>
      </c>
      <c r="BL176" s="17">
        <f>SUMIF('20.01'!$AD:$AD,$B:$B,'20.01'!$D:$D)*1.2</f>
        <v>0</v>
      </c>
      <c r="BM176" s="110">
        <f t="shared" si="207"/>
        <v>0</v>
      </c>
      <c r="BN176" s="17">
        <f>SUMIF('20.01'!$AE:$AE,$B:$B,'20.01'!$D:$D)*1.2</f>
        <v>0</v>
      </c>
      <c r="BO176" s="17">
        <f>SUMIF('20.01'!$AF:$AF,$B:$B,'20.01'!$D:$D)*1.2</f>
        <v>0</v>
      </c>
      <c r="BP176" s="110">
        <f>SUMIF('20.01'!$AG:$AG,$B:$B,'20.01'!$D:$D)*1.2</f>
        <v>0</v>
      </c>
      <c r="BQ176" s="110">
        <f>SUMIF('20.01'!$AH:$AH,$B:$B,'20.01'!$D:$D)*1.2</f>
        <v>0</v>
      </c>
      <c r="BR176" s="110">
        <f>SUMIF('20.01'!$AI:$AI,$B:$B,'20.01'!$D:$D)*1.2</f>
        <v>0</v>
      </c>
      <c r="BS176" s="110">
        <f t="shared" si="208"/>
        <v>0</v>
      </c>
      <c r="BT176" s="17">
        <f>SUMIF('20.01'!$AJ:$AJ,$B:$B,'20.01'!$D:$D)*1.2</f>
        <v>0</v>
      </c>
      <c r="BU176" s="17">
        <f>SUMIF('20.01'!$AK:$AK,$B:$B,'20.01'!$D:$D)*1.2</f>
        <v>0</v>
      </c>
      <c r="BV176" s="110">
        <f>SUMIF('20.01'!$AL:$AL,$B:$B,'20.01'!$D:$D)*1.2</f>
        <v>0</v>
      </c>
      <c r="BW176" s="110">
        <f>SUMIF('20.01'!$AM:$AM,$B:$B,'20.01'!$D:$D)*1.2</f>
        <v>0</v>
      </c>
      <c r="BX176" s="110">
        <f>SUMIF('20.01'!$AN:$AN,$B:$B,'20.01'!$D:$D)*1.2</f>
        <v>0</v>
      </c>
      <c r="BY176" s="110">
        <f t="shared" si="158"/>
        <v>294446.84821325628</v>
      </c>
      <c r="BZ176" s="17">
        <f>IF(S176=$S$246,$BZ$246,0)/$G$246*G176</f>
        <v>238530.42533525784</v>
      </c>
      <c r="CA176" s="17">
        <f t="shared" si="159"/>
        <v>24140.517395215978</v>
      </c>
      <c r="CB176" s="17">
        <f t="shared" si="160"/>
        <v>1604.7379579273475</v>
      </c>
      <c r="CC176" s="17">
        <f>SUMIF('20.01'!$AO:$AO,$B:$B,'20.01'!$D:$D)*1.2</f>
        <v>0</v>
      </c>
      <c r="CD176" s="17">
        <f t="shared" si="161"/>
        <v>25192.756085828201</v>
      </c>
      <c r="CE176" s="17">
        <f>SUMIF('20.01'!$AQ:$AQ,$B:$B,'20.01'!$D:$D)*1.2</f>
        <v>0</v>
      </c>
      <c r="CF176" s="17">
        <f t="shared" si="162"/>
        <v>2292.1425575545736</v>
      </c>
      <c r="CG176" s="17">
        <f>SUMIF('20.01'!$AR:$AR,$B:$B,'20.01'!$D:$D)*1.2</f>
        <v>0</v>
      </c>
      <c r="CH176" s="17">
        <f t="shared" si="163"/>
        <v>1349.9056457599365</v>
      </c>
      <c r="CI176" s="17">
        <f>SUMIF('20.01'!$AT:$AT,$B:$B,'20.01'!$D:$D)*1.2</f>
        <v>0</v>
      </c>
      <c r="CJ176" s="17">
        <f>SUMIF('20.01'!$AU:$AU,$B:$B,'20.01'!$D:$D)*1.2</f>
        <v>0</v>
      </c>
      <c r="CK176" s="17">
        <f>SUMIF('20.01'!$AV:$AV,$B:$B,'20.01'!$D:$D)*1.2</f>
        <v>0</v>
      </c>
      <c r="CL176" s="17">
        <f t="shared" si="164"/>
        <v>1336.3632357124161</v>
      </c>
      <c r="CM176" s="17">
        <f>SUMIF('20.01'!$AW:$AW,$B:$B,'20.01'!$D:$D)*1.2</f>
        <v>0</v>
      </c>
      <c r="CN176" s="17">
        <f>SUMIF('20.01'!$AX:$AX,$B:$B,'20.01'!$D:$D)*1.2</f>
        <v>0</v>
      </c>
      <c r="CO176" s="110">
        <f t="shared" si="209"/>
        <v>448298.30977544613</v>
      </c>
      <c r="CP176" s="17">
        <f t="shared" si="210"/>
        <v>353636.25630995445</v>
      </c>
      <c r="CQ176" s="17">
        <f t="shared" si="165"/>
        <v>109101.65097951086</v>
      </c>
      <c r="CR176" s="17">
        <f t="shared" si="166"/>
        <v>244534.60533044359</v>
      </c>
      <c r="CS176" s="17">
        <f t="shared" si="211"/>
        <v>94662.05346549167</v>
      </c>
      <c r="CT176" s="17">
        <f t="shared" si="167"/>
        <v>3448.621647744817</v>
      </c>
      <c r="CU176" s="17">
        <f t="shared" si="168"/>
        <v>3335.6223778830645</v>
      </c>
      <c r="CV176" s="17">
        <f t="shared" si="169"/>
        <v>3447.4386310730424</v>
      </c>
      <c r="CW176" s="17">
        <f t="shared" si="170"/>
        <v>36.150189830811826</v>
      </c>
      <c r="CX176" s="17">
        <f t="shared" si="171"/>
        <v>50903.10169814554</v>
      </c>
      <c r="CY176" s="17">
        <f t="shared" si="172"/>
        <v>33491.118920814391</v>
      </c>
      <c r="CZ176" s="110">
        <f t="shared" si="212"/>
        <v>111279.37656011884</v>
      </c>
      <c r="DA176" s="17">
        <f t="shared" si="213"/>
        <v>4203.5104454432358</v>
      </c>
      <c r="DB176" s="17">
        <f t="shared" si="173"/>
        <v>3988.9772169676639</v>
      </c>
      <c r="DC176" s="17">
        <f t="shared" si="174"/>
        <v>214.53322847557183</v>
      </c>
      <c r="DD176" s="17">
        <f t="shared" si="175"/>
        <v>7407.0675832001198</v>
      </c>
      <c r="DE176" s="17">
        <f t="shared" si="176"/>
        <v>2555.6334904158216</v>
      </c>
      <c r="DF176" s="17">
        <f t="shared" si="177"/>
        <v>3101.6172792951616</v>
      </c>
      <c r="DG176" s="17">
        <f t="shared" si="214"/>
        <v>94011.547761764494</v>
      </c>
      <c r="DH176" s="110">
        <f t="shared" si="215"/>
        <v>69447.023809874212</v>
      </c>
      <c r="DI176" s="17">
        <f t="shared" si="178"/>
        <v>62296.811870250713</v>
      </c>
      <c r="DJ176" s="17">
        <f t="shared" si="179"/>
        <v>6889.6613336399269</v>
      </c>
      <c r="DK176" s="17">
        <f t="shared" si="180"/>
        <v>260.55060598358199</v>
      </c>
      <c r="DL176" s="110">
        <f t="shared" si="216"/>
        <v>525515.35827186692</v>
      </c>
      <c r="DM176" s="17">
        <f t="shared" si="181"/>
        <v>218818.49920361247</v>
      </c>
      <c r="DN176" s="17">
        <f t="shared" si="182"/>
        <v>194046.59363339221</v>
      </c>
      <c r="DO176" s="17">
        <f t="shared" si="183"/>
        <v>112650.26543486219</v>
      </c>
      <c r="DP176" s="110">
        <f t="shared" si="217"/>
        <v>174908.9920036094</v>
      </c>
      <c r="DQ176" s="17">
        <f>SUMIF('20.01'!$BB:$BB,$B:$B,'20.01'!$D:$D)*1.2</f>
        <v>6012.5999999999995</v>
      </c>
      <c r="DR176" s="17">
        <f t="shared" si="184"/>
        <v>167653.56280396416</v>
      </c>
      <c r="DS176" s="17">
        <f t="shared" si="185"/>
        <v>1242.8291996452249</v>
      </c>
      <c r="DT176" s="110">
        <f t="shared" si="218"/>
        <v>7870.5</v>
      </c>
      <c r="DU176" s="17">
        <f>SUMIF('20.01'!$BD:$BD,$B:$B,'20.01'!$D:$D)*1.2</f>
        <v>7870.5</v>
      </c>
      <c r="DV176" s="17">
        <f t="shared" si="186"/>
        <v>0</v>
      </c>
      <c r="DW176" s="17">
        <f t="shared" si="187"/>
        <v>0</v>
      </c>
      <c r="DX176" s="110">
        <f t="shared" si="188"/>
        <v>1832173.1098317476</v>
      </c>
      <c r="DY176" s="110">
        <f>EC176*EG176</f>
        <v>151477.15919999999</v>
      </c>
      <c r="DZ176" s="110">
        <f t="shared" si="219"/>
        <v>1983650.2690317477</v>
      </c>
      <c r="EA176" s="257"/>
      <c r="EB176" s="110">
        <f t="shared" si="189"/>
        <v>886.55421686746979</v>
      </c>
      <c r="EC176" s="110">
        <f>SUMIF(еирц!$B:$B,$B:$B,еирц!$K:$K)</f>
        <v>1893464.49</v>
      </c>
      <c r="ED176" s="110">
        <f>SUMIF(еирц!$B:$B,$B:$B,еирц!$P:$P)</f>
        <v>1911062.92</v>
      </c>
      <c r="EE176" s="110">
        <f>SUMIF(еирц!$B:$B,$B:$B,еирц!$S:$S)</f>
        <v>240163.13</v>
      </c>
      <c r="EF176" s="177">
        <f t="shared" si="220"/>
        <v>62177.934385119937</v>
      </c>
      <c r="EG176" s="182">
        <v>0.08</v>
      </c>
      <c r="EH176" s="177">
        <f t="shared" si="222"/>
        <v>-89299.224814880174</v>
      </c>
    </row>
    <row r="177" spans="1:138" ht="12" customHeight="1" x14ac:dyDescent="0.25">
      <c r="A177" s="5">
        <f t="shared" si="223"/>
        <v>173</v>
      </c>
      <c r="B177" s="6" t="s">
        <v>257</v>
      </c>
      <c r="C177" s="7">
        <f t="shared" si="226"/>
        <v>14729.300000000001</v>
      </c>
      <c r="D177" s="8">
        <v>13280.2</v>
      </c>
      <c r="E177" s="8">
        <v>1449.1</v>
      </c>
      <c r="F177" s="8">
        <v>2794.8</v>
      </c>
      <c r="G177" s="91">
        <f t="shared" si="156"/>
        <v>14729.300000000001</v>
      </c>
      <c r="H177" s="87">
        <f t="shared" si="157"/>
        <v>0</v>
      </c>
      <c r="I177" s="91">
        <v>8</v>
      </c>
      <c r="J177" s="112">
        <v>2.3134027405031198E-2</v>
      </c>
      <c r="K177" s="115">
        <v>4</v>
      </c>
      <c r="L177" s="112">
        <f t="shared" si="190"/>
        <v>9.638554216867469E-3</v>
      </c>
      <c r="M177" s="116">
        <v>3.4064170233682183</v>
      </c>
      <c r="N177" s="120">
        <f t="shared" si="191"/>
        <v>14729.300000000001</v>
      </c>
      <c r="O177" s="116">
        <v>3.0862312791420048</v>
      </c>
      <c r="P177" s="120">
        <f t="shared" si="192"/>
        <v>14729.300000000001</v>
      </c>
      <c r="Q177" s="116">
        <v>1.6009272246912571</v>
      </c>
      <c r="R177" s="120">
        <f t="shared" si="193"/>
        <v>14729.300000000001</v>
      </c>
      <c r="S177" s="5" t="s">
        <v>98</v>
      </c>
      <c r="T177" s="87">
        <v>41.1</v>
      </c>
      <c r="U177" s="88">
        <v>4.68</v>
      </c>
      <c r="V177" s="88">
        <v>7.92</v>
      </c>
      <c r="W177" s="88">
        <v>12.32</v>
      </c>
      <c r="X177" s="88">
        <v>6.34</v>
      </c>
      <c r="Y177" s="88">
        <v>2.89</v>
      </c>
      <c r="Z177" s="88">
        <v>1.66</v>
      </c>
      <c r="AA177" s="88">
        <v>5.29</v>
      </c>
      <c r="AB177" s="88">
        <v>0</v>
      </c>
      <c r="AC177" s="257"/>
      <c r="AD177" s="110">
        <f t="shared" si="194"/>
        <v>667373.40882996819</v>
      </c>
      <c r="AE177" s="110">
        <f t="shared" si="195"/>
        <v>356789.13083472033</v>
      </c>
      <c r="AF177" s="16">
        <f>SUMIF('20.01'!$I:$I,$B:$B,'20.01'!$D:$D)*1.2</f>
        <v>111387.048</v>
      </c>
      <c r="AG177" s="17">
        <f t="shared" ref="AG177:AG181" si="228">IF(S177=$S$248,$AG$248,0)/$G$248*G177</f>
        <v>31292.675748741833</v>
      </c>
      <c r="AH177" s="17">
        <f t="shared" si="196"/>
        <v>11247.278703410286</v>
      </c>
      <c r="AI177" s="16">
        <f>SUMIF('20.01'!$J:$J,$B:$B,'20.01'!$D:$D)*1.2</f>
        <v>0</v>
      </c>
      <c r="AJ177" s="17">
        <f t="shared" si="197"/>
        <v>4570.6412023858247</v>
      </c>
      <c r="AK177" s="17">
        <f t="shared" si="198"/>
        <v>11119.354655941983</v>
      </c>
      <c r="AL177" s="17">
        <f t="shared" si="199"/>
        <v>187172.13252424038</v>
      </c>
      <c r="AM177" s="110">
        <f t="shared" si="200"/>
        <v>0</v>
      </c>
      <c r="AN177" s="17">
        <f>SUMIF('20.01'!$K:$K,$B:$B,'20.01'!$D:$D)*1.2</f>
        <v>0</v>
      </c>
      <c r="AO177" s="17">
        <f>SUMIF('20.01'!$L:$L,$B:$B,'20.01'!$D:$D)*1.2</f>
        <v>0</v>
      </c>
      <c r="AP177" s="17">
        <f>SUMIF('20.01'!$M:$M,$B:$B,'20.01'!$D:$D)*1.2</f>
        <v>0</v>
      </c>
      <c r="AQ177" s="110">
        <f t="shared" si="201"/>
        <v>4137.6379952478164</v>
      </c>
      <c r="AR177" s="17">
        <f t="shared" si="202"/>
        <v>4137.6379952478164</v>
      </c>
      <c r="AS177" s="17">
        <f>(SUMIF('20.01'!$N:$N,$B:$B,'20.01'!$D:$D)+SUMIF('20.01'!$O:$O,$B:$B,'20.01'!$D:$D))*1.2</f>
        <v>0</v>
      </c>
      <c r="AT177" s="110">
        <f>SUMIF('20.01'!$P:$P,$B:$B,'20.01'!$D:$D)*1.2</f>
        <v>0</v>
      </c>
      <c r="AU177" s="110">
        <f t="shared" si="203"/>
        <v>0</v>
      </c>
      <c r="AV177" s="17">
        <f>SUMIF('20.01'!$Q:$Q,$B:$B,'20.01'!$D:$D)*1.2</f>
        <v>0</v>
      </c>
      <c r="AW177" s="17">
        <f>SUMIF('20.01'!$R:$R,$B:$B,'20.01'!$D:$D)*1.2</f>
        <v>0</v>
      </c>
      <c r="AX177" s="110">
        <f t="shared" si="204"/>
        <v>0</v>
      </c>
      <c r="AY177" s="17">
        <f>SUMIF('20.01'!$S:$S,$B:$B,'20.01'!$D:$D)*1.2</f>
        <v>0</v>
      </c>
      <c r="AZ177" s="17">
        <f>SUMIF('20.01'!$T:$T,$B:$B,'20.01'!$D:$D)*1.2</f>
        <v>0</v>
      </c>
      <c r="BA177" s="110">
        <f t="shared" si="205"/>
        <v>0</v>
      </c>
      <c r="BB177" s="17">
        <f>SUMIF('20.01'!$U:$U,$B:$B,'20.01'!$D:$D)*1.2</f>
        <v>0</v>
      </c>
      <c r="BC177" s="17">
        <f>SUMIF('20.01'!$V:$V,$B:$B,'20.01'!$D:$D)*1.2</f>
        <v>0</v>
      </c>
      <c r="BD177" s="17">
        <f>SUMIF('20.01'!$W:$W,$B:$B,'20.01'!$D:$D)*1.2</f>
        <v>0</v>
      </c>
      <c r="BE177" s="110">
        <f>SUMIF('20.01'!$X:$X,$B:$B,'20.01'!$D:$D)*1.2</f>
        <v>0</v>
      </c>
      <c r="BF177" s="110">
        <f t="shared" si="206"/>
        <v>0</v>
      </c>
      <c r="BG177" s="17">
        <f>SUMIF('20.01'!$Y:$Y,$B:$B,'20.01'!$D:$D)*1.2</f>
        <v>0</v>
      </c>
      <c r="BH177" s="17">
        <f>SUMIF('20.01'!$Z:$Z,$B:$B,'20.01'!$D:$D)*1.2</f>
        <v>0</v>
      </c>
      <c r="BI177" s="17">
        <f>SUMIF('20.01'!$AA:$AA,$B:$B,'20.01'!$D:$D)*1.2</f>
        <v>0</v>
      </c>
      <c r="BJ177" s="17">
        <f>SUMIF('20.01'!$AB:$AB,$B:$B,'20.01'!$D:$D)*1.2</f>
        <v>0</v>
      </c>
      <c r="BK177" s="17">
        <f>SUMIF('20.01'!$AC:$AC,$B:$B,'20.01'!$D:$D)*1.2</f>
        <v>0</v>
      </c>
      <c r="BL177" s="17">
        <f>SUMIF('20.01'!$AD:$AD,$B:$B,'20.01'!$D:$D)*1.2</f>
        <v>0</v>
      </c>
      <c r="BM177" s="110">
        <f t="shared" si="207"/>
        <v>0</v>
      </c>
      <c r="BN177" s="17">
        <f>SUMIF('20.01'!$AE:$AE,$B:$B,'20.01'!$D:$D)*1.2</f>
        <v>0</v>
      </c>
      <c r="BO177" s="17">
        <f>SUMIF('20.01'!$AF:$AF,$B:$B,'20.01'!$D:$D)*1.2</f>
        <v>0</v>
      </c>
      <c r="BP177" s="110">
        <f>SUMIF('20.01'!$AG:$AG,$B:$B,'20.01'!$D:$D)*1.2</f>
        <v>0</v>
      </c>
      <c r="BQ177" s="110">
        <f>SUMIF('20.01'!$AH:$AH,$B:$B,'20.01'!$D:$D)*1.2</f>
        <v>306446.64</v>
      </c>
      <c r="BR177" s="110">
        <f>SUMIF('20.01'!$AI:$AI,$B:$B,'20.01'!$D:$D)*1.2</f>
        <v>0</v>
      </c>
      <c r="BS177" s="110">
        <f t="shared" si="208"/>
        <v>0</v>
      </c>
      <c r="BT177" s="17">
        <f>SUMIF('20.01'!$AJ:$AJ,$B:$B,'20.01'!$D:$D)*1.2</f>
        <v>0</v>
      </c>
      <c r="BU177" s="17">
        <f>SUMIF('20.01'!$AK:$AK,$B:$B,'20.01'!$D:$D)*1.2</f>
        <v>0</v>
      </c>
      <c r="BV177" s="110">
        <f>SUMIF('20.01'!$AL:$AL,$B:$B,'20.01'!$D:$D)*1.2</f>
        <v>0</v>
      </c>
      <c r="BW177" s="110">
        <f>SUMIF('20.01'!$AM:$AM,$B:$B,'20.01'!$D:$D)*1.2</f>
        <v>0</v>
      </c>
      <c r="BX177" s="110">
        <f>SUMIF('20.01'!$AN:$AN,$B:$B,'20.01'!$D:$D)*1.2</f>
        <v>0</v>
      </c>
      <c r="BY177" s="110">
        <f t="shared" si="158"/>
        <v>959748.32635312888</v>
      </c>
      <c r="BZ177" s="17">
        <f>IF(S177=$S$248,$BZ$248,0)/$G$248*G177</f>
        <v>748143.12428311643</v>
      </c>
      <c r="CA177" s="17">
        <f t="shared" si="159"/>
        <v>91355.254835145868</v>
      </c>
      <c r="CB177" s="17">
        <f t="shared" si="160"/>
        <v>6072.8294547297883</v>
      </c>
      <c r="CC177" s="17">
        <f>SUMIF('20.01'!$AO:$AO,$B:$B,'20.01'!$D:$D)*1.2</f>
        <v>0</v>
      </c>
      <c r="CD177" s="17">
        <f t="shared" si="161"/>
        <v>95337.254564253992</v>
      </c>
      <c r="CE177" s="17">
        <f>SUMIF('20.01'!$AQ:$AQ,$B:$B,'20.01'!$D:$D)*1.2</f>
        <v>0</v>
      </c>
      <c r="CF177" s="17">
        <f t="shared" si="162"/>
        <v>8674.1830771770674</v>
      </c>
      <c r="CG177" s="17">
        <f>SUMIF('20.01'!$AR:$AR,$B:$B,'20.01'!$D:$D)*1.2</f>
        <v>0</v>
      </c>
      <c r="CH177" s="17">
        <f t="shared" si="163"/>
        <v>5108.4644232289802</v>
      </c>
      <c r="CI177" s="17">
        <f>SUMIF('20.01'!$AT:$AT,$B:$B,'20.01'!$D:$D)*1.2</f>
        <v>0</v>
      </c>
      <c r="CJ177" s="17">
        <f>SUMIF('20.01'!$AU:$AU,$B:$B,'20.01'!$D:$D)*1.2</f>
        <v>0</v>
      </c>
      <c r="CK177" s="17">
        <f>SUMIF('20.01'!$AV:$AV,$B:$B,'20.01'!$D:$D)*1.2</f>
        <v>0</v>
      </c>
      <c r="CL177" s="17">
        <f t="shared" si="164"/>
        <v>5057.2157154768238</v>
      </c>
      <c r="CM177" s="17">
        <f>SUMIF('20.01'!$AW:$AW,$B:$B,'20.01'!$D:$D)*1.2</f>
        <v>0</v>
      </c>
      <c r="CN177" s="17">
        <f>SUMIF('20.01'!$AX:$AX,$B:$B,'20.01'!$D:$D)*1.2</f>
        <v>0</v>
      </c>
      <c r="CO177" s="110">
        <f t="shared" si="209"/>
        <v>1696500.7692758539</v>
      </c>
      <c r="CP177" s="17">
        <f t="shared" si="210"/>
        <v>1338270.0041277972</v>
      </c>
      <c r="CQ177" s="17">
        <f t="shared" si="165"/>
        <v>412874.71038808633</v>
      </c>
      <c r="CR177" s="17">
        <f t="shared" si="166"/>
        <v>925395.29373971093</v>
      </c>
      <c r="CS177" s="17">
        <f t="shared" si="211"/>
        <v>358230.76514805679</v>
      </c>
      <c r="CT177" s="17">
        <f t="shared" si="167"/>
        <v>13050.661023618452</v>
      </c>
      <c r="CU177" s="17">
        <f t="shared" si="168"/>
        <v>12623.036506488112</v>
      </c>
      <c r="CV177" s="17">
        <f t="shared" si="169"/>
        <v>13046.184119177888</v>
      </c>
      <c r="CW177" s="17">
        <f t="shared" si="170"/>
        <v>136.80360492137524</v>
      </c>
      <c r="CX177" s="17">
        <f t="shared" si="171"/>
        <v>192633.22949552827</v>
      </c>
      <c r="CY177" s="17">
        <f t="shared" si="172"/>
        <v>126740.85039832267</v>
      </c>
      <c r="CZ177" s="110">
        <f t="shared" si="212"/>
        <v>421115.90390189574</v>
      </c>
      <c r="DA177" s="17">
        <f t="shared" si="213"/>
        <v>15907.395921090145</v>
      </c>
      <c r="DB177" s="17">
        <f t="shared" si="173"/>
        <v>15095.535204224299</v>
      </c>
      <c r="DC177" s="17">
        <f t="shared" si="174"/>
        <v>811.86071686584467</v>
      </c>
      <c r="DD177" s="17">
        <f t="shared" si="175"/>
        <v>28030.656326301203</v>
      </c>
      <c r="DE177" s="17">
        <f t="shared" si="176"/>
        <v>9671.315032727447</v>
      </c>
      <c r="DF177" s="17">
        <f t="shared" si="177"/>
        <v>11737.488153723403</v>
      </c>
      <c r="DG177" s="17">
        <f t="shared" si="214"/>
        <v>355769.04846805352</v>
      </c>
      <c r="DH177" s="110">
        <f t="shared" si="215"/>
        <v>262809.22044159612</v>
      </c>
      <c r="DI177" s="17">
        <f t="shared" si="178"/>
        <v>235750.58606456089</v>
      </c>
      <c r="DJ177" s="17">
        <f t="shared" si="179"/>
        <v>26072.629536401673</v>
      </c>
      <c r="DK177" s="17">
        <f t="shared" si="180"/>
        <v>986.00484063356828</v>
      </c>
      <c r="DL177" s="110">
        <f t="shared" si="216"/>
        <v>1988714.1890431657</v>
      </c>
      <c r="DM177" s="17">
        <f t="shared" si="181"/>
        <v>828077.51922300237</v>
      </c>
      <c r="DN177" s="17">
        <f t="shared" si="182"/>
        <v>734332.89440530399</v>
      </c>
      <c r="DO177" s="17">
        <f t="shared" si="183"/>
        <v>426303.77541485941</v>
      </c>
      <c r="DP177" s="110">
        <f t="shared" si="217"/>
        <v>662147.65276786953</v>
      </c>
      <c r="DQ177" s="17">
        <f>SUMIF('20.01'!$BB:$BB,$B:$B,'20.01'!$D:$D)*1.2</f>
        <v>23231.64</v>
      </c>
      <c r="DR177" s="17">
        <f t="shared" si="184"/>
        <v>634214.52999864705</v>
      </c>
      <c r="DS177" s="17">
        <f t="shared" si="185"/>
        <v>4701.4827692224471</v>
      </c>
      <c r="DT177" s="110">
        <f t="shared" si="218"/>
        <v>0</v>
      </c>
      <c r="DU177" s="17">
        <f>SUMIF('20.01'!$BD:$BD,$B:$B,'20.01'!$D:$D)*1.2</f>
        <v>0</v>
      </c>
      <c r="DV177" s="17">
        <f t="shared" si="186"/>
        <v>0</v>
      </c>
      <c r="DW177" s="17">
        <f t="shared" si="187"/>
        <v>0</v>
      </c>
      <c r="DX177" s="110">
        <f t="shared" si="188"/>
        <v>6658409.4706134778</v>
      </c>
      <c r="DY177" s="110"/>
      <c r="DZ177" s="110">
        <f t="shared" si="219"/>
        <v>6658409.4706134778</v>
      </c>
      <c r="EA177" s="257"/>
      <c r="EB177" s="110">
        <f t="shared" si="189"/>
        <v>3546.2168674698792</v>
      </c>
      <c r="EC177" s="110">
        <f>SUMIF(еирц!$B:$B,$B:$B,еирц!$K:$K)</f>
        <v>6423898.0800000001</v>
      </c>
      <c r="ED177" s="110">
        <f>SUMIF(еирц!$B:$B,$B:$B,еирц!$P:$P)</f>
        <v>6389287.0299999993</v>
      </c>
      <c r="EE177" s="110">
        <f>SUMIF(еирц!$B:$B,$B:$B,еирц!$S:$S)</f>
        <v>545850.29</v>
      </c>
      <c r="EF177" s="177">
        <f t="shared" si="220"/>
        <v>-230965.17374600749</v>
      </c>
      <c r="EG177" s="181">
        <f t="shared" si="221"/>
        <v>0</v>
      </c>
      <c r="EH177" s="177">
        <f t="shared" si="222"/>
        <v>-230965.17374600749</v>
      </c>
    </row>
    <row r="178" spans="1:138" ht="12" customHeight="1" x14ac:dyDescent="0.25">
      <c r="A178" s="5">
        <f t="shared" si="223"/>
        <v>174</v>
      </c>
      <c r="B178" s="6" t="s">
        <v>258</v>
      </c>
      <c r="C178" s="7">
        <f t="shared" si="226"/>
        <v>3877.2</v>
      </c>
      <c r="D178" s="8">
        <v>3847.2</v>
      </c>
      <c r="E178" s="8">
        <v>30</v>
      </c>
      <c r="F178" s="8">
        <v>583.86</v>
      </c>
      <c r="G178" s="91">
        <f t="shared" si="156"/>
        <v>3877.2</v>
      </c>
      <c r="H178" s="87">
        <f t="shared" si="157"/>
        <v>0</v>
      </c>
      <c r="I178" s="91">
        <v>2</v>
      </c>
      <c r="J178" s="112">
        <v>6.0950883538477786E-3</v>
      </c>
      <c r="K178" s="17">
        <v>1</v>
      </c>
      <c r="L178" s="112">
        <f t="shared" si="190"/>
        <v>2.4096385542168672E-3</v>
      </c>
      <c r="M178" s="117">
        <f>3.40641795287756/2</f>
        <v>1.7032089764387801</v>
      </c>
      <c r="N178" s="120">
        <f t="shared" si="191"/>
        <v>3877.2</v>
      </c>
      <c r="O178" s="117">
        <f>3.08623205487059/2</f>
        <v>1.5431160274352951</v>
      </c>
      <c r="P178" s="120">
        <f t="shared" si="192"/>
        <v>3877.2</v>
      </c>
      <c r="Q178" s="117">
        <f>1.60092735807001/2</f>
        <v>0.80046367903500504</v>
      </c>
      <c r="R178" s="120">
        <f t="shared" si="193"/>
        <v>3877.2</v>
      </c>
      <c r="S178" s="5" t="s">
        <v>98</v>
      </c>
      <c r="T178" s="87">
        <v>41.1</v>
      </c>
      <c r="U178" s="88">
        <v>4.68</v>
      </c>
      <c r="V178" s="88">
        <v>7.92</v>
      </c>
      <c r="W178" s="88">
        <v>12.32</v>
      </c>
      <c r="X178" s="88">
        <v>6.34</v>
      </c>
      <c r="Y178" s="88">
        <v>2.89</v>
      </c>
      <c r="Z178" s="88">
        <v>1.66</v>
      </c>
      <c r="AA178" s="88">
        <v>5.29</v>
      </c>
      <c r="AB178" s="88">
        <v>0</v>
      </c>
      <c r="AC178" s="257"/>
      <c r="AD178" s="110">
        <f t="shared" si="194"/>
        <v>97488.320480372611</v>
      </c>
      <c r="AE178" s="110">
        <f t="shared" si="195"/>
        <v>85786.368244001918</v>
      </c>
      <c r="AF178" s="16">
        <f>SUMIF('20.01'!$I:$I,$B:$B,'20.01'!$D:$D)*1.2</f>
        <v>21189.072</v>
      </c>
      <c r="AG178" s="17">
        <f t="shared" si="228"/>
        <v>8237.1845514058241</v>
      </c>
      <c r="AH178" s="17">
        <f t="shared" si="196"/>
        <v>2960.6260303519075</v>
      </c>
      <c r="AI178" s="16">
        <f>SUMIF('20.01'!$J:$J,$B:$B,'20.01'!$D:$D)*1.2</f>
        <v>0</v>
      </c>
      <c r="AJ178" s="17">
        <f t="shared" si="197"/>
        <v>1203.1318575825271</v>
      </c>
      <c r="AK178" s="17">
        <f t="shared" si="198"/>
        <v>2926.9525280915077</v>
      </c>
      <c r="AL178" s="17">
        <f t="shared" si="199"/>
        <v>49269.401276570148</v>
      </c>
      <c r="AM178" s="110">
        <f t="shared" si="200"/>
        <v>0</v>
      </c>
      <c r="AN178" s="17">
        <f>SUMIF('20.01'!$K:$K,$B:$B,'20.01'!$D:$D)*1.2</f>
        <v>0</v>
      </c>
      <c r="AO178" s="17">
        <f>SUMIF('20.01'!$L:$L,$B:$B,'20.01'!$D:$D)*1.2</f>
        <v>0</v>
      </c>
      <c r="AP178" s="17">
        <f>SUMIF('20.01'!$M:$M,$B:$B,'20.01'!$D:$D)*1.2</f>
        <v>0</v>
      </c>
      <c r="AQ178" s="110">
        <f t="shared" si="201"/>
        <v>1089.152236370692</v>
      </c>
      <c r="AR178" s="17">
        <f t="shared" si="202"/>
        <v>1089.152236370692</v>
      </c>
      <c r="AS178" s="17">
        <f>(SUMIF('20.01'!$N:$N,$B:$B,'20.01'!$D:$D)+SUMIF('20.01'!$O:$O,$B:$B,'20.01'!$D:$D))*1.2</f>
        <v>0</v>
      </c>
      <c r="AT178" s="110">
        <f>SUMIF('20.01'!$P:$P,$B:$B,'20.01'!$D:$D)*1.2</f>
        <v>0</v>
      </c>
      <c r="AU178" s="110">
        <f t="shared" si="203"/>
        <v>0</v>
      </c>
      <c r="AV178" s="17">
        <f>SUMIF('20.01'!$Q:$Q,$B:$B,'20.01'!$D:$D)*1.2</f>
        <v>0</v>
      </c>
      <c r="AW178" s="17">
        <f>SUMIF('20.01'!$R:$R,$B:$B,'20.01'!$D:$D)*1.2</f>
        <v>0</v>
      </c>
      <c r="AX178" s="110">
        <f t="shared" si="204"/>
        <v>10612.8</v>
      </c>
      <c r="AY178" s="17">
        <f>SUMIF('20.01'!$S:$S,$B:$B,'20.01'!$D:$D)*1.2</f>
        <v>10612.8</v>
      </c>
      <c r="AZ178" s="17">
        <f>SUMIF('20.01'!$T:$T,$B:$B,'20.01'!$D:$D)*1.2</f>
        <v>0</v>
      </c>
      <c r="BA178" s="110">
        <f t="shared" si="205"/>
        <v>0</v>
      </c>
      <c r="BB178" s="17">
        <f>SUMIF('20.01'!$U:$U,$B:$B,'20.01'!$D:$D)*1.2</f>
        <v>0</v>
      </c>
      <c r="BC178" s="17">
        <f>SUMIF('20.01'!$V:$V,$B:$B,'20.01'!$D:$D)*1.2</f>
        <v>0</v>
      </c>
      <c r="BD178" s="17">
        <f>SUMIF('20.01'!$W:$W,$B:$B,'20.01'!$D:$D)*1.2</f>
        <v>0</v>
      </c>
      <c r="BE178" s="110">
        <f>SUMIF('20.01'!$X:$X,$B:$B,'20.01'!$D:$D)*1.2</f>
        <v>0</v>
      </c>
      <c r="BF178" s="110">
        <f t="shared" si="206"/>
        <v>0</v>
      </c>
      <c r="BG178" s="17">
        <f>SUMIF('20.01'!$Y:$Y,$B:$B,'20.01'!$D:$D)*1.2</f>
        <v>0</v>
      </c>
      <c r="BH178" s="17">
        <f>SUMIF('20.01'!$Z:$Z,$B:$B,'20.01'!$D:$D)*1.2</f>
        <v>0</v>
      </c>
      <c r="BI178" s="17">
        <f>SUMIF('20.01'!$AA:$AA,$B:$B,'20.01'!$D:$D)*1.2</f>
        <v>0</v>
      </c>
      <c r="BJ178" s="17">
        <f>SUMIF('20.01'!$AB:$AB,$B:$B,'20.01'!$D:$D)*1.2</f>
        <v>0</v>
      </c>
      <c r="BK178" s="17">
        <f>SUMIF('20.01'!$AC:$AC,$B:$B,'20.01'!$D:$D)*1.2</f>
        <v>0</v>
      </c>
      <c r="BL178" s="17">
        <f>SUMIF('20.01'!$AD:$AD,$B:$B,'20.01'!$D:$D)*1.2</f>
        <v>0</v>
      </c>
      <c r="BM178" s="110">
        <f t="shared" si="207"/>
        <v>0</v>
      </c>
      <c r="BN178" s="17">
        <f>SUMIF('20.01'!$AE:$AE,$B:$B,'20.01'!$D:$D)*1.2</f>
        <v>0</v>
      </c>
      <c r="BO178" s="17">
        <f>SUMIF('20.01'!$AF:$AF,$B:$B,'20.01'!$D:$D)*1.2</f>
        <v>0</v>
      </c>
      <c r="BP178" s="110">
        <f>SUMIF('20.01'!$AG:$AG,$B:$B,'20.01'!$D:$D)*1.2</f>
        <v>0</v>
      </c>
      <c r="BQ178" s="110">
        <f>SUMIF('20.01'!$AH:$AH,$B:$B,'20.01'!$D:$D)*1.2</f>
        <v>0</v>
      </c>
      <c r="BR178" s="110">
        <f>SUMIF('20.01'!$AI:$AI,$B:$B,'20.01'!$D:$D)*1.2</f>
        <v>0</v>
      </c>
      <c r="BS178" s="110">
        <f t="shared" si="208"/>
        <v>0</v>
      </c>
      <c r="BT178" s="17">
        <f>SUMIF('20.01'!$AJ:$AJ,$B:$B,'20.01'!$D:$D)*1.2</f>
        <v>0</v>
      </c>
      <c r="BU178" s="17">
        <f>SUMIF('20.01'!$AK:$AK,$B:$B,'20.01'!$D:$D)*1.2</f>
        <v>0</v>
      </c>
      <c r="BV178" s="110">
        <f>SUMIF('20.01'!$AL:$AL,$B:$B,'20.01'!$D:$D)*1.2</f>
        <v>0</v>
      </c>
      <c r="BW178" s="110">
        <f>SUMIF('20.01'!$AM:$AM,$B:$B,'20.01'!$D:$D)*1.2</f>
        <v>0</v>
      </c>
      <c r="BX178" s="110">
        <f>SUMIF('20.01'!$AN:$AN,$B:$B,'20.01'!$D:$D)*1.2</f>
        <v>0</v>
      </c>
      <c r="BY178" s="110">
        <f t="shared" si="158"/>
        <v>252634.96642313962</v>
      </c>
      <c r="BZ178" s="17">
        <f>IF(S178=$S$248,$BZ$248,0)/$G$248*G178</f>
        <v>196934.03769836301</v>
      </c>
      <c r="CA178" s="17">
        <f t="shared" si="159"/>
        <v>24047.483182963722</v>
      </c>
      <c r="CB178" s="17">
        <f t="shared" si="160"/>
        <v>1598.5535199825065</v>
      </c>
      <c r="CC178" s="17">
        <f>SUMIF('20.01'!$AO:$AO,$B:$B,'20.01'!$D:$D)*1.2</f>
        <v>0</v>
      </c>
      <c r="CD178" s="17">
        <f t="shared" si="161"/>
        <v>25095.66669132447</v>
      </c>
      <c r="CE178" s="17">
        <f>SUMIF('20.01'!$AQ:$AQ,$B:$B,'20.01'!$D:$D)*1.2</f>
        <v>0</v>
      </c>
      <c r="CF178" s="17">
        <f t="shared" si="162"/>
        <v>2283.3089574406745</v>
      </c>
      <c r="CG178" s="17">
        <f>SUMIF('20.01'!$AR:$AR,$B:$B,'20.01'!$D:$D)*1.2</f>
        <v>0</v>
      </c>
      <c r="CH178" s="17">
        <f t="shared" si="163"/>
        <v>1344.7032962695716</v>
      </c>
      <c r="CI178" s="17">
        <f>SUMIF('20.01'!$AT:$AT,$B:$B,'20.01'!$D:$D)*1.2</f>
        <v>0</v>
      </c>
      <c r="CJ178" s="17">
        <f>SUMIF('20.01'!$AU:$AU,$B:$B,'20.01'!$D:$D)*1.2</f>
        <v>0</v>
      </c>
      <c r="CK178" s="17">
        <f>SUMIF('20.01'!$AV:$AV,$B:$B,'20.01'!$D:$D)*1.2</f>
        <v>0</v>
      </c>
      <c r="CL178" s="17">
        <f t="shared" si="164"/>
        <v>1331.2130767956887</v>
      </c>
      <c r="CM178" s="17">
        <f>SUMIF('20.01'!$AW:$AW,$B:$B,'20.01'!$D:$D)*1.2</f>
        <v>0</v>
      </c>
      <c r="CN178" s="17">
        <f>SUMIF('20.01'!$AX:$AX,$B:$B,'20.01'!$D:$D)*1.2</f>
        <v>0</v>
      </c>
      <c r="CO178" s="110">
        <f t="shared" si="209"/>
        <v>446570.63014782371</v>
      </c>
      <c r="CP178" s="17">
        <f t="shared" si="210"/>
        <v>352273.39113225305</v>
      </c>
      <c r="CQ178" s="17">
        <f t="shared" si="165"/>
        <v>108681.18831965457</v>
      </c>
      <c r="CR178" s="17">
        <f t="shared" si="166"/>
        <v>243592.20281259849</v>
      </c>
      <c r="CS178" s="17">
        <f t="shared" si="211"/>
        <v>94297.239015570696</v>
      </c>
      <c r="CT178" s="17">
        <f t="shared" si="167"/>
        <v>3435.3311373095435</v>
      </c>
      <c r="CU178" s="17">
        <f t="shared" si="168"/>
        <v>3322.7673509912693</v>
      </c>
      <c r="CV178" s="17">
        <f t="shared" si="169"/>
        <v>3434.1526798202563</v>
      </c>
      <c r="CW178" s="17">
        <f t="shared" si="170"/>
        <v>36.010872003500232</v>
      </c>
      <c r="CX178" s="17">
        <f t="shared" si="171"/>
        <v>50706.928190753271</v>
      </c>
      <c r="CY178" s="17">
        <f t="shared" si="172"/>
        <v>33362.048784692866</v>
      </c>
      <c r="CZ178" s="110">
        <f t="shared" si="212"/>
        <v>110850.52124733897</v>
      </c>
      <c r="DA178" s="17">
        <f t="shared" si="213"/>
        <v>4187.3106980814227</v>
      </c>
      <c r="DB178" s="17">
        <f t="shared" si="173"/>
        <v>3973.6042509704093</v>
      </c>
      <c r="DC178" s="17">
        <f t="shared" si="174"/>
        <v>213.7064471110136</v>
      </c>
      <c r="DD178" s="17">
        <f t="shared" si="175"/>
        <v>7378.5217701000729</v>
      </c>
      <c r="DE178" s="17">
        <f t="shared" si="176"/>
        <v>2545.7844327219113</v>
      </c>
      <c r="DF178" s="17">
        <f t="shared" si="177"/>
        <v>3089.6640756598326</v>
      </c>
      <c r="DG178" s="17">
        <f t="shared" si="214"/>
        <v>93649.240270775728</v>
      </c>
      <c r="DH178" s="110">
        <f t="shared" si="215"/>
        <v>69179.384593711613</v>
      </c>
      <c r="DI178" s="17">
        <f t="shared" si="178"/>
        <v>62056.72858109451</v>
      </c>
      <c r="DJ178" s="17">
        <f t="shared" si="179"/>
        <v>6863.1095326007726</v>
      </c>
      <c r="DK178" s="17">
        <f t="shared" si="180"/>
        <v>259.54648001632597</v>
      </c>
      <c r="DL178" s="110">
        <f t="shared" si="216"/>
        <v>523490.09482855001</v>
      </c>
      <c r="DM178" s="17">
        <f t="shared" si="181"/>
        <v>217975.20299888143</v>
      </c>
      <c r="DN178" s="17">
        <f t="shared" si="182"/>
        <v>193298.76492353636</v>
      </c>
      <c r="DO178" s="17">
        <f t="shared" si="183"/>
        <v>112216.12690613218</v>
      </c>
      <c r="DP178" s="110">
        <f t="shared" si="217"/>
        <v>174346.8671091233</v>
      </c>
      <c r="DQ178" s="17">
        <f>SUMIF('20.01'!$BB:$BB,$B:$B,'20.01'!$D:$D)*1.2</f>
        <v>6012.5999999999995</v>
      </c>
      <c r="DR178" s="17">
        <f t="shared" si="184"/>
        <v>167095.57432248504</v>
      </c>
      <c r="DS178" s="17">
        <f t="shared" si="185"/>
        <v>1238.6927866382503</v>
      </c>
      <c r="DT178" s="110">
        <f t="shared" si="218"/>
        <v>0</v>
      </c>
      <c r="DU178" s="17">
        <f>SUMIF('20.01'!$BD:$BD,$B:$B,'20.01'!$D:$D)*1.2</f>
        <v>0</v>
      </c>
      <c r="DV178" s="17">
        <f t="shared" si="186"/>
        <v>0</v>
      </c>
      <c r="DW178" s="17">
        <f t="shared" si="187"/>
        <v>0</v>
      </c>
      <c r="DX178" s="110">
        <f t="shared" si="188"/>
        <v>1674560.7848300599</v>
      </c>
      <c r="DY178" s="110">
        <f>EC178*EG178</f>
        <v>241925.78824735657</v>
      </c>
      <c r="DZ178" s="110">
        <f t="shared" si="219"/>
        <v>1916486.5730774165</v>
      </c>
      <c r="EA178" s="257"/>
      <c r="EB178" s="110">
        <f t="shared" si="189"/>
        <v>886.55421686746979</v>
      </c>
      <c r="EC178" s="110">
        <f>SUMIF(еирц!$B:$B,$B:$B,еирц!$K:$K)</f>
        <v>1860967.6019027429</v>
      </c>
      <c r="ED178" s="110">
        <f>SUMIF(еирц!$B:$B,$B:$B,еирц!$P:$P)</f>
        <v>1787619.0594989788</v>
      </c>
      <c r="EE178" s="110">
        <f>SUMIF(еирц!$B:$B,$B:$B,еирц!$S:$S)</f>
        <v>407550.10494454642</v>
      </c>
      <c r="EF178" s="177">
        <f t="shared" si="220"/>
        <v>187293.37128955056</v>
      </c>
      <c r="EG178" s="183">
        <v>0.13</v>
      </c>
      <c r="EH178" s="177">
        <f t="shared" si="222"/>
        <v>-54632.416957806097</v>
      </c>
    </row>
    <row r="179" spans="1:138" ht="12" customHeight="1" x14ac:dyDescent="0.25">
      <c r="A179" s="5">
        <f t="shared" si="223"/>
        <v>175</v>
      </c>
      <c r="B179" s="6" t="s">
        <v>259</v>
      </c>
      <c r="C179" s="7">
        <f t="shared" si="226"/>
        <v>3889</v>
      </c>
      <c r="D179" s="8">
        <v>3889</v>
      </c>
      <c r="E179" s="8">
        <v>0</v>
      </c>
      <c r="F179" s="8">
        <v>585.64</v>
      </c>
      <c r="G179" s="91">
        <f t="shared" si="156"/>
        <v>3889</v>
      </c>
      <c r="H179" s="87">
        <f t="shared" si="157"/>
        <v>0</v>
      </c>
      <c r="I179" s="91">
        <v>2</v>
      </c>
      <c r="J179" s="112">
        <v>6.0951972783396882E-3</v>
      </c>
      <c r="K179" s="17">
        <v>1</v>
      </c>
      <c r="L179" s="112">
        <f t="shared" si="190"/>
        <v>2.4096385542168672E-3</v>
      </c>
      <c r="M179" s="117">
        <f>M178</f>
        <v>1.7032089764387801</v>
      </c>
      <c r="N179" s="120">
        <f t="shared" si="191"/>
        <v>3889</v>
      </c>
      <c r="O179" s="117">
        <f>O178</f>
        <v>1.5431160274352951</v>
      </c>
      <c r="P179" s="120">
        <f t="shared" si="192"/>
        <v>3889</v>
      </c>
      <c r="Q179" s="117">
        <f>Q178</f>
        <v>0.80046367903500504</v>
      </c>
      <c r="R179" s="120">
        <f t="shared" si="193"/>
        <v>3889</v>
      </c>
      <c r="S179" s="5" t="s">
        <v>98</v>
      </c>
      <c r="T179" s="87">
        <v>41.1</v>
      </c>
      <c r="U179" s="88">
        <v>4.68</v>
      </c>
      <c r="V179" s="88">
        <v>7.92</v>
      </c>
      <c r="W179" s="88">
        <v>12.32</v>
      </c>
      <c r="X179" s="88">
        <v>6.34</v>
      </c>
      <c r="Y179" s="88">
        <v>2.89</v>
      </c>
      <c r="Z179" s="88">
        <v>1.66</v>
      </c>
      <c r="AA179" s="88">
        <v>5.29</v>
      </c>
      <c r="AB179" s="88">
        <v>0</v>
      </c>
      <c r="AC179" s="257"/>
      <c r="AD179" s="110">
        <f t="shared" si="194"/>
        <v>107583.90081196974</v>
      </c>
      <c r="AE179" s="110">
        <f t="shared" si="195"/>
        <v>97017.43381329914</v>
      </c>
      <c r="AF179" s="16">
        <f>SUMIF('20.01'!$I:$I,$B:$B,'20.01'!$D:$D)*1.2</f>
        <v>32223.54</v>
      </c>
      <c r="AG179" s="17">
        <f t="shared" si="228"/>
        <v>8262.2538740372565</v>
      </c>
      <c r="AH179" s="17">
        <f t="shared" si="196"/>
        <v>2969.6364985140231</v>
      </c>
      <c r="AI179" s="16">
        <f>SUMIF('20.01'!$J:$J,$B:$B,'20.01'!$D:$D)*1.2</f>
        <v>0</v>
      </c>
      <c r="AJ179" s="17">
        <f t="shared" si="197"/>
        <v>1206.793509269176</v>
      </c>
      <c r="AK179" s="17">
        <f t="shared" si="198"/>
        <v>2935.8605131919621</v>
      </c>
      <c r="AL179" s="17">
        <f t="shared" si="199"/>
        <v>49419.349418286729</v>
      </c>
      <c r="AM179" s="110">
        <f t="shared" si="200"/>
        <v>0</v>
      </c>
      <c r="AN179" s="17">
        <f>SUMIF('20.01'!$K:$K,$B:$B,'20.01'!$D:$D)*1.2</f>
        <v>0</v>
      </c>
      <c r="AO179" s="17">
        <f>SUMIF('20.01'!$L:$L,$B:$B,'20.01'!$D:$D)*1.2</f>
        <v>0</v>
      </c>
      <c r="AP179" s="17">
        <f>SUMIF('20.01'!$M:$M,$B:$B,'20.01'!$D:$D)*1.2</f>
        <v>0</v>
      </c>
      <c r="AQ179" s="110">
        <f t="shared" si="201"/>
        <v>1092.4669986705924</v>
      </c>
      <c r="AR179" s="17">
        <f t="shared" si="202"/>
        <v>1092.4669986705924</v>
      </c>
      <c r="AS179" s="17">
        <f>(SUMIF('20.01'!$N:$N,$B:$B,'20.01'!$D:$D)+SUMIF('20.01'!$O:$O,$B:$B,'20.01'!$D:$D))*1.2</f>
        <v>0</v>
      </c>
      <c r="AT179" s="110">
        <f>SUMIF('20.01'!$P:$P,$B:$B,'20.01'!$D:$D)*1.2</f>
        <v>0</v>
      </c>
      <c r="AU179" s="110">
        <f t="shared" si="203"/>
        <v>0</v>
      </c>
      <c r="AV179" s="17">
        <f>SUMIF('20.01'!$Q:$Q,$B:$B,'20.01'!$D:$D)*1.2</f>
        <v>0</v>
      </c>
      <c r="AW179" s="17">
        <f>SUMIF('20.01'!$R:$R,$B:$B,'20.01'!$D:$D)*1.2</f>
        <v>0</v>
      </c>
      <c r="AX179" s="110">
        <f t="shared" si="204"/>
        <v>9474</v>
      </c>
      <c r="AY179" s="17">
        <f>SUMIF('20.01'!$S:$S,$B:$B,'20.01'!$D:$D)*1.2</f>
        <v>9474</v>
      </c>
      <c r="AZ179" s="17">
        <f>SUMIF('20.01'!$T:$T,$B:$B,'20.01'!$D:$D)*1.2</f>
        <v>0</v>
      </c>
      <c r="BA179" s="110">
        <f t="shared" si="205"/>
        <v>0</v>
      </c>
      <c r="BB179" s="17">
        <f>SUMIF('20.01'!$U:$U,$B:$B,'20.01'!$D:$D)*1.2</f>
        <v>0</v>
      </c>
      <c r="BC179" s="17">
        <f>SUMIF('20.01'!$V:$V,$B:$B,'20.01'!$D:$D)*1.2</f>
        <v>0</v>
      </c>
      <c r="BD179" s="17">
        <f>SUMIF('20.01'!$W:$W,$B:$B,'20.01'!$D:$D)*1.2</f>
        <v>0</v>
      </c>
      <c r="BE179" s="110">
        <f>SUMIF('20.01'!$X:$X,$B:$B,'20.01'!$D:$D)*1.2</f>
        <v>0</v>
      </c>
      <c r="BF179" s="110">
        <f t="shared" si="206"/>
        <v>0</v>
      </c>
      <c r="BG179" s="17">
        <f>SUMIF('20.01'!$Y:$Y,$B:$B,'20.01'!$D:$D)*1.2</f>
        <v>0</v>
      </c>
      <c r="BH179" s="17">
        <f>SUMIF('20.01'!$Z:$Z,$B:$B,'20.01'!$D:$D)*1.2</f>
        <v>0</v>
      </c>
      <c r="BI179" s="17">
        <f>SUMIF('20.01'!$AA:$AA,$B:$B,'20.01'!$D:$D)*1.2</f>
        <v>0</v>
      </c>
      <c r="BJ179" s="17">
        <f>SUMIF('20.01'!$AB:$AB,$B:$B,'20.01'!$D:$D)*1.2</f>
        <v>0</v>
      </c>
      <c r="BK179" s="17">
        <f>SUMIF('20.01'!$AC:$AC,$B:$B,'20.01'!$D:$D)*1.2</f>
        <v>0</v>
      </c>
      <c r="BL179" s="17">
        <f>SUMIF('20.01'!$AD:$AD,$B:$B,'20.01'!$D:$D)*1.2</f>
        <v>0</v>
      </c>
      <c r="BM179" s="110">
        <f t="shared" si="207"/>
        <v>0</v>
      </c>
      <c r="BN179" s="17">
        <f>SUMIF('20.01'!$AE:$AE,$B:$B,'20.01'!$D:$D)*1.2</f>
        <v>0</v>
      </c>
      <c r="BO179" s="17">
        <f>SUMIF('20.01'!$AF:$AF,$B:$B,'20.01'!$D:$D)*1.2</f>
        <v>0</v>
      </c>
      <c r="BP179" s="110">
        <f>SUMIF('20.01'!$AG:$AG,$B:$B,'20.01'!$D:$D)*1.2</f>
        <v>0</v>
      </c>
      <c r="BQ179" s="110">
        <f>SUMIF('20.01'!$AH:$AH,$B:$B,'20.01'!$D:$D)*1.2</f>
        <v>0</v>
      </c>
      <c r="BR179" s="110">
        <f>SUMIF('20.01'!$AI:$AI,$B:$B,'20.01'!$D:$D)*1.2</f>
        <v>0</v>
      </c>
      <c r="BS179" s="110">
        <f t="shared" si="208"/>
        <v>0</v>
      </c>
      <c r="BT179" s="17">
        <f>SUMIF('20.01'!$AJ:$AJ,$B:$B,'20.01'!$D:$D)*1.2</f>
        <v>0</v>
      </c>
      <c r="BU179" s="17">
        <f>SUMIF('20.01'!$AK:$AK,$B:$B,'20.01'!$D:$D)*1.2</f>
        <v>0</v>
      </c>
      <c r="BV179" s="110">
        <f>SUMIF('20.01'!$AL:$AL,$B:$B,'20.01'!$D:$D)*1.2</f>
        <v>0</v>
      </c>
      <c r="BW179" s="110">
        <f>SUMIF('20.01'!$AM:$AM,$B:$B,'20.01'!$D:$D)*1.2</f>
        <v>0</v>
      </c>
      <c r="BX179" s="110">
        <f>SUMIF('20.01'!$AN:$AN,$B:$B,'20.01'!$D:$D)*1.2</f>
        <v>0</v>
      </c>
      <c r="BY179" s="110">
        <f t="shared" si="158"/>
        <v>263603.84411936195</v>
      </c>
      <c r="BZ179" s="17">
        <f>IF(S179=$S$248,$BZ$248,0)/$G$248*G179</f>
        <v>197533.39332738414</v>
      </c>
      <c r="CA179" s="17">
        <f t="shared" si="159"/>
        <v>24120.670096602167</v>
      </c>
      <c r="CB179" s="17">
        <f t="shared" si="160"/>
        <v>1603.4186111657814</v>
      </c>
      <c r="CC179" s="17">
        <f>SUMIF('20.01'!$AO:$AO,$B:$B,'20.01'!$D:$D)*1.2</f>
        <v>0</v>
      </c>
      <c r="CD179" s="17">
        <f t="shared" si="161"/>
        <v>25172.043681667408</v>
      </c>
      <c r="CE179" s="17">
        <f>SUMIF('20.01'!$AQ:$AQ,$B:$B,'20.01'!$D:$D)*1.2</f>
        <v>0</v>
      </c>
      <c r="CF179" s="17">
        <f t="shared" si="162"/>
        <v>2290.2580561969417</v>
      </c>
      <c r="CG179" s="17">
        <f>SUMIF('20.01'!$AR:$AR,$B:$B,'20.01'!$D:$D)*1.2</f>
        <v>0</v>
      </c>
      <c r="CH179" s="17">
        <f t="shared" si="163"/>
        <v>1348.7958112019921</v>
      </c>
      <c r="CI179" s="17">
        <f>SUMIF('20.01'!$AT:$AT,$B:$B,'20.01'!$D:$D)*1.2</f>
        <v>0</v>
      </c>
      <c r="CJ179" s="17">
        <f>SUMIF('20.01'!$AU:$AU,$B:$B,'20.01'!$D:$D)*1.2</f>
        <v>0</v>
      </c>
      <c r="CK179" s="17">
        <f>SUMIF('20.01'!$AV:$AV,$B:$B,'20.01'!$D:$D)*1.2</f>
        <v>10200</v>
      </c>
      <c r="CL179" s="17">
        <f t="shared" si="164"/>
        <v>1335.2645351435144</v>
      </c>
      <c r="CM179" s="17">
        <f>SUMIF('20.01'!$AW:$AW,$B:$B,'20.01'!$D:$D)*1.2</f>
        <v>0</v>
      </c>
      <c r="CN179" s="17">
        <f>SUMIF('20.01'!$AX:$AX,$B:$B,'20.01'!$D:$D)*1.2</f>
        <v>0</v>
      </c>
      <c r="CO179" s="110">
        <f t="shared" si="209"/>
        <v>447929.73812155338</v>
      </c>
      <c r="CP179" s="17">
        <f t="shared" si="210"/>
        <v>353345.5117387115</v>
      </c>
      <c r="CQ179" s="17">
        <f t="shared" si="165"/>
        <v>109011.95227874152</v>
      </c>
      <c r="CR179" s="17">
        <f t="shared" si="166"/>
        <v>244333.55945996998</v>
      </c>
      <c r="CS179" s="17">
        <f t="shared" si="211"/>
        <v>94584.22638284188</v>
      </c>
      <c r="CT179" s="17">
        <f t="shared" si="167"/>
        <v>3445.7863388519586</v>
      </c>
      <c r="CU179" s="17">
        <f t="shared" si="168"/>
        <v>3332.8799721461487</v>
      </c>
      <c r="CV179" s="17">
        <f t="shared" si="169"/>
        <v>3444.6042948057816</v>
      </c>
      <c r="CW179" s="17">
        <f t="shared" si="170"/>
        <v>36.120468694318689</v>
      </c>
      <c r="CX179" s="17">
        <f t="shared" si="171"/>
        <v>50861.251349901861</v>
      </c>
      <c r="CY179" s="17">
        <f t="shared" si="172"/>
        <v>33463.583958441806</v>
      </c>
      <c r="CZ179" s="110">
        <f t="shared" si="212"/>
        <v>111187.88742672581</v>
      </c>
      <c r="DA179" s="17">
        <f t="shared" si="213"/>
        <v>4200.0544993393823</v>
      </c>
      <c r="DB179" s="17">
        <f t="shared" si="173"/>
        <v>3985.6976508882499</v>
      </c>
      <c r="DC179" s="17">
        <f t="shared" si="174"/>
        <v>214.35684845113275</v>
      </c>
      <c r="DD179" s="17">
        <f t="shared" si="175"/>
        <v>7400.9778097387771</v>
      </c>
      <c r="DE179" s="17">
        <f t="shared" si="176"/>
        <v>2553.5323581077878</v>
      </c>
      <c r="DF179" s="17">
        <f t="shared" si="177"/>
        <v>3099.0672625196248</v>
      </c>
      <c r="DG179" s="17">
        <f t="shared" si="214"/>
        <v>93934.255497020233</v>
      </c>
      <c r="DH179" s="110">
        <f t="shared" si="215"/>
        <v>69389.92744375953</v>
      </c>
      <c r="DI179" s="17">
        <f t="shared" si="178"/>
        <v>62245.59410189739</v>
      </c>
      <c r="DJ179" s="17">
        <f t="shared" si="179"/>
        <v>6883.9969494182415</v>
      </c>
      <c r="DK179" s="17">
        <f t="shared" si="180"/>
        <v>260.33639244390071</v>
      </c>
      <c r="DL179" s="110">
        <f t="shared" si="216"/>
        <v>525083.30207062594</v>
      </c>
      <c r="DM179" s="17">
        <f t="shared" si="181"/>
        <v>218638.59601326988</v>
      </c>
      <c r="DN179" s="17">
        <f t="shared" si="182"/>
        <v>193887.05684195631</v>
      </c>
      <c r="DO179" s="17">
        <f t="shared" si="183"/>
        <v>112557.6492153998</v>
      </c>
      <c r="DP179" s="110">
        <f t="shared" si="217"/>
        <v>174349.87538783089</v>
      </c>
      <c r="DQ179" s="17">
        <f>SUMIF('20.01'!$BB:$BB,$B:$B,'20.01'!$D:$D)*1.2</f>
        <v>6012.5999999999995</v>
      </c>
      <c r="DR179" s="17">
        <f t="shared" si="184"/>
        <v>167098.56046468293</v>
      </c>
      <c r="DS179" s="17">
        <f t="shared" si="185"/>
        <v>1238.7149231479418</v>
      </c>
      <c r="DT179" s="110">
        <f t="shared" si="218"/>
        <v>0</v>
      </c>
      <c r="DU179" s="17">
        <f>SUMIF('20.01'!$BD:$BD,$B:$B,'20.01'!$D:$D)*1.2</f>
        <v>0</v>
      </c>
      <c r="DV179" s="17">
        <f t="shared" si="186"/>
        <v>0</v>
      </c>
      <c r="DW179" s="17">
        <f t="shared" si="187"/>
        <v>0</v>
      </c>
      <c r="DX179" s="110">
        <f t="shared" si="188"/>
        <v>1699128.4753818272</v>
      </c>
      <c r="DY179" s="110">
        <f>EC179*EG179</f>
        <v>244554.32275264343</v>
      </c>
      <c r="DZ179" s="110">
        <f t="shared" si="219"/>
        <v>1943682.7981344706</v>
      </c>
      <c r="EA179" s="257"/>
      <c r="EB179" s="110">
        <f t="shared" si="189"/>
        <v>886.55421686746979</v>
      </c>
      <c r="EC179" s="110">
        <f>SUMIF(еирц!$B:$B,$B:$B,еирц!$K:$K)</f>
        <v>1881187.0980972571</v>
      </c>
      <c r="ED179" s="110">
        <f>SUMIF(еирц!$B:$B,$B:$B,еирц!$P:$P)</f>
        <v>1807041.6205010214</v>
      </c>
      <c r="EE179" s="110">
        <f>SUMIF(еирц!$B:$B,$B:$B,еирц!$S:$S)</f>
        <v>411978.15505545359</v>
      </c>
      <c r="EF179" s="177">
        <f t="shared" si="220"/>
        <v>182945.17693229741</v>
      </c>
      <c r="EG179" s="183">
        <v>0.13</v>
      </c>
      <c r="EH179" s="177">
        <f t="shared" si="222"/>
        <v>-61609.145820345962</v>
      </c>
    </row>
    <row r="180" spans="1:138" ht="12" customHeight="1" x14ac:dyDescent="0.25">
      <c r="A180" s="5">
        <f t="shared" si="223"/>
        <v>176</v>
      </c>
      <c r="B180" s="6" t="s">
        <v>260</v>
      </c>
      <c r="C180" s="7">
        <f t="shared" si="226"/>
        <v>7751.1</v>
      </c>
      <c r="D180" s="8">
        <v>7751.1</v>
      </c>
      <c r="E180" s="8">
        <v>0</v>
      </c>
      <c r="F180" s="8">
        <v>1535.3</v>
      </c>
      <c r="G180" s="91">
        <f t="shared" si="156"/>
        <v>7751.1</v>
      </c>
      <c r="H180" s="87">
        <f t="shared" si="157"/>
        <v>0</v>
      </c>
      <c r="I180" s="91">
        <v>4</v>
      </c>
      <c r="J180" s="112">
        <v>1.2171414113754215E-2</v>
      </c>
      <c r="K180" s="17">
        <v>2</v>
      </c>
      <c r="L180" s="112">
        <f t="shared" si="190"/>
        <v>4.8192771084337345E-3</v>
      </c>
      <c r="M180" s="116">
        <v>3.40641715685011</v>
      </c>
      <c r="N180" s="120">
        <f t="shared" si="191"/>
        <v>7751.1</v>
      </c>
      <c r="O180" s="116">
        <v>3.0862323185977578</v>
      </c>
      <c r="P180" s="120">
        <f t="shared" si="192"/>
        <v>7751.1</v>
      </c>
      <c r="Q180" s="116">
        <v>1.6009270163680887</v>
      </c>
      <c r="R180" s="120">
        <f t="shared" si="193"/>
        <v>7751.1</v>
      </c>
      <c r="S180" s="5" t="s">
        <v>98</v>
      </c>
      <c r="T180" s="87">
        <v>41.1</v>
      </c>
      <c r="U180" s="88">
        <v>4.68</v>
      </c>
      <c r="V180" s="88">
        <v>7.92</v>
      </c>
      <c r="W180" s="88">
        <v>12.32</v>
      </c>
      <c r="X180" s="88">
        <v>6.34</v>
      </c>
      <c r="Y180" s="88">
        <v>2.89</v>
      </c>
      <c r="Z180" s="88">
        <v>1.66</v>
      </c>
      <c r="AA180" s="88">
        <v>5.29</v>
      </c>
      <c r="AB180" s="88">
        <v>0</v>
      </c>
      <c r="AC180" s="257"/>
      <c r="AD180" s="110">
        <f t="shared" si="194"/>
        <v>176669.80127479008</v>
      </c>
      <c r="AE180" s="110">
        <f t="shared" si="195"/>
        <v>174492.42381184443</v>
      </c>
      <c r="AF180" s="16">
        <f>SUMIF('20.01'!$I:$I,$B:$B,'20.01'!$D:$D)*1.2</f>
        <v>45352.811999999991</v>
      </c>
      <c r="AG180" s="17">
        <f t="shared" si="228"/>
        <v>16467.35819055032</v>
      </c>
      <c r="AH180" s="17">
        <f t="shared" si="196"/>
        <v>5918.7321840144104</v>
      </c>
      <c r="AI180" s="16">
        <f>SUMIF('20.01'!$J:$J,$B:$B,'20.01'!$D:$D)*1.2</f>
        <v>0</v>
      </c>
      <c r="AJ180" s="17">
        <f t="shared" si="197"/>
        <v>2405.2396939306532</v>
      </c>
      <c r="AK180" s="17">
        <f t="shared" si="198"/>
        <v>5851.4138400108559</v>
      </c>
      <c r="AL180" s="17">
        <f t="shared" si="199"/>
        <v>98496.867903338207</v>
      </c>
      <c r="AM180" s="110">
        <f t="shared" si="200"/>
        <v>0</v>
      </c>
      <c r="AN180" s="17">
        <f>SUMIF('20.01'!$K:$K,$B:$B,'20.01'!$D:$D)*1.2</f>
        <v>0</v>
      </c>
      <c r="AO180" s="17">
        <f>SUMIF('20.01'!$L:$L,$B:$B,'20.01'!$D:$D)*1.2</f>
        <v>0</v>
      </c>
      <c r="AP180" s="17">
        <f>SUMIF('20.01'!$M:$M,$B:$B,'20.01'!$D:$D)*1.2</f>
        <v>0</v>
      </c>
      <c r="AQ180" s="110">
        <f t="shared" si="201"/>
        <v>2177.3774629456493</v>
      </c>
      <c r="AR180" s="17">
        <f t="shared" si="202"/>
        <v>2177.3774629456493</v>
      </c>
      <c r="AS180" s="17">
        <f>(SUMIF('20.01'!$N:$N,$B:$B,'20.01'!$D:$D)+SUMIF('20.01'!$O:$O,$B:$B,'20.01'!$D:$D))*1.2</f>
        <v>0</v>
      </c>
      <c r="AT180" s="110">
        <f>SUMIF('20.01'!$P:$P,$B:$B,'20.01'!$D:$D)*1.2</f>
        <v>0</v>
      </c>
      <c r="AU180" s="110">
        <f t="shared" si="203"/>
        <v>0</v>
      </c>
      <c r="AV180" s="17">
        <f>SUMIF('20.01'!$Q:$Q,$B:$B,'20.01'!$D:$D)*1.2</f>
        <v>0</v>
      </c>
      <c r="AW180" s="17">
        <f>SUMIF('20.01'!$R:$R,$B:$B,'20.01'!$D:$D)*1.2</f>
        <v>0</v>
      </c>
      <c r="AX180" s="110">
        <f t="shared" si="204"/>
        <v>0</v>
      </c>
      <c r="AY180" s="17">
        <f>SUMIF('20.01'!$S:$S,$B:$B,'20.01'!$D:$D)*1.2</f>
        <v>0</v>
      </c>
      <c r="AZ180" s="17">
        <f>SUMIF('20.01'!$T:$T,$B:$B,'20.01'!$D:$D)*1.2</f>
        <v>0</v>
      </c>
      <c r="BA180" s="110">
        <f t="shared" si="205"/>
        <v>0</v>
      </c>
      <c r="BB180" s="17">
        <f>SUMIF('20.01'!$U:$U,$B:$B,'20.01'!$D:$D)*1.2</f>
        <v>0</v>
      </c>
      <c r="BC180" s="17">
        <f>SUMIF('20.01'!$V:$V,$B:$B,'20.01'!$D:$D)*1.2</f>
        <v>0</v>
      </c>
      <c r="BD180" s="17">
        <f>SUMIF('20.01'!$W:$W,$B:$B,'20.01'!$D:$D)*1.2</f>
        <v>0</v>
      </c>
      <c r="BE180" s="110">
        <f>SUMIF('20.01'!$X:$X,$B:$B,'20.01'!$D:$D)*1.2</f>
        <v>0</v>
      </c>
      <c r="BF180" s="110">
        <f t="shared" si="206"/>
        <v>0</v>
      </c>
      <c r="BG180" s="17">
        <f>SUMIF('20.01'!$Y:$Y,$B:$B,'20.01'!$D:$D)*1.2</f>
        <v>0</v>
      </c>
      <c r="BH180" s="17">
        <f>SUMIF('20.01'!$Z:$Z,$B:$B,'20.01'!$D:$D)*1.2</f>
        <v>0</v>
      </c>
      <c r="BI180" s="17">
        <f>SUMIF('20.01'!$AA:$AA,$B:$B,'20.01'!$D:$D)*1.2</f>
        <v>0</v>
      </c>
      <c r="BJ180" s="17">
        <f>SUMIF('20.01'!$AB:$AB,$B:$B,'20.01'!$D:$D)*1.2</f>
        <v>0</v>
      </c>
      <c r="BK180" s="17">
        <f>SUMIF('20.01'!$AC:$AC,$B:$B,'20.01'!$D:$D)*1.2</f>
        <v>0</v>
      </c>
      <c r="BL180" s="17">
        <f>SUMIF('20.01'!$AD:$AD,$B:$B,'20.01'!$D:$D)*1.2</f>
        <v>0</v>
      </c>
      <c r="BM180" s="110">
        <f t="shared" si="207"/>
        <v>0</v>
      </c>
      <c r="BN180" s="17">
        <f>SUMIF('20.01'!$AE:$AE,$B:$B,'20.01'!$D:$D)*1.2</f>
        <v>0</v>
      </c>
      <c r="BO180" s="17">
        <f>SUMIF('20.01'!$AF:$AF,$B:$B,'20.01'!$D:$D)*1.2</f>
        <v>0</v>
      </c>
      <c r="BP180" s="110">
        <f>SUMIF('20.01'!$AG:$AG,$B:$B,'20.01'!$D:$D)*1.2</f>
        <v>0</v>
      </c>
      <c r="BQ180" s="110">
        <f>SUMIF('20.01'!$AH:$AH,$B:$B,'20.01'!$D:$D)*1.2</f>
        <v>0</v>
      </c>
      <c r="BR180" s="110">
        <f>SUMIF('20.01'!$AI:$AI,$B:$B,'20.01'!$D:$D)*1.2</f>
        <v>0</v>
      </c>
      <c r="BS180" s="110">
        <f t="shared" si="208"/>
        <v>0</v>
      </c>
      <c r="BT180" s="17">
        <f>SUMIF('20.01'!$AJ:$AJ,$B:$B,'20.01'!$D:$D)*1.2</f>
        <v>0</v>
      </c>
      <c r="BU180" s="17">
        <f>SUMIF('20.01'!$AK:$AK,$B:$B,'20.01'!$D:$D)*1.2</f>
        <v>0</v>
      </c>
      <c r="BV180" s="110">
        <f>SUMIF('20.01'!$AL:$AL,$B:$B,'20.01'!$D:$D)*1.2</f>
        <v>0</v>
      </c>
      <c r="BW180" s="110">
        <f>SUMIF('20.01'!$AM:$AM,$B:$B,'20.01'!$D:$D)*1.2</f>
        <v>0</v>
      </c>
      <c r="BX180" s="110">
        <f>SUMIF('20.01'!$AN:$AN,$B:$B,'20.01'!$D:$D)*1.2</f>
        <v>0</v>
      </c>
      <c r="BY180" s="110">
        <f t="shared" si="158"/>
        <v>505054.90772784437</v>
      </c>
      <c r="BZ180" s="17">
        <f>IF(S180=$S$248,$BZ$248,0)/$G$248*G180</f>
        <v>393700.45899199985</v>
      </c>
      <c r="CA180" s="17">
        <f t="shared" si="159"/>
        <v>48074.49883923195</v>
      </c>
      <c r="CB180" s="17">
        <f t="shared" si="160"/>
        <v>3195.746463617148</v>
      </c>
      <c r="CC180" s="17">
        <f>SUMIF('20.01'!$AO:$AO,$B:$B,'20.01'!$D:$D)*1.2</f>
        <v>0</v>
      </c>
      <c r="CD180" s="17">
        <f t="shared" si="161"/>
        <v>50169.973715858127</v>
      </c>
      <c r="CE180" s="17">
        <f>SUMIF('20.01'!$AQ:$AQ,$B:$B,'20.01'!$D:$D)*1.2</f>
        <v>0</v>
      </c>
      <c r="CF180" s="17">
        <f t="shared" si="162"/>
        <v>4564.6745228562913</v>
      </c>
      <c r="CG180" s="17">
        <f>SUMIF('20.01'!$AR:$AR,$B:$B,'20.01'!$D:$D)*1.2</f>
        <v>0</v>
      </c>
      <c r="CH180" s="17">
        <f t="shared" si="163"/>
        <v>2688.2620756512629</v>
      </c>
      <c r="CI180" s="17">
        <f>SUMIF('20.01'!$AT:$AT,$B:$B,'20.01'!$D:$D)*1.2</f>
        <v>0</v>
      </c>
      <c r="CJ180" s="17">
        <f>SUMIF('20.01'!$AU:$AU,$B:$B,'20.01'!$D:$D)*1.2</f>
        <v>0</v>
      </c>
      <c r="CK180" s="17">
        <f>SUMIF('20.01'!$AV:$AV,$B:$B,'20.01'!$D:$D)*1.2</f>
        <v>0</v>
      </c>
      <c r="CL180" s="17">
        <f t="shared" si="164"/>
        <v>2661.2931186296978</v>
      </c>
      <c r="CM180" s="17">
        <f>SUMIF('20.01'!$AW:$AW,$B:$B,'20.01'!$D:$D)*1.2</f>
        <v>0</v>
      </c>
      <c r="CN180" s="17">
        <f>SUMIF('20.01'!$AX:$AX,$B:$B,'20.01'!$D:$D)*1.2</f>
        <v>0</v>
      </c>
      <c r="CO180" s="110">
        <f t="shared" si="209"/>
        <v>892761.17077757069</v>
      </c>
      <c r="CP180" s="17">
        <f t="shared" si="210"/>
        <v>704246.95192541182</v>
      </c>
      <c r="CQ180" s="17">
        <f t="shared" si="165"/>
        <v>217269.87485414077</v>
      </c>
      <c r="CR180" s="17">
        <f t="shared" si="166"/>
        <v>486977.07707127108</v>
      </c>
      <c r="CS180" s="17">
        <f t="shared" si="211"/>
        <v>188514.21885215881</v>
      </c>
      <c r="CT180" s="17">
        <f t="shared" si="167"/>
        <v>6867.7383623233272</v>
      </c>
      <c r="CU180" s="17">
        <f t="shared" si="168"/>
        <v>6642.706596066344</v>
      </c>
      <c r="CV180" s="17">
        <f t="shared" si="169"/>
        <v>6865.3824503648993</v>
      </c>
      <c r="CW180" s="17">
        <f t="shared" si="170"/>
        <v>71.991094084991914</v>
      </c>
      <c r="CX180" s="17">
        <f t="shared" si="171"/>
        <v>101370.69820988025</v>
      </c>
      <c r="CY180" s="17">
        <f t="shared" si="172"/>
        <v>66695.702139439003</v>
      </c>
      <c r="CZ180" s="110">
        <f t="shared" si="212"/>
        <v>221606.69432586641</v>
      </c>
      <c r="DA180" s="17">
        <f t="shared" si="213"/>
        <v>8371.0574517432469</v>
      </c>
      <c r="DB180" s="17">
        <f t="shared" si="173"/>
        <v>7943.8264494214227</v>
      </c>
      <c r="DC180" s="17">
        <f t="shared" si="174"/>
        <v>427.23100232182441</v>
      </c>
      <c r="DD180" s="17">
        <f t="shared" si="175"/>
        <v>14750.763461318138</v>
      </c>
      <c r="DE180" s="17">
        <f t="shared" si="176"/>
        <v>5089.4020727511634</v>
      </c>
      <c r="DF180" s="17">
        <f t="shared" si="177"/>
        <v>6176.698446519893</v>
      </c>
      <c r="DG180" s="17">
        <f t="shared" si="214"/>
        <v>187218.77289353395</v>
      </c>
      <c r="DH180" s="110">
        <f t="shared" si="215"/>
        <v>138299.88855986745</v>
      </c>
      <c r="DI180" s="17">
        <f t="shared" si="178"/>
        <v>124060.63883857467</v>
      </c>
      <c r="DJ180" s="17">
        <f t="shared" si="179"/>
        <v>13720.377668972931</v>
      </c>
      <c r="DK180" s="17">
        <f t="shared" si="180"/>
        <v>518.8720523198557</v>
      </c>
      <c r="DL180" s="110">
        <f t="shared" si="216"/>
        <v>1046534.6316995703</v>
      </c>
      <c r="DM180" s="17">
        <f t="shared" si="181"/>
        <v>435764.88083272206</v>
      </c>
      <c r="DN180" s="17">
        <f t="shared" si="182"/>
        <v>386433.00753090449</v>
      </c>
      <c r="DO180" s="17">
        <f t="shared" si="183"/>
        <v>224336.74333594379</v>
      </c>
      <c r="DP180" s="110">
        <f t="shared" si="217"/>
        <v>348175.54853875795</v>
      </c>
      <c r="DQ180" s="17">
        <f>SUMIF('20.01'!$BB:$BB,$B:$B,'20.01'!$D:$D)*1.2</f>
        <v>12025.199999999999</v>
      </c>
      <c r="DR180" s="17">
        <f t="shared" si="184"/>
        <v>333676.7760504483</v>
      </c>
      <c r="DS180" s="17">
        <f t="shared" si="185"/>
        <v>2473.5724883096368</v>
      </c>
      <c r="DT180" s="110">
        <f t="shared" si="218"/>
        <v>0</v>
      </c>
      <c r="DU180" s="17">
        <f>SUMIF('20.01'!$BD:$BD,$B:$B,'20.01'!$D:$D)*1.2</f>
        <v>0</v>
      </c>
      <c r="DV180" s="17">
        <f t="shared" si="186"/>
        <v>0</v>
      </c>
      <c r="DW180" s="17">
        <f t="shared" si="187"/>
        <v>0</v>
      </c>
      <c r="DX180" s="110">
        <f t="shared" si="188"/>
        <v>3329102.6429042672</v>
      </c>
      <c r="DY180" s="110">
        <f>EC180*EG180</f>
        <v>473311.94489768642</v>
      </c>
      <c r="DZ180" s="110">
        <f t="shared" si="219"/>
        <v>3802414.5878019538</v>
      </c>
      <c r="EA180" s="257"/>
      <c r="EB180" s="110">
        <f t="shared" si="189"/>
        <v>1773.1084337349396</v>
      </c>
      <c r="EC180" s="110">
        <f>SUMIF(еирц!$B:$B,$B:$B,еирц!$K:$K)</f>
        <v>3749361.9000000004</v>
      </c>
      <c r="ED180" s="110">
        <f>SUMIF(еирц!$B:$B,$B:$B,еирц!$P:$P)</f>
        <v>3663212.08</v>
      </c>
      <c r="EE180" s="110">
        <f>SUMIF(еирц!$B:$B,$B:$B,еирц!$S:$S)</f>
        <v>522545.91999999998</v>
      </c>
      <c r="EF180" s="177">
        <f t="shared" si="220"/>
        <v>422032.36552946828</v>
      </c>
      <c r="EG180" s="181">
        <f t="shared" si="221"/>
        <v>0.12623799929734347</v>
      </c>
      <c r="EH180" s="177">
        <f t="shared" si="222"/>
        <v>-51279.579368218314</v>
      </c>
    </row>
    <row r="181" spans="1:138" ht="12" customHeight="1" x14ac:dyDescent="0.25">
      <c r="A181" s="5">
        <f t="shared" si="223"/>
        <v>177</v>
      </c>
      <c r="B181" s="6" t="s">
        <v>261</v>
      </c>
      <c r="C181" s="7">
        <f t="shared" si="226"/>
        <v>7717.15</v>
      </c>
      <c r="D181" s="8">
        <v>7717.15</v>
      </c>
      <c r="E181" s="8">
        <v>0</v>
      </c>
      <c r="F181" s="8">
        <v>1436.8</v>
      </c>
      <c r="G181" s="91">
        <f t="shared" si="156"/>
        <v>7717.15</v>
      </c>
      <c r="H181" s="87">
        <f t="shared" si="157"/>
        <v>0</v>
      </c>
      <c r="I181" s="91">
        <v>4</v>
      </c>
      <c r="J181" s="112">
        <v>1.2107177324593429E-2</v>
      </c>
      <c r="K181" s="115">
        <v>2</v>
      </c>
      <c r="L181" s="112">
        <f t="shared" si="190"/>
        <v>4.8192771084337345E-3</v>
      </c>
      <c r="M181" s="116">
        <v>3.4064178511624288</v>
      </c>
      <c r="N181" s="120">
        <f t="shared" si="191"/>
        <v>7717.15</v>
      </c>
      <c r="O181" s="116">
        <v>3.0862322572270471</v>
      </c>
      <c r="P181" s="120">
        <f t="shared" si="192"/>
        <v>7717.15</v>
      </c>
      <c r="Q181" s="116">
        <v>1.6009265469839171</v>
      </c>
      <c r="R181" s="120">
        <f t="shared" si="193"/>
        <v>7717.15</v>
      </c>
      <c r="S181" s="5" t="s">
        <v>98</v>
      </c>
      <c r="T181" s="87">
        <v>41.1</v>
      </c>
      <c r="U181" s="88">
        <v>4.68</v>
      </c>
      <c r="V181" s="88">
        <v>7.92</v>
      </c>
      <c r="W181" s="88">
        <v>12.32</v>
      </c>
      <c r="X181" s="88">
        <v>6.34</v>
      </c>
      <c r="Y181" s="88">
        <v>2.89</v>
      </c>
      <c r="Z181" s="88">
        <v>1.66</v>
      </c>
      <c r="AA181" s="88">
        <v>5.29</v>
      </c>
      <c r="AB181" s="88">
        <v>0</v>
      </c>
      <c r="AC181" s="257"/>
      <c r="AD181" s="110">
        <f t="shared" si="194"/>
        <v>186151.79377837293</v>
      </c>
      <c r="AE181" s="110">
        <f t="shared" si="195"/>
        <v>183983.95327984096</v>
      </c>
      <c r="AF181" s="16">
        <f>SUMIF('20.01'!$I:$I,$B:$B,'20.01'!$D:$D)*1.2</f>
        <v>55409.976000000002</v>
      </c>
      <c r="AG181" s="17">
        <f t="shared" si="228"/>
        <v>16395.230775013271</v>
      </c>
      <c r="AH181" s="17">
        <f t="shared" si="196"/>
        <v>5892.8079980734101</v>
      </c>
      <c r="AI181" s="16">
        <f>SUMIF('20.01'!$J:$J,$B:$B,'20.01'!$D:$D)*1.2</f>
        <v>0</v>
      </c>
      <c r="AJ181" s="17">
        <f t="shared" si="197"/>
        <v>2394.704687594914</v>
      </c>
      <c r="AK181" s="17">
        <f t="shared" si="198"/>
        <v>5825.784509997261</v>
      </c>
      <c r="AL181" s="17">
        <f t="shared" si="199"/>
        <v>98065.449309162112</v>
      </c>
      <c r="AM181" s="110">
        <f t="shared" si="200"/>
        <v>0</v>
      </c>
      <c r="AN181" s="17">
        <f>SUMIF('20.01'!$K:$K,$B:$B,'20.01'!$D:$D)*1.2</f>
        <v>0</v>
      </c>
      <c r="AO181" s="17">
        <f>SUMIF('20.01'!$L:$L,$B:$B,'20.01'!$D:$D)*1.2</f>
        <v>0</v>
      </c>
      <c r="AP181" s="17">
        <f>SUMIF('20.01'!$M:$M,$B:$B,'20.01'!$D:$D)*1.2</f>
        <v>0</v>
      </c>
      <c r="AQ181" s="110">
        <f t="shared" si="201"/>
        <v>2167.8404985319521</v>
      </c>
      <c r="AR181" s="17">
        <f t="shared" si="202"/>
        <v>2167.8404985319521</v>
      </c>
      <c r="AS181" s="17">
        <f>(SUMIF('20.01'!$N:$N,$B:$B,'20.01'!$D:$D)+SUMIF('20.01'!$O:$O,$B:$B,'20.01'!$D:$D))*1.2</f>
        <v>0</v>
      </c>
      <c r="AT181" s="110">
        <f>SUMIF('20.01'!$P:$P,$B:$B,'20.01'!$D:$D)*1.2</f>
        <v>0</v>
      </c>
      <c r="AU181" s="110">
        <f t="shared" si="203"/>
        <v>0</v>
      </c>
      <c r="AV181" s="17">
        <f>SUMIF('20.01'!$Q:$Q,$B:$B,'20.01'!$D:$D)*1.2</f>
        <v>0</v>
      </c>
      <c r="AW181" s="17">
        <f>SUMIF('20.01'!$R:$R,$B:$B,'20.01'!$D:$D)*1.2</f>
        <v>0</v>
      </c>
      <c r="AX181" s="110">
        <f t="shared" si="204"/>
        <v>0</v>
      </c>
      <c r="AY181" s="17">
        <f>SUMIF('20.01'!$S:$S,$B:$B,'20.01'!$D:$D)*1.2</f>
        <v>0</v>
      </c>
      <c r="AZ181" s="17">
        <f>SUMIF('20.01'!$T:$T,$B:$B,'20.01'!$D:$D)*1.2</f>
        <v>0</v>
      </c>
      <c r="BA181" s="110">
        <f t="shared" si="205"/>
        <v>0</v>
      </c>
      <c r="BB181" s="17">
        <f>SUMIF('20.01'!$U:$U,$B:$B,'20.01'!$D:$D)*1.2</f>
        <v>0</v>
      </c>
      <c r="BC181" s="17">
        <f>SUMIF('20.01'!$V:$V,$B:$B,'20.01'!$D:$D)*1.2</f>
        <v>0</v>
      </c>
      <c r="BD181" s="17">
        <f>SUMIF('20.01'!$W:$W,$B:$B,'20.01'!$D:$D)*1.2</f>
        <v>0</v>
      </c>
      <c r="BE181" s="110">
        <f>SUMIF('20.01'!$X:$X,$B:$B,'20.01'!$D:$D)*1.2</f>
        <v>0</v>
      </c>
      <c r="BF181" s="110">
        <f t="shared" si="206"/>
        <v>0</v>
      </c>
      <c r="BG181" s="17">
        <f>SUMIF('20.01'!$Y:$Y,$B:$B,'20.01'!$D:$D)*1.2</f>
        <v>0</v>
      </c>
      <c r="BH181" s="17">
        <f>SUMIF('20.01'!$Z:$Z,$B:$B,'20.01'!$D:$D)*1.2</f>
        <v>0</v>
      </c>
      <c r="BI181" s="17">
        <f>SUMIF('20.01'!$AA:$AA,$B:$B,'20.01'!$D:$D)*1.2</f>
        <v>0</v>
      </c>
      <c r="BJ181" s="17">
        <f>SUMIF('20.01'!$AB:$AB,$B:$B,'20.01'!$D:$D)*1.2</f>
        <v>0</v>
      </c>
      <c r="BK181" s="17">
        <f>SUMIF('20.01'!$AC:$AC,$B:$B,'20.01'!$D:$D)*1.2</f>
        <v>0</v>
      </c>
      <c r="BL181" s="17">
        <f>SUMIF('20.01'!$AD:$AD,$B:$B,'20.01'!$D:$D)*1.2</f>
        <v>0</v>
      </c>
      <c r="BM181" s="110">
        <f t="shared" si="207"/>
        <v>0</v>
      </c>
      <c r="BN181" s="17">
        <f>SUMIF('20.01'!$AE:$AE,$B:$B,'20.01'!$D:$D)*1.2</f>
        <v>0</v>
      </c>
      <c r="BO181" s="17">
        <f>SUMIF('20.01'!$AF:$AF,$B:$B,'20.01'!$D:$D)*1.2</f>
        <v>0</v>
      </c>
      <c r="BP181" s="110">
        <f>SUMIF('20.01'!$AG:$AG,$B:$B,'20.01'!$D:$D)*1.2</f>
        <v>0</v>
      </c>
      <c r="BQ181" s="110">
        <f>SUMIF('20.01'!$AH:$AH,$B:$B,'20.01'!$D:$D)*1.2</f>
        <v>0</v>
      </c>
      <c r="BR181" s="110">
        <f>SUMIF('20.01'!$AI:$AI,$B:$B,'20.01'!$D:$D)*1.2</f>
        <v>0</v>
      </c>
      <c r="BS181" s="110">
        <f t="shared" si="208"/>
        <v>0</v>
      </c>
      <c r="BT181" s="17">
        <f>SUMIF('20.01'!$AJ:$AJ,$B:$B,'20.01'!$D:$D)*1.2</f>
        <v>0</v>
      </c>
      <c r="BU181" s="17">
        <f>SUMIF('20.01'!$AK:$AK,$B:$B,'20.01'!$D:$D)*1.2</f>
        <v>0</v>
      </c>
      <c r="BV181" s="110">
        <f>SUMIF('20.01'!$AL:$AL,$B:$B,'20.01'!$D:$D)*1.2</f>
        <v>0</v>
      </c>
      <c r="BW181" s="110">
        <f>SUMIF('20.01'!$AM:$AM,$B:$B,'20.01'!$D:$D)*1.2</f>
        <v>0</v>
      </c>
      <c r="BX181" s="110">
        <f>SUMIF('20.01'!$AN:$AN,$B:$B,'20.01'!$D:$D)*1.2</f>
        <v>0</v>
      </c>
      <c r="BY181" s="110">
        <f t="shared" si="158"/>
        <v>502842.75537303521</v>
      </c>
      <c r="BZ181" s="17">
        <f>IF(S181=$S$248,$BZ$248,0)/$G$248*G181</f>
        <v>391976.04173731618</v>
      </c>
      <c r="CA181" s="17">
        <f t="shared" si="159"/>
        <v>47863.931405501004</v>
      </c>
      <c r="CB181" s="17">
        <f t="shared" si="160"/>
        <v>3181.7490190686576</v>
      </c>
      <c r="CC181" s="17">
        <f>SUMIF('20.01'!$AO:$AO,$B:$B,'20.01'!$D:$D)*1.2</f>
        <v>0</v>
      </c>
      <c r="CD181" s="17">
        <f t="shared" si="161"/>
        <v>49950.228052964674</v>
      </c>
      <c r="CE181" s="17">
        <f>SUMIF('20.01'!$AQ:$AQ,$B:$B,'20.01'!$D:$D)*1.2</f>
        <v>0</v>
      </c>
      <c r="CF181" s="17">
        <f t="shared" si="162"/>
        <v>4544.681141265165</v>
      </c>
      <c r="CG181" s="17">
        <f>SUMIF('20.01'!$AR:$AR,$B:$B,'20.01'!$D:$D)*1.2</f>
        <v>0</v>
      </c>
      <c r="CH181" s="17">
        <f t="shared" si="163"/>
        <v>2676.4874246380696</v>
      </c>
      <c r="CI181" s="17">
        <f>SUMIF('20.01'!$AT:$AT,$B:$B,'20.01'!$D:$D)*1.2</f>
        <v>0</v>
      </c>
      <c r="CJ181" s="17">
        <f>SUMIF('20.01'!$AU:$AU,$B:$B,'20.01'!$D:$D)*1.2</f>
        <v>0</v>
      </c>
      <c r="CK181" s="17">
        <f>SUMIF('20.01'!$AV:$AV,$B:$B,'20.01'!$D:$D)*1.2</f>
        <v>0</v>
      </c>
      <c r="CL181" s="17">
        <f t="shared" si="164"/>
        <v>2649.6365922815044</v>
      </c>
      <c r="CM181" s="17">
        <f>SUMIF('20.01'!$AW:$AW,$B:$B,'20.01'!$D:$D)*1.2</f>
        <v>0</v>
      </c>
      <c r="CN181" s="17">
        <f>SUMIF('20.01'!$AX:$AX,$B:$B,'20.01'!$D:$D)*1.2</f>
        <v>0</v>
      </c>
      <c r="CO181" s="110">
        <f t="shared" si="209"/>
        <v>888850.8558870519</v>
      </c>
      <c r="CP181" s="17">
        <f t="shared" si="210"/>
        <v>701162.33373988094</v>
      </c>
      <c r="CQ181" s="17">
        <f t="shared" si="165"/>
        <v>216318.227700666</v>
      </c>
      <c r="CR181" s="17">
        <f t="shared" si="166"/>
        <v>484844.106039215</v>
      </c>
      <c r="CS181" s="17">
        <f t="shared" si="211"/>
        <v>187688.52214717102</v>
      </c>
      <c r="CT181" s="17">
        <f t="shared" si="167"/>
        <v>6837.6575070381568</v>
      </c>
      <c r="CU181" s="17">
        <f t="shared" si="168"/>
        <v>6613.6113852012468</v>
      </c>
      <c r="CV181" s="17">
        <f t="shared" si="169"/>
        <v>6835.3119140294257</v>
      </c>
      <c r="CW181" s="17">
        <f t="shared" si="170"/>
        <v>71.675771402510009</v>
      </c>
      <c r="CX181" s="17">
        <f t="shared" si="171"/>
        <v>100926.69217148241</v>
      </c>
      <c r="CY181" s="17">
        <f t="shared" si="172"/>
        <v>66403.573398017266</v>
      </c>
      <c r="CZ181" s="110">
        <f t="shared" si="212"/>
        <v>220636.05180127462</v>
      </c>
      <c r="DA181" s="17">
        <f t="shared" si="213"/>
        <v>8334.3920235476762</v>
      </c>
      <c r="DB181" s="17">
        <f t="shared" si="173"/>
        <v>7909.0323030476357</v>
      </c>
      <c r="DC181" s="17">
        <f t="shared" si="174"/>
        <v>425.35972050004091</v>
      </c>
      <c r="DD181" s="17">
        <f t="shared" si="175"/>
        <v>14686.154771001697</v>
      </c>
      <c r="DE181" s="17">
        <f t="shared" si="176"/>
        <v>5067.1103721706122</v>
      </c>
      <c r="DF181" s="17">
        <f t="shared" si="177"/>
        <v>6149.6443622919314</v>
      </c>
      <c r="DG181" s="17">
        <f t="shared" si="214"/>
        <v>186398.7502722627</v>
      </c>
      <c r="DH181" s="110">
        <f t="shared" si="215"/>
        <v>137694.13180061939</v>
      </c>
      <c r="DI181" s="17">
        <f t="shared" si="178"/>
        <v>123517.25032745113</v>
      </c>
      <c r="DJ181" s="17">
        <f t="shared" si="179"/>
        <v>13660.282092620977</v>
      </c>
      <c r="DK181" s="17">
        <f t="shared" si="180"/>
        <v>516.59938054729957</v>
      </c>
      <c r="DL181" s="110">
        <f t="shared" si="216"/>
        <v>1041950.7854395297</v>
      </c>
      <c r="DM181" s="17">
        <f t="shared" si="181"/>
        <v>433856.22042268078</v>
      </c>
      <c r="DN181" s="17">
        <f t="shared" si="182"/>
        <v>384740.4218842641</v>
      </c>
      <c r="DO181" s="17">
        <f t="shared" si="183"/>
        <v>223354.14313258484</v>
      </c>
      <c r="DP181" s="110">
        <f t="shared" si="217"/>
        <v>346401.45566313987</v>
      </c>
      <c r="DQ181" s="17">
        <f>SUMIF('20.01'!$BB:$BB,$B:$B,'20.01'!$D:$D)*1.2</f>
        <v>12025.199999999999</v>
      </c>
      <c r="DR181" s="17">
        <f t="shared" si="184"/>
        <v>331915.73789081641</v>
      </c>
      <c r="DS181" s="17">
        <f t="shared" si="185"/>
        <v>2460.5177723234383</v>
      </c>
      <c r="DT181" s="110">
        <f t="shared" si="218"/>
        <v>0</v>
      </c>
      <c r="DU181" s="17">
        <f>SUMIF('20.01'!$BD:$BD,$B:$B,'20.01'!$D:$D)*1.2</f>
        <v>0</v>
      </c>
      <c r="DV181" s="17">
        <f t="shared" si="186"/>
        <v>0</v>
      </c>
      <c r="DW181" s="17">
        <f t="shared" si="187"/>
        <v>0</v>
      </c>
      <c r="DX181" s="110">
        <f t="shared" si="188"/>
        <v>3324527.829743024</v>
      </c>
      <c r="DY181" s="110">
        <f>EC181*EG181</f>
        <v>485282.20260000002</v>
      </c>
      <c r="DZ181" s="110">
        <f t="shared" si="219"/>
        <v>3809810.0323430239</v>
      </c>
      <c r="EA181" s="257"/>
      <c r="EB181" s="110">
        <f t="shared" si="189"/>
        <v>1773.1084337349396</v>
      </c>
      <c r="EC181" s="110">
        <f>SUMIF(еирц!$B:$B,$B:$B,еирц!$K:$K)</f>
        <v>3732940.02</v>
      </c>
      <c r="ED181" s="110">
        <f>SUMIF(еирц!$B:$B,$B:$B,еирц!$P:$P)</f>
        <v>3717140.5</v>
      </c>
      <c r="EE181" s="110">
        <f>SUMIF(еирц!$B:$B,$B:$B,еирц!$S:$S)</f>
        <v>661281.47</v>
      </c>
      <c r="EF181" s="177">
        <f t="shared" si="220"/>
        <v>410185.29869071115</v>
      </c>
      <c r="EG181" s="183">
        <v>0.13</v>
      </c>
      <c r="EH181" s="177">
        <f t="shared" si="222"/>
        <v>-75096.903909288812</v>
      </c>
    </row>
    <row r="182" spans="1:138" ht="12" customHeight="1" x14ac:dyDescent="0.25">
      <c r="A182" s="5">
        <f t="shared" si="223"/>
        <v>178</v>
      </c>
      <c r="B182" s="6" t="s">
        <v>262</v>
      </c>
      <c r="C182" s="7">
        <f t="shared" si="226"/>
        <v>16826.7</v>
      </c>
      <c r="D182" s="8">
        <v>16826.7</v>
      </c>
      <c r="E182" s="8">
        <v>0</v>
      </c>
      <c r="F182" s="8">
        <v>4544.6000000000004</v>
      </c>
      <c r="G182" s="91">
        <f t="shared" si="156"/>
        <v>16826.7</v>
      </c>
      <c r="H182" s="87">
        <f t="shared" si="157"/>
        <v>0</v>
      </c>
      <c r="I182" s="91">
        <v>9</v>
      </c>
      <c r="J182" s="112">
        <v>2.6530323369508394E-2</v>
      </c>
      <c r="K182" s="17">
        <v>0</v>
      </c>
      <c r="L182" s="112">
        <f t="shared" si="190"/>
        <v>0</v>
      </c>
      <c r="M182" s="116">
        <v>3.4064169839676381</v>
      </c>
      <c r="N182" s="120">
        <f t="shared" si="191"/>
        <v>16826.7</v>
      </c>
      <c r="O182" s="116">
        <v>3.0862321466970006</v>
      </c>
      <c r="P182" s="120">
        <f t="shared" si="192"/>
        <v>16826.7</v>
      </c>
      <c r="Q182" s="116">
        <v>1.6009274415344499</v>
      </c>
      <c r="R182" s="120">
        <f t="shared" si="193"/>
        <v>16826.7</v>
      </c>
      <c r="S182" s="5" t="s">
        <v>143</v>
      </c>
      <c r="T182" s="87">
        <v>36.54</v>
      </c>
      <c r="U182" s="88">
        <v>4.03</v>
      </c>
      <c r="V182" s="88">
        <v>7</v>
      </c>
      <c r="W182" s="88">
        <v>11</v>
      </c>
      <c r="X182" s="88">
        <v>5.4</v>
      </c>
      <c r="Y182" s="88">
        <v>2.67</v>
      </c>
      <c r="Z182" s="88">
        <v>1.54</v>
      </c>
      <c r="AA182" s="88">
        <v>4.9000000000000004</v>
      </c>
      <c r="AB182" s="88">
        <v>0</v>
      </c>
      <c r="AC182" s="257"/>
      <c r="AD182" s="110">
        <f t="shared" si="194"/>
        <v>1166921.2956376467</v>
      </c>
      <c r="AE182" s="110">
        <f t="shared" si="195"/>
        <v>837663.38868919446</v>
      </c>
      <c r="AF182" s="16">
        <f>SUMIF('20.01'!$I:$I,$B:$B,'20.01'!$D:$D)*1.2</f>
        <v>548178.17999999993</v>
      </c>
      <c r="AG182" s="17">
        <f t="shared" ref="AG182:AG208" si="229">IF(S182=$S$246,$AG$246,0)/$G$246*G182</f>
        <v>44887.382572974857</v>
      </c>
      <c r="AH182" s="17">
        <f t="shared" si="196"/>
        <v>12848.851239276397</v>
      </c>
      <c r="AI182" s="16">
        <f>SUMIF('20.01'!$J:$J,$B:$B,'20.01'!$D:$D)*1.2</f>
        <v>0</v>
      </c>
      <c r="AJ182" s="17">
        <f t="shared" si="197"/>
        <v>5221.4842742143592</v>
      </c>
      <c r="AK182" s="17">
        <f t="shared" si="198"/>
        <v>12702.711261848081</v>
      </c>
      <c r="AL182" s="17">
        <f t="shared" si="199"/>
        <v>213824.77934088078</v>
      </c>
      <c r="AM182" s="110">
        <f t="shared" si="200"/>
        <v>5664.4679999999998</v>
      </c>
      <c r="AN182" s="17">
        <f>SUMIF('20.01'!$K:$K,$B:$B,'20.01'!$D:$D)*1.2</f>
        <v>5664.4679999999998</v>
      </c>
      <c r="AO182" s="17">
        <f>SUMIF('20.01'!$L:$L,$B:$B,'20.01'!$D:$D)*1.2</f>
        <v>0</v>
      </c>
      <c r="AP182" s="17">
        <f>SUMIF('20.01'!$M:$M,$B:$B,'20.01'!$D:$D)*1.2</f>
        <v>0</v>
      </c>
      <c r="AQ182" s="110">
        <f t="shared" si="201"/>
        <v>4726.8229484521626</v>
      </c>
      <c r="AR182" s="17">
        <f t="shared" si="202"/>
        <v>4726.8229484521626</v>
      </c>
      <c r="AS182" s="17">
        <f>(SUMIF('20.01'!$N:$N,$B:$B,'20.01'!$D:$D)+SUMIF('20.01'!$O:$O,$B:$B,'20.01'!$D:$D))*1.2</f>
        <v>0</v>
      </c>
      <c r="AT182" s="110">
        <f>SUMIF('20.01'!$P:$P,$B:$B,'20.01'!$D:$D)*1.2</f>
        <v>0</v>
      </c>
      <c r="AU182" s="110">
        <f t="shared" si="203"/>
        <v>0</v>
      </c>
      <c r="AV182" s="17">
        <f>SUMIF('20.01'!$Q:$Q,$B:$B,'20.01'!$D:$D)*1.2</f>
        <v>0</v>
      </c>
      <c r="AW182" s="17">
        <f>SUMIF('20.01'!$R:$R,$B:$B,'20.01'!$D:$D)*1.2</f>
        <v>0</v>
      </c>
      <c r="AX182" s="110">
        <f t="shared" si="204"/>
        <v>0</v>
      </c>
      <c r="AY182" s="17">
        <f>SUMIF('20.01'!$S:$S,$B:$B,'20.01'!$D:$D)*1.2</f>
        <v>0</v>
      </c>
      <c r="AZ182" s="17">
        <f>SUMIF('20.01'!$T:$T,$B:$B,'20.01'!$D:$D)*1.2</f>
        <v>0</v>
      </c>
      <c r="BA182" s="110">
        <f t="shared" si="205"/>
        <v>0</v>
      </c>
      <c r="BB182" s="17">
        <f>SUMIF('20.01'!$U:$U,$B:$B,'20.01'!$D:$D)*1.2</f>
        <v>0</v>
      </c>
      <c r="BC182" s="17">
        <f>SUMIF('20.01'!$V:$V,$B:$B,'20.01'!$D:$D)*1.2</f>
        <v>0</v>
      </c>
      <c r="BD182" s="17">
        <f>SUMIF('20.01'!$W:$W,$B:$B,'20.01'!$D:$D)*1.2</f>
        <v>0</v>
      </c>
      <c r="BE182" s="110">
        <f>SUMIF('20.01'!$X:$X,$B:$B,'20.01'!$D:$D)*1.2</f>
        <v>0</v>
      </c>
      <c r="BF182" s="110">
        <f t="shared" si="206"/>
        <v>0</v>
      </c>
      <c r="BG182" s="17">
        <f>SUMIF('20.01'!$Y:$Y,$B:$B,'20.01'!$D:$D)*1.2</f>
        <v>0</v>
      </c>
      <c r="BH182" s="17">
        <f>SUMIF('20.01'!$Z:$Z,$B:$B,'20.01'!$D:$D)*1.2</f>
        <v>0</v>
      </c>
      <c r="BI182" s="17">
        <f>SUMIF('20.01'!$AA:$AA,$B:$B,'20.01'!$D:$D)*1.2</f>
        <v>0</v>
      </c>
      <c r="BJ182" s="17">
        <f>SUMIF('20.01'!$AB:$AB,$B:$B,'20.01'!$D:$D)*1.2</f>
        <v>0</v>
      </c>
      <c r="BK182" s="17">
        <f>SUMIF('20.01'!$AC:$AC,$B:$B,'20.01'!$D:$D)*1.2</f>
        <v>0</v>
      </c>
      <c r="BL182" s="17">
        <f>SUMIF('20.01'!$AD:$AD,$B:$B,'20.01'!$D:$D)*1.2</f>
        <v>0</v>
      </c>
      <c r="BM182" s="110">
        <f t="shared" si="207"/>
        <v>0</v>
      </c>
      <c r="BN182" s="17">
        <f>SUMIF('20.01'!$AE:$AE,$B:$B,'20.01'!$D:$D)*1.2</f>
        <v>0</v>
      </c>
      <c r="BO182" s="17">
        <f>SUMIF('20.01'!$AF:$AF,$B:$B,'20.01'!$D:$D)*1.2</f>
        <v>0</v>
      </c>
      <c r="BP182" s="110">
        <f>SUMIF('20.01'!$AG:$AG,$B:$B,'20.01'!$D:$D)*1.2</f>
        <v>0</v>
      </c>
      <c r="BQ182" s="110">
        <f>SUMIF('20.01'!$AH:$AH,$B:$B,'20.01'!$D:$D)*1.2</f>
        <v>0</v>
      </c>
      <c r="BR182" s="110">
        <f>SUMIF('20.01'!$AI:$AI,$B:$B,'20.01'!$D:$D)*1.2</f>
        <v>0</v>
      </c>
      <c r="BS182" s="110">
        <f t="shared" si="208"/>
        <v>0</v>
      </c>
      <c r="BT182" s="17">
        <f>SUMIF('20.01'!$AJ:$AJ,$B:$B,'20.01'!$D:$D)*1.2</f>
        <v>0</v>
      </c>
      <c r="BU182" s="17">
        <f>SUMIF('20.01'!$AK:$AK,$B:$B,'20.01'!$D:$D)*1.2</f>
        <v>0</v>
      </c>
      <c r="BV182" s="110">
        <f>SUMIF('20.01'!$AL:$AL,$B:$B,'20.01'!$D:$D)*1.2</f>
        <v>318866.61599999998</v>
      </c>
      <c r="BW182" s="110">
        <f>SUMIF('20.01'!$AM:$AM,$B:$B,'20.01'!$D:$D)*1.2</f>
        <v>0</v>
      </c>
      <c r="BX182" s="110">
        <f>SUMIF('20.01'!$AN:$AN,$B:$B,'20.01'!$D:$D)*1.2</f>
        <v>0</v>
      </c>
      <c r="BY182" s="110">
        <f t="shared" si="158"/>
        <v>1296348.1477904527</v>
      </c>
      <c r="BZ182" s="17">
        <f t="shared" ref="BZ182:BZ208" si="230">IF(S182=$S$246,$BZ$246,0)/$G$246*G182</f>
        <v>1031211.1165892768</v>
      </c>
      <c r="CA182" s="17">
        <f t="shared" si="159"/>
        <v>104363.91862033831</v>
      </c>
      <c r="CB182" s="17">
        <f t="shared" si="160"/>
        <v>6937.5787977637583</v>
      </c>
      <c r="CC182" s="17">
        <f>SUMIF('20.01'!$AO:$AO,$B:$B,'20.01'!$D:$D)*1.2</f>
        <v>0</v>
      </c>
      <c r="CD182" s="17">
        <f t="shared" si="161"/>
        <v>108912.94096639572</v>
      </c>
      <c r="CE182" s="17">
        <f>SUMIF('20.01'!$AQ:$AQ,$B:$B,'20.01'!$D:$D)*1.2</f>
        <v>0</v>
      </c>
      <c r="CF182" s="17">
        <f t="shared" si="162"/>
        <v>9909.355935769885</v>
      </c>
      <c r="CG182" s="17">
        <f>SUMIF('20.01'!$AR:$AR,$B:$B,'20.01'!$D:$D)*1.2</f>
        <v>0</v>
      </c>
      <c r="CH182" s="17">
        <f t="shared" si="163"/>
        <v>5835.8916113017649</v>
      </c>
      <c r="CI182" s="17">
        <f>SUMIF('20.01'!$AT:$AT,$B:$B,'20.01'!$D:$D)*1.2</f>
        <v>0</v>
      </c>
      <c r="CJ182" s="17">
        <f>SUMIF('20.01'!$AU:$AU,$B:$B,'20.01'!$D:$D)*1.2</f>
        <v>0</v>
      </c>
      <c r="CK182" s="17">
        <f>SUMIF('20.01'!$AV:$AV,$B:$B,'20.01'!$D:$D)*1.2</f>
        <v>0</v>
      </c>
      <c r="CL182" s="17">
        <f t="shared" si="164"/>
        <v>5777.3452696064214</v>
      </c>
      <c r="CM182" s="17">
        <f>SUMIF('20.01'!$AW:$AW,$B:$B,'20.01'!$D:$D)*1.2</f>
        <v>7200</v>
      </c>
      <c r="CN182" s="17">
        <f>SUMIF('20.01'!$AX:$AX,$B:$B,'20.01'!$D:$D)*1.2</f>
        <v>16200</v>
      </c>
      <c r="CO182" s="110">
        <f t="shared" si="209"/>
        <v>1938076.4526741945</v>
      </c>
      <c r="CP182" s="17">
        <f t="shared" si="210"/>
        <v>1528834.8990418557</v>
      </c>
      <c r="CQ182" s="17">
        <f t="shared" si="165"/>
        <v>471666.60257359222</v>
      </c>
      <c r="CR182" s="17">
        <f t="shared" si="166"/>
        <v>1057168.2964682635</v>
      </c>
      <c r="CS182" s="17">
        <f t="shared" si="211"/>
        <v>409241.55363233876</v>
      </c>
      <c r="CT182" s="17">
        <f t="shared" si="167"/>
        <v>14909.02879608132</v>
      </c>
      <c r="CU182" s="17">
        <f t="shared" si="168"/>
        <v>14420.51206667822</v>
      </c>
      <c r="CV182" s="17">
        <f t="shared" si="169"/>
        <v>14903.914396350849</v>
      </c>
      <c r="CW182" s="17">
        <f t="shared" si="170"/>
        <v>156.28395232159738</v>
      </c>
      <c r="CX182" s="17">
        <f t="shared" si="171"/>
        <v>220063.51712249772</v>
      </c>
      <c r="CY182" s="17">
        <f t="shared" si="172"/>
        <v>144788.29729840902</v>
      </c>
      <c r="CZ182" s="110">
        <f t="shared" si="212"/>
        <v>481081.31277019472</v>
      </c>
      <c r="DA182" s="17">
        <f t="shared" si="213"/>
        <v>18172.552595534584</v>
      </c>
      <c r="DB182" s="17">
        <f t="shared" si="173"/>
        <v>17245.085796400443</v>
      </c>
      <c r="DC182" s="17">
        <f t="shared" si="174"/>
        <v>927.4667991341413</v>
      </c>
      <c r="DD182" s="17">
        <f t="shared" si="175"/>
        <v>32022.122219370398</v>
      </c>
      <c r="DE182" s="17">
        <f t="shared" si="176"/>
        <v>11048.475939874597</v>
      </c>
      <c r="DF182" s="17">
        <f t="shared" si="177"/>
        <v>13408.864774039335</v>
      </c>
      <c r="DG182" s="17">
        <f t="shared" si="214"/>
        <v>406429.29724137578</v>
      </c>
      <c r="DH182" s="110">
        <f t="shared" si="215"/>
        <v>300232.31990689348</v>
      </c>
      <c r="DI182" s="17">
        <f t="shared" si="178"/>
        <v>269320.6321096418</v>
      </c>
      <c r="DJ182" s="17">
        <f t="shared" si="179"/>
        <v>29785.279369703247</v>
      </c>
      <c r="DK182" s="17">
        <f t="shared" si="180"/>
        <v>1126.4084275484145</v>
      </c>
      <c r="DL182" s="110">
        <f t="shared" si="216"/>
        <v>2271900.0254440224</v>
      </c>
      <c r="DM182" s="17">
        <f t="shared" si="181"/>
        <v>945992.81654319575</v>
      </c>
      <c r="DN182" s="17">
        <f t="shared" si="182"/>
        <v>838899.29014207935</v>
      </c>
      <c r="DO182" s="17">
        <f t="shared" si="183"/>
        <v>487007.91875874717</v>
      </c>
      <c r="DP182" s="110">
        <f t="shared" si="217"/>
        <v>772076.55188292766</v>
      </c>
      <c r="DQ182" s="17">
        <f>SUMIF('20.01'!$BB:$BB,$B:$B,'20.01'!$D:$D)*1.2</f>
        <v>39361.571999999993</v>
      </c>
      <c r="DR182" s="17">
        <f t="shared" si="184"/>
        <v>727323.27458234015</v>
      </c>
      <c r="DS182" s="17">
        <f t="shared" si="185"/>
        <v>5391.7053005875059</v>
      </c>
      <c r="DT182" s="110">
        <f t="shared" si="218"/>
        <v>0</v>
      </c>
      <c r="DU182" s="17">
        <f>SUMIF('20.01'!$BD:$BD,$B:$B,'20.01'!$D:$D)*1.2</f>
        <v>0</v>
      </c>
      <c r="DV182" s="17">
        <f t="shared" si="186"/>
        <v>0</v>
      </c>
      <c r="DW182" s="17">
        <f t="shared" si="187"/>
        <v>0</v>
      </c>
      <c r="DX182" s="110">
        <f t="shared" si="188"/>
        <v>8226636.1061063306</v>
      </c>
      <c r="DY182" s="110"/>
      <c r="DZ182" s="110">
        <f t="shared" si="219"/>
        <v>8226636.1061063306</v>
      </c>
      <c r="EA182" s="257"/>
      <c r="EB182" s="110">
        <f t="shared" si="189"/>
        <v>0</v>
      </c>
      <c r="EC182" s="110">
        <f>SUMIF(еирц!$B:$B,$B:$B,еирц!$K:$K)</f>
        <v>7378171.4399999995</v>
      </c>
      <c r="ED182" s="110">
        <f>SUMIF(еирц!$B:$B,$B:$B,еирц!$P:$P)</f>
        <v>7412214.8699999992</v>
      </c>
      <c r="EE182" s="110">
        <f>SUMIF(еирц!$B:$B,$B:$B,еирц!$S:$S)</f>
        <v>1565335.77</v>
      </c>
      <c r="EF182" s="177">
        <f t="shared" si="220"/>
        <v>-848464.66610633116</v>
      </c>
      <c r="EG182" s="181">
        <f t="shared" si="221"/>
        <v>0</v>
      </c>
      <c r="EH182" s="177">
        <f t="shared" si="222"/>
        <v>-848464.66610633116</v>
      </c>
    </row>
    <row r="183" spans="1:138" ht="12" customHeight="1" x14ac:dyDescent="0.25">
      <c r="A183" s="5">
        <f t="shared" si="223"/>
        <v>179</v>
      </c>
      <c r="B183" s="6" t="s">
        <v>263</v>
      </c>
      <c r="C183" s="7">
        <f t="shared" si="226"/>
        <v>30188.099999999984</v>
      </c>
      <c r="D183" s="8">
        <v>27705.999999999985</v>
      </c>
      <c r="E183" s="8">
        <v>2482.1</v>
      </c>
      <c r="F183" s="8">
        <v>4990</v>
      </c>
      <c r="G183" s="91">
        <f t="shared" si="156"/>
        <v>30188.099999999984</v>
      </c>
      <c r="H183" s="87">
        <f t="shared" si="157"/>
        <v>0</v>
      </c>
      <c r="I183" s="91">
        <v>11</v>
      </c>
      <c r="J183" s="112">
        <v>4.7848287832292197E-2</v>
      </c>
      <c r="K183" s="17">
        <v>0</v>
      </c>
      <c r="L183" s="112">
        <f t="shared" si="190"/>
        <v>0</v>
      </c>
      <c r="M183" s="116">
        <v>3.4064172994825253</v>
      </c>
      <c r="N183" s="120">
        <f t="shared" si="191"/>
        <v>30188.099999999984</v>
      </c>
      <c r="O183" s="116">
        <v>3.0862321215163959</v>
      </c>
      <c r="P183" s="120">
        <f t="shared" si="192"/>
        <v>30188.099999999984</v>
      </c>
      <c r="Q183" s="116">
        <v>0</v>
      </c>
      <c r="R183" s="120">
        <f t="shared" si="193"/>
        <v>0</v>
      </c>
      <c r="S183" s="5" t="s">
        <v>143</v>
      </c>
      <c r="T183" s="87">
        <v>36.54</v>
      </c>
      <c r="U183" s="88">
        <v>4.03</v>
      </c>
      <c r="V183" s="88">
        <v>7</v>
      </c>
      <c r="W183" s="88">
        <v>11</v>
      </c>
      <c r="X183" s="88">
        <v>5.4</v>
      </c>
      <c r="Y183" s="88">
        <v>2.67</v>
      </c>
      <c r="Z183" s="88">
        <v>1.54</v>
      </c>
      <c r="AA183" s="88">
        <v>4.9000000000000004</v>
      </c>
      <c r="AB183" s="88">
        <v>0</v>
      </c>
      <c r="AC183" s="257"/>
      <c r="AD183" s="110">
        <f t="shared" si="194"/>
        <v>2234138.3530874401</v>
      </c>
      <c r="AE183" s="110">
        <f t="shared" si="195"/>
        <v>1697752.8677496756</v>
      </c>
      <c r="AF183" s="16">
        <f>SUMIF('20.01'!$I:$I,$B:$B,'20.01'!$D:$D)*1.2</f>
        <v>1178399.196</v>
      </c>
      <c r="AG183" s="17">
        <f t="shared" si="229"/>
        <v>80530.632497829138</v>
      </c>
      <c r="AH183" s="17">
        <f t="shared" si="196"/>
        <v>23051.602874978435</v>
      </c>
      <c r="AI183" s="16">
        <f>SUMIF('20.01'!$J:$J,$B:$B,'20.01'!$D:$D)*1.2</f>
        <v>0</v>
      </c>
      <c r="AJ183" s="17">
        <f t="shared" si="197"/>
        <v>9367.6531594674179</v>
      </c>
      <c r="AK183" s="17">
        <f t="shared" si="198"/>
        <v>22789.419068729807</v>
      </c>
      <c r="AL183" s="17">
        <f t="shared" si="199"/>
        <v>383614.36414867081</v>
      </c>
      <c r="AM183" s="110">
        <f t="shared" si="200"/>
        <v>0</v>
      </c>
      <c r="AN183" s="17">
        <f>SUMIF('20.01'!$K:$K,$B:$B,'20.01'!$D:$D)*1.2</f>
        <v>0</v>
      </c>
      <c r="AO183" s="17">
        <f>SUMIF('20.01'!$L:$L,$B:$B,'20.01'!$D:$D)*1.2</f>
        <v>0</v>
      </c>
      <c r="AP183" s="17">
        <f>SUMIF('20.01'!$M:$M,$B:$B,'20.01'!$D:$D)*1.2</f>
        <v>0</v>
      </c>
      <c r="AQ183" s="110">
        <f t="shared" si="201"/>
        <v>8480.2013377649</v>
      </c>
      <c r="AR183" s="17">
        <f t="shared" si="202"/>
        <v>8480.2013377649</v>
      </c>
      <c r="AS183" s="17">
        <f>(SUMIF('20.01'!$N:$N,$B:$B,'20.01'!$D:$D)+SUMIF('20.01'!$O:$O,$B:$B,'20.01'!$D:$D))*1.2</f>
        <v>0</v>
      </c>
      <c r="AT183" s="110">
        <f>SUMIF('20.01'!$P:$P,$B:$B,'20.01'!$D:$D)*1.2</f>
        <v>0</v>
      </c>
      <c r="AU183" s="110">
        <f t="shared" si="203"/>
        <v>0</v>
      </c>
      <c r="AV183" s="17">
        <f>SUMIF('20.01'!$Q:$Q,$B:$B,'20.01'!$D:$D)*1.2</f>
        <v>0</v>
      </c>
      <c r="AW183" s="17">
        <f>SUMIF('20.01'!$R:$R,$B:$B,'20.01'!$D:$D)*1.2</f>
        <v>0</v>
      </c>
      <c r="AX183" s="110">
        <f t="shared" si="204"/>
        <v>47402.16</v>
      </c>
      <c r="AY183" s="17">
        <f>SUMIF('20.01'!$S:$S,$B:$B,'20.01'!$D:$D)*1.2</f>
        <v>47402.16</v>
      </c>
      <c r="AZ183" s="17">
        <f>SUMIF('20.01'!$T:$T,$B:$B,'20.01'!$D:$D)*1.2</f>
        <v>0</v>
      </c>
      <c r="BA183" s="110">
        <f t="shared" si="205"/>
        <v>78596.399999999994</v>
      </c>
      <c r="BB183" s="17">
        <f>SUMIF('20.01'!$U:$U,$B:$B,'20.01'!$D:$D)*1.2</f>
        <v>78596.399999999994</v>
      </c>
      <c r="BC183" s="17">
        <f>SUMIF('20.01'!$V:$V,$B:$B,'20.01'!$D:$D)*1.2</f>
        <v>0</v>
      </c>
      <c r="BD183" s="17">
        <f>SUMIF('20.01'!$W:$W,$B:$B,'20.01'!$D:$D)*1.2</f>
        <v>0</v>
      </c>
      <c r="BE183" s="110">
        <f>SUMIF('20.01'!$X:$X,$B:$B,'20.01'!$D:$D)*1.2</f>
        <v>0</v>
      </c>
      <c r="BF183" s="110">
        <f t="shared" si="206"/>
        <v>300682.98</v>
      </c>
      <c r="BG183" s="17">
        <f>SUMIF('20.01'!$Y:$Y,$B:$B,'20.01'!$D:$D)*1.2</f>
        <v>299482.98</v>
      </c>
      <c r="BH183" s="17">
        <f>SUMIF('20.01'!$Z:$Z,$B:$B,'20.01'!$D:$D)*1.2</f>
        <v>0</v>
      </c>
      <c r="BI183" s="17">
        <f>SUMIF('20.01'!$AA:$AA,$B:$B,'20.01'!$D:$D)*1.2</f>
        <v>0</v>
      </c>
      <c r="BJ183" s="17">
        <f>SUMIF('20.01'!$AB:$AB,$B:$B,'20.01'!$D:$D)*1.2</f>
        <v>0</v>
      </c>
      <c r="BK183" s="17">
        <f>SUMIF('20.01'!$AC:$AC,$B:$B,'20.01'!$D:$D)*1.2</f>
        <v>0</v>
      </c>
      <c r="BL183" s="17">
        <f>SUMIF('20.01'!$AD:$AD,$B:$B,'20.01'!$D:$D)*1.2</f>
        <v>1200</v>
      </c>
      <c r="BM183" s="110">
        <f t="shared" si="207"/>
        <v>0</v>
      </c>
      <c r="BN183" s="17">
        <f>SUMIF('20.01'!$AE:$AE,$B:$B,'20.01'!$D:$D)*1.2</f>
        <v>0</v>
      </c>
      <c r="BO183" s="17">
        <f>SUMIF('20.01'!$AF:$AF,$B:$B,'20.01'!$D:$D)*1.2</f>
        <v>0</v>
      </c>
      <c r="BP183" s="110">
        <f>SUMIF('20.01'!$AG:$AG,$B:$B,'20.01'!$D:$D)*1.2</f>
        <v>0</v>
      </c>
      <c r="BQ183" s="110">
        <f>SUMIF('20.01'!$AH:$AH,$B:$B,'20.01'!$D:$D)*1.2</f>
        <v>0</v>
      </c>
      <c r="BR183" s="110">
        <f>SUMIF('20.01'!$AI:$AI,$B:$B,'20.01'!$D:$D)*1.2</f>
        <v>0</v>
      </c>
      <c r="BS183" s="110">
        <f t="shared" si="208"/>
        <v>0</v>
      </c>
      <c r="BT183" s="17">
        <f>SUMIF('20.01'!$AJ:$AJ,$B:$B,'20.01'!$D:$D)*1.2</f>
        <v>0</v>
      </c>
      <c r="BU183" s="17">
        <f>SUMIF('20.01'!$AK:$AK,$B:$B,'20.01'!$D:$D)*1.2</f>
        <v>0</v>
      </c>
      <c r="BV183" s="110">
        <f>SUMIF('20.01'!$AL:$AL,$B:$B,'20.01'!$D:$D)*1.2</f>
        <v>0</v>
      </c>
      <c r="BW183" s="110">
        <f>SUMIF('20.01'!$AM:$AM,$B:$B,'20.01'!$D:$D)*1.2</f>
        <v>0</v>
      </c>
      <c r="BX183" s="110">
        <f>SUMIF('20.01'!$AN:$AN,$B:$B,'20.01'!$D:$D)*1.2</f>
        <v>101223.74399999999</v>
      </c>
      <c r="BY183" s="110">
        <f t="shared" si="158"/>
        <v>2290944.6427590051</v>
      </c>
      <c r="BZ183" s="17">
        <f t="shared" si="230"/>
        <v>1850054.0396339586</v>
      </c>
      <c r="CA183" s="17">
        <f t="shared" si="159"/>
        <v>187235.0735261598</v>
      </c>
      <c r="CB183" s="17">
        <f t="shared" si="160"/>
        <v>12446.428741510337</v>
      </c>
      <c r="CC183" s="17">
        <f>SUMIF('20.01'!$AO:$AO,$B:$B,'20.01'!$D:$D)*1.2</f>
        <v>0</v>
      </c>
      <c r="CD183" s="17">
        <f t="shared" si="161"/>
        <v>195396.29001453932</v>
      </c>
      <c r="CE183" s="17">
        <f>SUMIF('20.01'!$AQ:$AQ,$B:$B,'20.01'!$D:$D)*1.2</f>
        <v>0</v>
      </c>
      <c r="CF183" s="17">
        <f t="shared" si="162"/>
        <v>17777.973573226758</v>
      </c>
      <c r="CG183" s="17">
        <f>SUMIF('20.01'!$AR:$AR,$B:$B,'20.01'!$D:$D)*1.2</f>
        <v>0</v>
      </c>
      <c r="CH183" s="17">
        <f t="shared" si="163"/>
        <v>10469.936443339377</v>
      </c>
      <c r="CI183" s="17">
        <f>SUMIF('20.01'!$AT:$AT,$B:$B,'20.01'!$D:$D)*1.2</f>
        <v>0</v>
      </c>
      <c r="CJ183" s="17">
        <f>SUMIF('20.01'!$AU:$AU,$B:$B,'20.01'!$D:$D)*1.2</f>
        <v>0</v>
      </c>
      <c r="CK183" s="17">
        <f>SUMIF('20.01'!$AV:$AV,$B:$B,'20.01'!$D:$D)*1.2</f>
        <v>0</v>
      </c>
      <c r="CL183" s="17">
        <f t="shared" si="164"/>
        <v>10364.900826270481</v>
      </c>
      <c r="CM183" s="17">
        <f>SUMIF('20.01'!$AW:$AW,$B:$B,'20.01'!$D:$D)*1.2</f>
        <v>7200</v>
      </c>
      <c r="CN183" s="17">
        <f>SUMIF('20.01'!$AX:$AX,$B:$B,'20.01'!$D:$D)*1.2</f>
        <v>0</v>
      </c>
      <c r="CO183" s="110">
        <f t="shared" si="209"/>
        <v>3477024.357775073</v>
      </c>
      <c r="CP183" s="17">
        <f t="shared" si="210"/>
        <v>2742820.684731137</v>
      </c>
      <c r="CQ183" s="17">
        <f t="shared" si="165"/>
        <v>846197.92146718316</v>
      </c>
      <c r="CR183" s="17">
        <f t="shared" si="166"/>
        <v>1896622.7632639536</v>
      </c>
      <c r="CS183" s="17">
        <f t="shared" si="211"/>
        <v>734203.67304393603</v>
      </c>
      <c r="CT183" s="17">
        <f t="shared" si="167"/>
        <v>26747.683871405698</v>
      </c>
      <c r="CU183" s="17">
        <f t="shared" si="168"/>
        <v>25871.255820813858</v>
      </c>
      <c r="CV183" s="17">
        <f t="shared" si="169"/>
        <v>26738.508334282942</v>
      </c>
      <c r="CW183" s="17">
        <f t="shared" si="170"/>
        <v>280.3827001776707</v>
      </c>
      <c r="CX183" s="17">
        <f t="shared" si="171"/>
        <v>394807.03056723357</v>
      </c>
      <c r="CY183" s="17">
        <f t="shared" si="172"/>
        <v>259758.81175002223</v>
      </c>
      <c r="CZ183" s="110">
        <f t="shared" si="212"/>
        <v>863088.47118198487</v>
      </c>
      <c r="DA183" s="17">
        <f t="shared" si="213"/>
        <v>32602.639555543108</v>
      </c>
      <c r="DB183" s="17">
        <f t="shared" si="173"/>
        <v>30938.708988115071</v>
      </c>
      <c r="DC183" s="17">
        <f t="shared" si="174"/>
        <v>1663.9305674280374</v>
      </c>
      <c r="DD183" s="17">
        <f t="shared" si="175"/>
        <v>57449.590696367974</v>
      </c>
      <c r="DE183" s="17">
        <f t="shared" si="176"/>
        <v>19821.622571302047</v>
      </c>
      <c r="DF183" s="17">
        <f t="shared" si="177"/>
        <v>24056.300444244956</v>
      </c>
      <c r="DG183" s="17">
        <f t="shared" si="214"/>
        <v>729158.31791452679</v>
      </c>
      <c r="DH183" s="110">
        <f t="shared" si="215"/>
        <v>538634.62809590017</v>
      </c>
      <c r="DI183" s="17">
        <f t="shared" si="178"/>
        <v>483177.22275841801</v>
      </c>
      <c r="DJ183" s="17">
        <f t="shared" si="179"/>
        <v>53436.561663340886</v>
      </c>
      <c r="DK183" s="17">
        <f t="shared" si="180"/>
        <v>2020.8436741413511</v>
      </c>
      <c r="DL183" s="110">
        <f t="shared" si="216"/>
        <v>3202202.535602686</v>
      </c>
      <c r="DM183" s="17">
        <f t="shared" si="181"/>
        <v>1697167.3438694237</v>
      </c>
      <c r="DN183" s="17">
        <f t="shared" si="182"/>
        <v>1505035.1917332625</v>
      </c>
      <c r="DO183" s="17">
        <f t="shared" si="183"/>
        <v>0</v>
      </c>
      <c r="DP183" s="110">
        <f t="shared" si="217"/>
        <v>1368354.5994651928</v>
      </c>
      <c r="DQ183" s="17">
        <f>SUMIF('20.01'!$BB:$BB,$B:$B,'20.01'!$D:$D)*1.2</f>
        <v>46879.667999999998</v>
      </c>
      <c r="DR183" s="17">
        <f t="shared" si="184"/>
        <v>1311750.8182858597</v>
      </c>
      <c r="DS183" s="17">
        <f t="shared" si="185"/>
        <v>9724.1131793331369</v>
      </c>
      <c r="DT183" s="110">
        <f t="shared" si="218"/>
        <v>0</v>
      </c>
      <c r="DU183" s="17">
        <f>SUMIF('20.01'!$BD:$BD,$B:$B,'20.01'!$D:$D)*1.2</f>
        <v>0</v>
      </c>
      <c r="DV183" s="17">
        <f t="shared" si="186"/>
        <v>0</v>
      </c>
      <c r="DW183" s="17">
        <f t="shared" si="187"/>
        <v>0</v>
      </c>
      <c r="DX183" s="110">
        <f t="shared" si="188"/>
        <v>13974387.587967282</v>
      </c>
      <c r="DY183" s="110"/>
      <c r="DZ183" s="110">
        <f t="shared" si="219"/>
        <v>13974387.587967282</v>
      </c>
      <c r="EA183" s="257"/>
      <c r="EB183" s="110">
        <f t="shared" si="189"/>
        <v>0</v>
      </c>
      <c r="EC183" s="110">
        <f>SUMIF(еирц!$B:$B,$B:$B,еирц!$K:$K)</f>
        <v>12094116.51</v>
      </c>
      <c r="ED183" s="110">
        <f>SUMIF(еирц!$B:$B,$B:$B,еирц!$P:$P)</f>
        <v>12045561.010000002</v>
      </c>
      <c r="EE183" s="110">
        <f>SUMIF(еирц!$B:$B,$B:$B,еирц!$S:$S)</f>
        <v>6882574.4000000004</v>
      </c>
      <c r="EF183" s="177">
        <f t="shared" si="220"/>
        <v>-1880271.0779672824</v>
      </c>
      <c r="EG183" s="181">
        <f t="shared" si="221"/>
        <v>0</v>
      </c>
      <c r="EH183" s="177">
        <f t="shared" si="222"/>
        <v>-1880271.0779672824</v>
      </c>
    </row>
    <row r="184" spans="1:138" ht="12" customHeight="1" x14ac:dyDescent="0.25">
      <c r="A184" s="5">
        <f t="shared" si="223"/>
        <v>180</v>
      </c>
      <c r="B184" s="6" t="s">
        <v>264</v>
      </c>
      <c r="C184" s="7">
        <f t="shared" si="226"/>
        <v>5090.8</v>
      </c>
      <c r="D184" s="8">
        <v>3431.6</v>
      </c>
      <c r="E184" s="8">
        <v>1659.2</v>
      </c>
      <c r="F184" s="8">
        <v>577.9</v>
      </c>
      <c r="G184" s="87">
        <f t="shared" si="156"/>
        <v>5090.8</v>
      </c>
      <c r="H184" s="87">
        <f t="shared" si="157"/>
        <v>5090.8</v>
      </c>
      <c r="I184" s="91">
        <v>2</v>
      </c>
      <c r="J184" s="112">
        <v>7.994880119982492E-3</v>
      </c>
      <c r="K184" s="17">
        <v>1</v>
      </c>
      <c r="L184" s="112">
        <f t="shared" si="190"/>
        <v>2.4096385542168672E-3</v>
      </c>
      <c r="M184" s="116">
        <v>3.4064192320534223</v>
      </c>
      <c r="N184" s="120">
        <f t="shared" si="191"/>
        <v>5090.8</v>
      </c>
      <c r="O184" s="116">
        <v>3.0862339664146132</v>
      </c>
      <c r="P184" s="120">
        <f t="shared" si="192"/>
        <v>5090.8</v>
      </c>
      <c r="Q184" s="116">
        <v>1.6009263281940489</v>
      </c>
      <c r="R184" s="120">
        <f t="shared" si="193"/>
        <v>5090.8</v>
      </c>
      <c r="S184" s="5" t="s">
        <v>143</v>
      </c>
      <c r="T184" s="87">
        <v>41.34</v>
      </c>
      <c r="U184" s="88">
        <v>4.68</v>
      </c>
      <c r="V184" s="88">
        <v>7.92</v>
      </c>
      <c r="W184" s="88">
        <v>12.32</v>
      </c>
      <c r="X184" s="88">
        <v>6.34</v>
      </c>
      <c r="Y184" s="88">
        <v>2.89</v>
      </c>
      <c r="Z184" s="88">
        <v>1.66</v>
      </c>
      <c r="AA184" s="88">
        <v>5.29</v>
      </c>
      <c r="AB184" s="88">
        <v>0.24</v>
      </c>
      <c r="AC184" s="257"/>
      <c r="AD184" s="110">
        <f t="shared" si="194"/>
        <v>292179.86147551995</v>
      </c>
      <c r="AE184" s="110">
        <f t="shared" si="195"/>
        <v>132465.12636396626</v>
      </c>
      <c r="AF184" s="16">
        <f>SUMIF('20.01'!$I:$I,$B:$B,'20.01'!$D:$D)*1.2</f>
        <v>44883.407999999996</v>
      </c>
      <c r="AG184" s="17">
        <f t="shared" si="229"/>
        <v>13580.362590555509</v>
      </c>
      <c r="AH184" s="17">
        <f t="shared" si="196"/>
        <v>3887.3297728555381</v>
      </c>
      <c r="AI184" s="16">
        <f>SUMIF('20.01'!$J:$J,$B:$B,'20.01'!$D:$D)*1.2</f>
        <v>0</v>
      </c>
      <c r="AJ184" s="17">
        <f t="shared" si="197"/>
        <v>1579.7234242703832</v>
      </c>
      <c r="AK184" s="17">
        <f t="shared" si="198"/>
        <v>3843.116148253443</v>
      </c>
      <c r="AL184" s="17">
        <f t="shared" si="199"/>
        <v>64691.186428031397</v>
      </c>
      <c r="AM184" s="110">
        <f t="shared" si="200"/>
        <v>158284.66800000001</v>
      </c>
      <c r="AN184" s="17">
        <f>SUMIF('20.01'!$K:$K,$B:$B,'20.01'!$D:$D)*1.2</f>
        <v>158284.66800000001</v>
      </c>
      <c r="AO184" s="17">
        <f>SUMIF('20.01'!$L:$L,$B:$B,'20.01'!$D:$D)*1.2</f>
        <v>0</v>
      </c>
      <c r="AP184" s="17">
        <f>SUMIF('20.01'!$M:$M,$B:$B,'20.01'!$D:$D)*1.2</f>
        <v>0</v>
      </c>
      <c r="AQ184" s="110">
        <f t="shared" si="201"/>
        <v>1430.0671115536777</v>
      </c>
      <c r="AR184" s="17">
        <f t="shared" si="202"/>
        <v>1430.0671115536777</v>
      </c>
      <c r="AS184" s="17">
        <f>(SUMIF('20.01'!$N:$N,$B:$B,'20.01'!$D:$D)+SUMIF('20.01'!$O:$O,$B:$B,'20.01'!$D:$D))*1.2</f>
        <v>0</v>
      </c>
      <c r="AT184" s="110">
        <f>SUMIF('20.01'!$P:$P,$B:$B,'20.01'!$D:$D)*1.2</f>
        <v>0</v>
      </c>
      <c r="AU184" s="110">
        <f t="shared" si="203"/>
        <v>0</v>
      </c>
      <c r="AV184" s="17">
        <f>SUMIF('20.01'!$Q:$Q,$B:$B,'20.01'!$D:$D)*1.2</f>
        <v>0</v>
      </c>
      <c r="AW184" s="17">
        <f>SUMIF('20.01'!$R:$R,$B:$B,'20.01'!$D:$D)*1.2</f>
        <v>0</v>
      </c>
      <c r="AX184" s="110">
        <f t="shared" si="204"/>
        <v>0</v>
      </c>
      <c r="AY184" s="17">
        <f>SUMIF('20.01'!$S:$S,$B:$B,'20.01'!$D:$D)*1.2</f>
        <v>0</v>
      </c>
      <c r="AZ184" s="17">
        <f>SUMIF('20.01'!$T:$T,$B:$B,'20.01'!$D:$D)*1.2</f>
        <v>0</v>
      </c>
      <c r="BA184" s="110">
        <f t="shared" si="205"/>
        <v>0</v>
      </c>
      <c r="BB184" s="17">
        <f>SUMIF('20.01'!$U:$U,$B:$B,'20.01'!$D:$D)*1.2</f>
        <v>0</v>
      </c>
      <c r="BC184" s="17">
        <f>SUMIF('20.01'!$V:$V,$B:$B,'20.01'!$D:$D)*1.2</f>
        <v>0</v>
      </c>
      <c r="BD184" s="17">
        <f>SUMIF('20.01'!$W:$W,$B:$B,'20.01'!$D:$D)*1.2</f>
        <v>0</v>
      </c>
      <c r="BE184" s="110">
        <f>SUMIF('20.01'!$X:$X,$B:$B,'20.01'!$D:$D)*1.2</f>
        <v>0</v>
      </c>
      <c r="BF184" s="110">
        <f t="shared" si="206"/>
        <v>0</v>
      </c>
      <c r="BG184" s="17">
        <f>SUMIF('20.01'!$Y:$Y,$B:$B,'20.01'!$D:$D)*1.2</f>
        <v>0</v>
      </c>
      <c r="BH184" s="17">
        <f>SUMIF('20.01'!$Z:$Z,$B:$B,'20.01'!$D:$D)*1.2</f>
        <v>0</v>
      </c>
      <c r="BI184" s="17">
        <f>SUMIF('20.01'!$AA:$AA,$B:$B,'20.01'!$D:$D)*1.2</f>
        <v>0</v>
      </c>
      <c r="BJ184" s="17">
        <f>SUMIF('20.01'!$AB:$AB,$B:$B,'20.01'!$D:$D)*1.2</f>
        <v>0</v>
      </c>
      <c r="BK184" s="17">
        <f>SUMIF('20.01'!$AC:$AC,$B:$B,'20.01'!$D:$D)*1.2</f>
        <v>0</v>
      </c>
      <c r="BL184" s="17">
        <f>SUMIF('20.01'!$AD:$AD,$B:$B,'20.01'!$D:$D)*1.2</f>
        <v>0</v>
      </c>
      <c r="BM184" s="110">
        <f t="shared" si="207"/>
        <v>0</v>
      </c>
      <c r="BN184" s="17">
        <f>SUMIF('20.01'!$AE:$AE,$B:$B,'20.01'!$D:$D)*1.2</f>
        <v>0</v>
      </c>
      <c r="BO184" s="17">
        <f>SUMIF('20.01'!$AF:$AF,$B:$B,'20.01'!$D:$D)*1.2</f>
        <v>0</v>
      </c>
      <c r="BP184" s="110">
        <f>SUMIF('20.01'!$AG:$AG,$B:$B,'20.01'!$D:$D)*1.2</f>
        <v>0</v>
      </c>
      <c r="BQ184" s="110">
        <f>SUMIF('20.01'!$AH:$AH,$B:$B,'20.01'!$D:$D)*1.2</f>
        <v>0</v>
      </c>
      <c r="BR184" s="110">
        <f>SUMIF('20.01'!$AI:$AI,$B:$B,'20.01'!$D:$D)*1.2</f>
        <v>0</v>
      </c>
      <c r="BS184" s="110">
        <f t="shared" si="208"/>
        <v>0</v>
      </c>
      <c r="BT184" s="17">
        <f>SUMIF('20.01'!$AJ:$AJ,$B:$B,'20.01'!$D:$D)*1.2</f>
        <v>0</v>
      </c>
      <c r="BU184" s="17">
        <f>SUMIF('20.01'!$AK:$AK,$B:$B,'20.01'!$D:$D)*1.2</f>
        <v>0</v>
      </c>
      <c r="BV184" s="110">
        <f>SUMIF('20.01'!$AL:$AL,$B:$B,'20.01'!$D:$D)*1.2</f>
        <v>0</v>
      </c>
      <c r="BW184" s="110">
        <f>SUMIF('20.01'!$AM:$AM,$B:$B,'20.01'!$D:$D)*1.2</f>
        <v>0</v>
      </c>
      <c r="BX184" s="110">
        <f>SUMIF('20.01'!$AN:$AN,$B:$B,'20.01'!$D:$D)*1.2</f>
        <v>0</v>
      </c>
      <c r="BY184" s="110">
        <f t="shared" si="158"/>
        <v>385121.52892555506</v>
      </c>
      <c r="BZ184" s="17">
        <f t="shared" si="230"/>
        <v>311985.68657744484</v>
      </c>
      <c r="CA184" s="17">
        <f t="shared" si="159"/>
        <v>31574.571182253101</v>
      </c>
      <c r="CB184" s="17">
        <f t="shared" si="160"/>
        <v>2098.9157793064437</v>
      </c>
      <c r="CC184" s="17">
        <f>SUMIF('20.01'!$AO:$AO,$B:$B,'20.01'!$D:$D)*1.2</f>
        <v>0</v>
      </c>
      <c r="CD184" s="17">
        <f t="shared" si="161"/>
        <v>32950.845969306363</v>
      </c>
      <c r="CE184" s="17">
        <f>SUMIF('20.01'!$AQ:$AQ,$B:$B,'20.01'!$D:$D)*1.2</f>
        <v>0</v>
      </c>
      <c r="CF184" s="17">
        <f t="shared" si="162"/>
        <v>2998.0060973225486</v>
      </c>
      <c r="CG184" s="17">
        <f>SUMIF('20.01'!$AR:$AR,$B:$B,'20.01'!$D:$D)*1.2</f>
        <v>0</v>
      </c>
      <c r="CH184" s="17">
        <f t="shared" si="163"/>
        <v>1765.6080523700441</v>
      </c>
      <c r="CI184" s="17">
        <f>SUMIF('20.01'!$AT:$AT,$B:$B,'20.01'!$D:$D)*1.2</f>
        <v>0</v>
      </c>
      <c r="CJ184" s="17">
        <f>SUMIF('20.01'!$AU:$AU,$B:$B,'20.01'!$D:$D)*1.2</f>
        <v>0</v>
      </c>
      <c r="CK184" s="17">
        <f>SUMIF('20.01'!$AV:$AV,$B:$B,'20.01'!$D:$D)*1.2</f>
        <v>0</v>
      </c>
      <c r="CL184" s="17">
        <f t="shared" si="164"/>
        <v>1747.8952675517107</v>
      </c>
      <c r="CM184" s="17">
        <f>SUMIF('20.01'!$AW:$AW,$B:$B,'20.01'!$D:$D)*1.2</f>
        <v>0</v>
      </c>
      <c r="CN184" s="17">
        <f>SUMIF('20.01'!$AX:$AX,$B:$B,'20.01'!$D:$D)*1.2</f>
        <v>0</v>
      </c>
      <c r="CO184" s="110">
        <f t="shared" si="209"/>
        <v>586351.42988665565</v>
      </c>
      <c r="CP184" s="17">
        <f t="shared" si="210"/>
        <v>462538.26977614616</v>
      </c>
      <c r="CQ184" s="17">
        <f t="shared" si="165"/>
        <v>142699.4205864277</v>
      </c>
      <c r="CR184" s="17">
        <f t="shared" si="166"/>
        <v>319838.84918971849</v>
      </c>
      <c r="CS184" s="17">
        <f t="shared" si="211"/>
        <v>123813.16011050949</v>
      </c>
      <c r="CT184" s="17">
        <f t="shared" si="167"/>
        <v>4510.6220349260866</v>
      </c>
      <c r="CU184" s="17">
        <f t="shared" si="168"/>
        <v>4362.8247267167944</v>
      </c>
      <c r="CV184" s="17">
        <f t="shared" si="169"/>
        <v>4509.0747091790363</v>
      </c>
      <c r="CW184" s="17">
        <f t="shared" si="170"/>
        <v>47.282613018523421</v>
      </c>
      <c r="CX184" s="17">
        <f t="shared" si="171"/>
        <v>66578.672762170318</v>
      </c>
      <c r="CY184" s="17">
        <f t="shared" si="172"/>
        <v>43804.683264498723</v>
      </c>
      <c r="CZ184" s="110">
        <f t="shared" si="212"/>
        <v>145547.77508664841</v>
      </c>
      <c r="DA184" s="17">
        <f t="shared" si="213"/>
        <v>5497.9782579678404</v>
      </c>
      <c r="DB184" s="17">
        <f t="shared" si="173"/>
        <v>5217.3796865883014</v>
      </c>
      <c r="DC184" s="17">
        <f t="shared" si="174"/>
        <v>280.59857137953884</v>
      </c>
      <c r="DD184" s="17">
        <f t="shared" si="175"/>
        <v>9688.0683553145191</v>
      </c>
      <c r="DE184" s="17">
        <f t="shared" si="176"/>
        <v>3342.6388605438738</v>
      </c>
      <c r="DF184" s="17">
        <f t="shared" si="177"/>
        <v>4056.7579377821821</v>
      </c>
      <c r="DG184" s="17">
        <f t="shared" si="214"/>
        <v>122962.33167504001</v>
      </c>
      <c r="DH184" s="110">
        <f t="shared" si="215"/>
        <v>90833.181442707908</v>
      </c>
      <c r="DI184" s="17">
        <f t="shared" si="178"/>
        <v>81481.067229092121</v>
      </c>
      <c r="DJ184" s="17">
        <f t="shared" si="179"/>
        <v>9011.3272486753358</v>
      </c>
      <c r="DK184" s="17">
        <f t="shared" si="180"/>
        <v>340.78696494044993</v>
      </c>
      <c r="DL184" s="110">
        <f t="shared" si="216"/>
        <v>687347.40914917528</v>
      </c>
      <c r="DM184" s="17">
        <f t="shared" si="181"/>
        <v>286203.48793632147</v>
      </c>
      <c r="DN184" s="17">
        <f t="shared" si="182"/>
        <v>253803.09307560587</v>
      </c>
      <c r="DO184" s="17">
        <f t="shared" si="183"/>
        <v>147340.82813724797</v>
      </c>
      <c r="DP184" s="110">
        <f t="shared" si="217"/>
        <v>226815.35255943623</v>
      </c>
      <c r="DQ184" s="17">
        <f>SUMIF('20.01'!$BB:$BB,$B:$B,'20.01'!$D:$D)*1.2</f>
        <v>6012.5999999999995</v>
      </c>
      <c r="DR184" s="17">
        <f t="shared" si="184"/>
        <v>219177.96883855577</v>
      </c>
      <c r="DS184" s="17">
        <f t="shared" si="185"/>
        <v>1624.7837208804451</v>
      </c>
      <c r="DT184" s="110">
        <f t="shared" si="218"/>
        <v>7680.8519999999999</v>
      </c>
      <c r="DU184" s="17">
        <f>SUMIF('20.01'!$BD:$BD,$B:$B,'20.01'!$D:$D)*1.2</f>
        <v>7680.8519999999999</v>
      </c>
      <c r="DV184" s="17">
        <f t="shared" si="186"/>
        <v>0</v>
      </c>
      <c r="DW184" s="17">
        <f t="shared" si="187"/>
        <v>0</v>
      </c>
      <c r="DX184" s="110">
        <f t="shared" si="188"/>
        <v>2421877.3905256982</v>
      </c>
      <c r="DY184" s="110"/>
      <c r="DZ184" s="110">
        <f t="shared" si="219"/>
        <v>2421877.3905256982</v>
      </c>
      <c r="EA184" s="257"/>
      <c r="EB184" s="110">
        <f t="shared" si="189"/>
        <v>886.55421686746979</v>
      </c>
      <c r="EC184" s="110">
        <f>SUMIF(еирц!$B:$B,$B:$B,еирц!$K:$K)</f>
        <v>1670632.03</v>
      </c>
      <c r="ED184" s="110">
        <f>SUMIF(еирц!$B:$B,$B:$B,еирц!$P:$P)</f>
        <v>1567712.2799999998</v>
      </c>
      <c r="EE184" s="110">
        <f>SUMIF(еирц!$B:$B,$B:$B,еирц!$S:$S)</f>
        <v>506801.55</v>
      </c>
      <c r="EF184" s="177">
        <f t="shared" si="220"/>
        <v>-750358.80630883062</v>
      </c>
      <c r="EG184" s="181">
        <f t="shared" si="221"/>
        <v>0</v>
      </c>
      <c r="EH184" s="177">
        <f t="shared" si="222"/>
        <v>-750358.80630883062</v>
      </c>
    </row>
    <row r="185" spans="1:138" ht="12" customHeight="1" x14ac:dyDescent="0.25">
      <c r="A185" s="5">
        <f t="shared" si="223"/>
        <v>181</v>
      </c>
      <c r="B185" s="6" t="s">
        <v>265</v>
      </c>
      <c r="C185" s="7">
        <f t="shared" si="226"/>
        <v>3571.9999999999991</v>
      </c>
      <c r="D185" s="8">
        <v>3571.9999999999991</v>
      </c>
      <c r="E185" s="8">
        <v>0</v>
      </c>
      <c r="F185" s="8">
        <v>577.9</v>
      </c>
      <c r="G185" s="87">
        <f t="shared" si="156"/>
        <v>3571.9999999999991</v>
      </c>
      <c r="H185" s="87">
        <f t="shared" si="157"/>
        <v>3571.9999999999991</v>
      </c>
      <c r="I185" s="91">
        <v>2</v>
      </c>
      <c r="J185" s="112">
        <v>5.6693151558698304E-3</v>
      </c>
      <c r="K185" s="17">
        <v>1</v>
      </c>
      <c r="L185" s="112">
        <f t="shared" si="190"/>
        <v>2.4096385542168672E-3</v>
      </c>
      <c r="M185" s="116">
        <v>3.4064188793175085</v>
      </c>
      <c r="N185" s="120">
        <f t="shared" si="191"/>
        <v>3571.9999999999991</v>
      </c>
      <c r="O185" s="116">
        <v>3.0862313270365345</v>
      </c>
      <c r="P185" s="120">
        <f t="shared" si="192"/>
        <v>3571.9999999999991</v>
      </c>
      <c r="Q185" s="116">
        <v>1.6009286541284657</v>
      </c>
      <c r="R185" s="120">
        <f t="shared" si="193"/>
        <v>3571.9999999999991</v>
      </c>
      <c r="S185" s="5" t="s">
        <v>143</v>
      </c>
      <c r="T185" s="87">
        <v>41.34</v>
      </c>
      <c r="U185" s="88">
        <v>4.68</v>
      </c>
      <c r="V185" s="88">
        <v>7.92</v>
      </c>
      <c r="W185" s="88">
        <v>12.32</v>
      </c>
      <c r="X185" s="88">
        <v>6.34</v>
      </c>
      <c r="Y185" s="88">
        <v>2.89</v>
      </c>
      <c r="Z185" s="88">
        <v>1.66</v>
      </c>
      <c r="AA185" s="88">
        <v>5.29</v>
      </c>
      <c r="AB185" s="88">
        <v>0.24</v>
      </c>
      <c r="AC185" s="257"/>
      <c r="AD185" s="110">
        <f t="shared" si="194"/>
        <v>112175.88981946987</v>
      </c>
      <c r="AE185" s="110">
        <f t="shared" si="195"/>
        <v>111172.47194360169</v>
      </c>
      <c r="AF185" s="16">
        <f>SUMIF('20.01'!$I:$I,$B:$B,'20.01'!$D:$D)*1.2</f>
        <v>49720.068000000007</v>
      </c>
      <c r="AG185" s="17">
        <f t="shared" si="229"/>
        <v>9528.7685969718441</v>
      </c>
      <c r="AH185" s="17">
        <f t="shared" si="196"/>
        <v>2727.5756165317785</v>
      </c>
      <c r="AI185" s="16">
        <f>SUMIF('20.01'!$J:$J,$B:$B,'20.01'!$D:$D)*1.2</f>
        <v>0</v>
      </c>
      <c r="AJ185" s="17">
        <f t="shared" si="197"/>
        <v>1108.4254088736166</v>
      </c>
      <c r="AK185" s="17">
        <f t="shared" si="198"/>
        <v>2696.5527778662085</v>
      </c>
      <c r="AL185" s="17">
        <f t="shared" si="199"/>
        <v>45391.081543358232</v>
      </c>
      <c r="AM185" s="110">
        <f t="shared" si="200"/>
        <v>0</v>
      </c>
      <c r="AN185" s="17">
        <f>SUMIF('20.01'!$K:$K,$B:$B,'20.01'!$D:$D)*1.2</f>
        <v>0</v>
      </c>
      <c r="AO185" s="17">
        <f>SUMIF('20.01'!$L:$L,$B:$B,'20.01'!$D:$D)*1.2</f>
        <v>0</v>
      </c>
      <c r="AP185" s="17">
        <f>SUMIF('20.01'!$M:$M,$B:$B,'20.01'!$D:$D)*1.2</f>
        <v>0</v>
      </c>
      <c r="AQ185" s="110">
        <f t="shared" si="201"/>
        <v>1003.4178758681808</v>
      </c>
      <c r="AR185" s="17">
        <f t="shared" si="202"/>
        <v>1003.4178758681808</v>
      </c>
      <c r="AS185" s="17">
        <f>(SUMIF('20.01'!$N:$N,$B:$B,'20.01'!$D:$D)+SUMIF('20.01'!$O:$O,$B:$B,'20.01'!$D:$D))*1.2</f>
        <v>0</v>
      </c>
      <c r="AT185" s="110">
        <f>SUMIF('20.01'!$P:$P,$B:$B,'20.01'!$D:$D)*1.2</f>
        <v>0</v>
      </c>
      <c r="AU185" s="110">
        <f t="shared" si="203"/>
        <v>0</v>
      </c>
      <c r="AV185" s="17">
        <f>SUMIF('20.01'!$Q:$Q,$B:$B,'20.01'!$D:$D)*1.2</f>
        <v>0</v>
      </c>
      <c r="AW185" s="17">
        <f>SUMIF('20.01'!$R:$R,$B:$B,'20.01'!$D:$D)*1.2</f>
        <v>0</v>
      </c>
      <c r="AX185" s="110">
        <f t="shared" si="204"/>
        <v>0</v>
      </c>
      <c r="AY185" s="17">
        <f>SUMIF('20.01'!$S:$S,$B:$B,'20.01'!$D:$D)*1.2</f>
        <v>0</v>
      </c>
      <c r="AZ185" s="17">
        <f>SUMIF('20.01'!$T:$T,$B:$B,'20.01'!$D:$D)*1.2</f>
        <v>0</v>
      </c>
      <c r="BA185" s="110">
        <f t="shared" si="205"/>
        <v>0</v>
      </c>
      <c r="BB185" s="17">
        <f>SUMIF('20.01'!$U:$U,$B:$B,'20.01'!$D:$D)*1.2</f>
        <v>0</v>
      </c>
      <c r="BC185" s="17">
        <f>SUMIF('20.01'!$V:$V,$B:$B,'20.01'!$D:$D)*1.2</f>
        <v>0</v>
      </c>
      <c r="BD185" s="17">
        <f>SUMIF('20.01'!$W:$W,$B:$B,'20.01'!$D:$D)*1.2</f>
        <v>0</v>
      </c>
      <c r="BE185" s="110">
        <f>SUMIF('20.01'!$X:$X,$B:$B,'20.01'!$D:$D)*1.2</f>
        <v>0</v>
      </c>
      <c r="BF185" s="110">
        <f t="shared" si="206"/>
        <v>0</v>
      </c>
      <c r="BG185" s="17">
        <f>SUMIF('20.01'!$Y:$Y,$B:$B,'20.01'!$D:$D)*1.2</f>
        <v>0</v>
      </c>
      <c r="BH185" s="17">
        <f>SUMIF('20.01'!$Z:$Z,$B:$B,'20.01'!$D:$D)*1.2</f>
        <v>0</v>
      </c>
      <c r="BI185" s="17">
        <f>SUMIF('20.01'!$AA:$AA,$B:$B,'20.01'!$D:$D)*1.2</f>
        <v>0</v>
      </c>
      <c r="BJ185" s="17">
        <f>SUMIF('20.01'!$AB:$AB,$B:$B,'20.01'!$D:$D)*1.2</f>
        <v>0</v>
      </c>
      <c r="BK185" s="17">
        <f>SUMIF('20.01'!$AC:$AC,$B:$B,'20.01'!$D:$D)*1.2</f>
        <v>0</v>
      </c>
      <c r="BL185" s="17">
        <f>SUMIF('20.01'!$AD:$AD,$B:$B,'20.01'!$D:$D)*1.2</f>
        <v>0</v>
      </c>
      <c r="BM185" s="110">
        <f t="shared" si="207"/>
        <v>0</v>
      </c>
      <c r="BN185" s="17">
        <f>SUMIF('20.01'!$AE:$AE,$B:$B,'20.01'!$D:$D)*1.2</f>
        <v>0</v>
      </c>
      <c r="BO185" s="17">
        <f>SUMIF('20.01'!$AF:$AF,$B:$B,'20.01'!$D:$D)*1.2</f>
        <v>0</v>
      </c>
      <c r="BP185" s="110">
        <f>SUMIF('20.01'!$AG:$AG,$B:$B,'20.01'!$D:$D)*1.2</f>
        <v>0</v>
      </c>
      <c r="BQ185" s="110">
        <f>SUMIF('20.01'!$AH:$AH,$B:$B,'20.01'!$D:$D)*1.2</f>
        <v>0</v>
      </c>
      <c r="BR185" s="110">
        <f>SUMIF('20.01'!$AI:$AI,$B:$B,'20.01'!$D:$D)*1.2</f>
        <v>0</v>
      </c>
      <c r="BS185" s="110">
        <f t="shared" si="208"/>
        <v>0</v>
      </c>
      <c r="BT185" s="17">
        <f>SUMIF('20.01'!$AJ:$AJ,$B:$B,'20.01'!$D:$D)*1.2</f>
        <v>0</v>
      </c>
      <c r="BU185" s="17">
        <f>SUMIF('20.01'!$AK:$AK,$B:$B,'20.01'!$D:$D)*1.2</f>
        <v>0</v>
      </c>
      <c r="BV185" s="110">
        <f>SUMIF('20.01'!$AL:$AL,$B:$B,'20.01'!$D:$D)*1.2</f>
        <v>0</v>
      </c>
      <c r="BW185" s="110">
        <f>SUMIF('20.01'!$AM:$AM,$B:$B,'20.01'!$D:$D)*1.2</f>
        <v>0</v>
      </c>
      <c r="BX185" s="110">
        <f>SUMIF('20.01'!$AN:$AN,$B:$B,'20.01'!$D:$D)*1.2</f>
        <v>0</v>
      </c>
      <c r="BY185" s="110">
        <f t="shared" si="158"/>
        <v>270223.56040741765</v>
      </c>
      <c r="BZ185" s="17">
        <f t="shared" si="230"/>
        <v>218907.21938686111</v>
      </c>
      <c r="CA185" s="17">
        <f t="shared" si="159"/>
        <v>22154.547077671101</v>
      </c>
      <c r="CB185" s="17">
        <f t="shared" si="160"/>
        <v>1472.7208225981408</v>
      </c>
      <c r="CC185" s="17">
        <f>SUMIF('20.01'!$AO:$AO,$B:$B,'20.01'!$D:$D)*1.2</f>
        <v>0</v>
      </c>
      <c r="CD185" s="17">
        <f t="shared" si="161"/>
        <v>23120.221144488547</v>
      </c>
      <c r="CE185" s="17">
        <f>SUMIF('20.01'!$AQ:$AQ,$B:$B,'20.01'!$D:$D)*1.2</f>
        <v>0</v>
      </c>
      <c r="CF185" s="17">
        <f t="shared" si="162"/>
        <v>2103.5746404565375</v>
      </c>
      <c r="CG185" s="17">
        <f>SUMIF('20.01'!$AR:$AR,$B:$B,'20.01'!$D:$D)*1.2</f>
        <v>0</v>
      </c>
      <c r="CH185" s="17">
        <f t="shared" si="163"/>
        <v>1238.8528253056093</v>
      </c>
      <c r="CI185" s="17">
        <f>SUMIF('20.01'!$AT:$AT,$B:$B,'20.01'!$D:$D)*1.2</f>
        <v>0</v>
      </c>
      <c r="CJ185" s="17">
        <f>SUMIF('20.01'!$AU:$AU,$B:$B,'20.01'!$D:$D)*1.2</f>
        <v>0</v>
      </c>
      <c r="CK185" s="17">
        <f>SUMIF('20.01'!$AV:$AV,$B:$B,'20.01'!$D:$D)*1.2</f>
        <v>0</v>
      </c>
      <c r="CL185" s="17">
        <f t="shared" si="164"/>
        <v>1226.4245100366757</v>
      </c>
      <c r="CM185" s="17">
        <f>SUMIF('20.01'!$AW:$AW,$B:$B,'20.01'!$D:$D)*1.2</f>
        <v>0</v>
      </c>
      <c r="CN185" s="17">
        <f>SUMIF('20.01'!$AX:$AX,$B:$B,'20.01'!$D:$D)*1.2</f>
        <v>0</v>
      </c>
      <c r="CO185" s="110">
        <f t="shared" si="209"/>
        <v>411418.10865780106</v>
      </c>
      <c r="CP185" s="17">
        <f t="shared" si="210"/>
        <v>324543.62764995557</v>
      </c>
      <c r="CQ185" s="17">
        <f t="shared" si="165"/>
        <v>100126.17473377851</v>
      </c>
      <c r="CR185" s="17">
        <f t="shared" si="166"/>
        <v>224417.45291617705</v>
      </c>
      <c r="CS185" s="17">
        <f t="shared" si="211"/>
        <v>86874.48100784549</v>
      </c>
      <c r="CT185" s="17">
        <f t="shared" si="167"/>
        <v>3164.9135516531742</v>
      </c>
      <c r="CU185" s="17">
        <f t="shared" si="168"/>
        <v>3061.2104038328721</v>
      </c>
      <c r="CV185" s="17">
        <f t="shared" si="169"/>
        <v>3163.8278583302258</v>
      </c>
      <c r="CW185" s="17">
        <f t="shared" si="170"/>
        <v>33.176218610467039</v>
      </c>
      <c r="CX185" s="17">
        <f t="shared" si="171"/>
        <v>46715.45122701193</v>
      </c>
      <c r="CY185" s="17">
        <f t="shared" si="172"/>
        <v>30735.90174840681</v>
      </c>
      <c r="CZ185" s="110">
        <f t="shared" si="212"/>
        <v>102124.745149978</v>
      </c>
      <c r="DA185" s="17">
        <f t="shared" si="213"/>
        <v>3857.6998384264007</v>
      </c>
      <c r="DB185" s="17">
        <f t="shared" si="173"/>
        <v>3660.8156361462652</v>
      </c>
      <c r="DC185" s="17">
        <f t="shared" si="174"/>
        <v>196.88420228013524</v>
      </c>
      <c r="DD185" s="17">
        <f t="shared" si="175"/>
        <v>6797.709626224455</v>
      </c>
      <c r="DE185" s="17">
        <f t="shared" si="176"/>
        <v>2345.3889388431512</v>
      </c>
      <c r="DF185" s="17">
        <f t="shared" si="177"/>
        <v>2846.4562256930049</v>
      </c>
      <c r="DG185" s="17">
        <f t="shared" si="214"/>
        <v>86277.490520790991</v>
      </c>
      <c r="DH185" s="110">
        <f t="shared" si="215"/>
        <v>63733.818675523013</v>
      </c>
      <c r="DI185" s="17">
        <f t="shared" si="178"/>
        <v>57171.833924396356</v>
      </c>
      <c r="DJ185" s="17">
        <f t="shared" si="179"/>
        <v>6322.8688874574318</v>
      </c>
      <c r="DK185" s="17">
        <f t="shared" si="180"/>
        <v>239.11586366922424</v>
      </c>
      <c r="DL185" s="110">
        <f t="shared" si="216"/>
        <v>482282.73463519558</v>
      </c>
      <c r="DM185" s="17">
        <f t="shared" si="181"/>
        <v>200816.93621995367</v>
      </c>
      <c r="DN185" s="17">
        <f t="shared" si="182"/>
        <v>178082.94344033627</v>
      </c>
      <c r="DO185" s="17">
        <f t="shared" si="183"/>
        <v>103382.85497490563</v>
      </c>
      <c r="DP185" s="110">
        <f t="shared" si="217"/>
        <v>162587.85475763219</v>
      </c>
      <c r="DQ185" s="17">
        <f>SUMIF('20.01'!$BB:$BB,$B:$B,'20.01'!$D:$D)*1.2</f>
        <v>6012.5999999999995</v>
      </c>
      <c r="DR185" s="17">
        <f t="shared" si="184"/>
        <v>155423.09101839425</v>
      </c>
      <c r="DS185" s="17">
        <f t="shared" si="185"/>
        <v>1152.1637392379382</v>
      </c>
      <c r="DT185" s="110">
        <f t="shared" si="218"/>
        <v>7965.3240000000005</v>
      </c>
      <c r="DU185" s="17">
        <f>SUMIF('20.01'!$BD:$BD,$B:$B,'20.01'!$D:$D)*1.2</f>
        <v>7965.3240000000005</v>
      </c>
      <c r="DV185" s="17">
        <f t="shared" si="186"/>
        <v>0</v>
      </c>
      <c r="DW185" s="17">
        <f t="shared" si="187"/>
        <v>0</v>
      </c>
      <c r="DX185" s="110">
        <f t="shared" si="188"/>
        <v>1612512.0361030174</v>
      </c>
      <c r="DY185" s="110">
        <f>EC185*EG185</f>
        <v>135163.50120966634</v>
      </c>
      <c r="DZ185" s="110">
        <f t="shared" si="219"/>
        <v>1747675.5373126836</v>
      </c>
      <c r="EA185" s="257"/>
      <c r="EB185" s="110">
        <f t="shared" si="189"/>
        <v>886.55421686746979</v>
      </c>
      <c r="EC185" s="110">
        <f>SUMIF(еирц!$B:$B,$B:$B,еирц!$K:$K)</f>
        <v>1737922.02</v>
      </c>
      <c r="ED185" s="110">
        <f>SUMIF(еирц!$B:$B,$B:$B,еирц!$P:$P)</f>
        <v>1756940.0299999998</v>
      </c>
      <c r="EE185" s="110">
        <f>SUMIF(еирц!$B:$B,$B:$B,еирц!$S:$S)</f>
        <v>786463.27</v>
      </c>
      <c r="EF185" s="177">
        <f t="shared" si="220"/>
        <v>126296.53811385017</v>
      </c>
      <c r="EG185" s="181">
        <f t="shared" si="221"/>
        <v>7.7773052906980444E-2</v>
      </c>
      <c r="EH185" s="177">
        <f t="shared" si="222"/>
        <v>-8866.9630958160851</v>
      </c>
    </row>
    <row r="186" spans="1:138" ht="12" customHeight="1" x14ac:dyDescent="0.25">
      <c r="A186" s="5">
        <f t="shared" si="223"/>
        <v>182</v>
      </c>
      <c r="B186" s="6" t="s">
        <v>266</v>
      </c>
      <c r="C186" s="7">
        <f t="shared" si="226"/>
        <v>5235.6000000000004</v>
      </c>
      <c r="D186" s="8">
        <v>5235.6000000000004</v>
      </c>
      <c r="E186" s="8">
        <v>0</v>
      </c>
      <c r="F186" s="8">
        <v>1025</v>
      </c>
      <c r="G186" s="91">
        <f t="shared" si="156"/>
        <v>5235.6000000000004</v>
      </c>
      <c r="H186" s="87">
        <f t="shared" si="157"/>
        <v>0</v>
      </c>
      <c r="I186" s="91">
        <v>2</v>
      </c>
      <c r="J186" s="112">
        <v>8.2206901346160727E-3</v>
      </c>
      <c r="K186" s="17">
        <v>1</v>
      </c>
      <c r="L186" s="112">
        <f t="shared" si="190"/>
        <v>2.4096385542168672E-3</v>
      </c>
      <c r="M186" s="116">
        <v>3.4064184148694343</v>
      </c>
      <c r="N186" s="120">
        <f t="shared" si="191"/>
        <v>5235.6000000000004</v>
      </c>
      <c r="O186" s="116">
        <v>3.0862337465854175</v>
      </c>
      <c r="P186" s="120">
        <f t="shared" si="192"/>
        <v>5235.6000000000004</v>
      </c>
      <c r="Q186" s="116">
        <v>1.6009275287015992</v>
      </c>
      <c r="R186" s="120">
        <f t="shared" si="193"/>
        <v>5235.6000000000004</v>
      </c>
      <c r="S186" s="5" t="s">
        <v>143</v>
      </c>
      <c r="T186" s="87">
        <v>41.1</v>
      </c>
      <c r="U186" s="88">
        <v>4.68</v>
      </c>
      <c r="V186" s="88">
        <v>7.92</v>
      </c>
      <c r="W186" s="88">
        <v>12.32</v>
      </c>
      <c r="X186" s="88">
        <v>6.34</v>
      </c>
      <c r="Y186" s="88">
        <v>2.89</v>
      </c>
      <c r="Z186" s="88">
        <v>1.66</v>
      </c>
      <c r="AA186" s="88">
        <v>5.29</v>
      </c>
      <c r="AB186" s="88">
        <v>0</v>
      </c>
      <c r="AC186" s="257"/>
      <c r="AD186" s="110">
        <f t="shared" si="194"/>
        <v>191249.89722676834</v>
      </c>
      <c r="AE186" s="110">
        <f t="shared" si="195"/>
        <v>110382.22204902605</v>
      </c>
      <c r="AF186" s="16">
        <f>SUMIF('20.01'!$I:$I,$B:$B,'20.01'!$D:$D)*1.2</f>
        <v>20309.376</v>
      </c>
      <c r="AG186" s="17">
        <f t="shared" si="229"/>
        <v>13966.635180936675</v>
      </c>
      <c r="AH186" s="17">
        <f t="shared" si="196"/>
        <v>3997.8989075906452</v>
      </c>
      <c r="AI186" s="16">
        <f>SUMIF('20.01'!$J:$J,$B:$B,'20.01'!$D:$D)*1.2</f>
        <v>0</v>
      </c>
      <c r="AJ186" s="17">
        <f t="shared" si="197"/>
        <v>1624.6562347980707</v>
      </c>
      <c r="AK186" s="17">
        <f t="shared" si="198"/>
        <v>3952.4276942318943</v>
      </c>
      <c r="AL186" s="17">
        <f t="shared" si="199"/>
        <v>66531.228031468767</v>
      </c>
      <c r="AM186" s="110">
        <f t="shared" si="200"/>
        <v>0</v>
      </c>
      <c r="AN186" s="17">
        <f>SUMIF('20.01'!$K:$K,$B:$B,'20.01'!$D:$D)*1.2</f>
        <v>0</v>
      </c>
      <c r="AO186" s="17">
        <f>SUMIF('20.01'!$L:$L,$B:$B,'20.01'!$D:$D)*1.2</f>
        <v>0</v>
      </c>
      <c r="AP186" s="17">
        <f>SUMIF('20.01'!$M:$M,$B:$B,'20.01'!$D:$D)*1.2</f>
        <v>0</v>
      </c>
      <c r="AQ186" s="110">
        <f t="shared" si="201"/>
        <v>1470.7431777422871</v>
      </c>
      <c r="AR186" s="17">
        <f t="shared" si="202"/>
        <v>1470.7431777422871</v>
      </c>
      <c r="AS186" s="17">
        <f>(SUMIF('20.01'!$N:$N,$B:$B,'20.01'!$D:$D)+SUMIF('20.01'!$O:$O,$B:$B,'20.01'!$D:$D))*1.2</f>
        <v>0</v>
      </c>
      <c r="AT186" s="110">
        <f>SUMIF('20.01'!$P:$P,$B:$B,'20.01'!$D:$D)*1.2</f>
        <v>0</v>
      </c>
      <c r="AU186" s="110">
        <f t="shared" si="203"/>
        <v>0</v>
      </c>
      <c r="AV186" s="17">
        <f>SUMIF('20.01'!$Q:$Q,$B:$B,'20.01'!$D:$D)*1.2</f>
        <v>0</v>
      </c>
      <c r="AW186" s="17">
        <f>SUMIF('20.01'!$R:$R,$B:$B,'20.01'!$D:$D)*1.2</f>
        <v>0</v>
      </c>
      <c r="AX186" s="110">
        <f t="shared" si="204"/>
        <v>79396.932000000001</v>
      </c>
      <c r="AY186" s="17">
        <f>SUMIF('20.01'!$S:$S,$B:$B,'20.01'!$D:$D)*1.2</f>
        <v>79396.932000000001</v>
      </c>
      <c r="AZ186" s="17">
        <f>SUMIF('20.01'!$T:$T,$B:$B,'20.01'!$D:$D)*1.2</f>
        <v>0</v>
      </c>
      <c r="BA186" s="110">
        <f t="shared" si="205"/>
        <v>0</v>
      </c>
      <c r="BB186" s="17">
        <f>SUMIF('20.01'!$U:$U,$B:$B,'20.01'!$D:$D)*1.2</f>
        <v>0</v>
      </c>
      <c r="BC186" s="17">
        <f>SUMIF('20.01'!$V:$V,$B:$B,'20.01'!$D:$D)*1.2</f>
        <v>0</v>
      </c>
      <c r="BD186" s="17">
        <f>SUMIF('20.01'!$W:$W,$B:$B,'20.01'!$D:$D)*1.2</f>
        <v>0</v>
      </c>
      <c r="BE186" s="110">
        <f>SUMIF('20.01'!$X:$X,$B:$B,'20.01'!$D:$D)*1.2</f>
        <v>0</v>
      </c>
      <c r="BF186" s="110">
        <f t="shared" si="206"/>
        <v>0</v>
      </c>
      <c r="BG186" s="17">
        <f>SUMIF('20.01'!$Y:$Y,$B:$B,'20.01'!$D:$D)*1.2</f>
        <v>0</v>
      </c>
      <c r="BH186" s="17">
        <f>SUMIF('20.01'!$Z:$Z,$B:$B,'20.01'!$D:$D)*1.2</f>
        <v>0</v>
      </c>
      <c r="BI186" s="17">
        <f>SUMIF('20.01'!$AA:$AA,$B:$B,'20.01'!$D:$D)*1.2</f>
        <v>0</v>
      </c>
      <c r="BJ186" s="17">
        <f>SUMIF('20.01'!$AB:$AB,$B:$B,'20.01'!$D:$D)*1.2</f>
        <v>0</v>
      </c>
      <c r="BK186" s="17">
        <f>SUMIF('20.01'!$AC:$AC,$B:$B,'20.01'!$D:$D)*1.2</f>
        <v>0</v>
      </c>
      <c r="BL186" s="17">
        <f>SUMIF('20.01'!$AD:$AD,$B:$B,'20.01'!$D:$D)*1.2</f>
        <v>0</v>
      </c>
      <c r="BM186" s="110">
        <f t="shared" si="207"/>
        <v>0</v>
      </c>
      <c r="BN186" s="17">
        <f>SUMIF('20.01'!$AE:$AE,$B:$B,'20.01'!$D:$D)*1.2</f>
        <v>0</v>
      </c>
      <c r="BO186" s="17">
        <f>SUMIF('20.01'!$AF:$AF,$B:$B,'20.01'!$D:$D)*1.2</f>
        <v>0</v>
      </c>
      <c r="BP186" s="110">
        <f>SUMIF('20.01'!$AG:$AG,$B:$B,'20.01'!$D:$D)*1.2</f>
        <v>0</v>
      </c>
      <c r="BQ186" s="110">
        <f>SUMIF('20.01'!$AH:$AH,$B:$B,'20.01'!$D:$D)*1.2</f>
        <v>0</v>
      </c>
      <c r="BR186" s="110">
        <f>SUMIF('20.01'!$AI:$AI,$B:$B,'20.01'!$D:$D)*1.2</f>
        <v>0</v>
      </c>
      <c r="BS186" s="110">
        <f t="shared" si="208"/>
        <v>0</v>
      </c>
      <c r="BT186" s="17">
        <f>SUMIF('20.01'!$AJ:$AJ,$B:$B,'20.01'!$D:$D)*1.2</f>
        <v>0</v>
      </c>
      <c r="BU186" s="17">
        <f>SUMIF('20.01'!$AK:$AK,$B:$B,'20.01'!$D:$D)*1.2</f>
        <v>0</v>
      </c>
      <c r="BV186" s="110">
        <f>SUMIF('20.01'!$AL:$AL,$B:$B,'20.01'!$D:$D)*1.2</f>
        <v>0</v>
      </c>
      <c r="BW186" s="110">
        <f>SUMIF('20.01'!$AM:$AM,$B:$B,'20.01'!$D:$D)*1.2</f>
        <v>0</v>
      </c>
      <c r="BX186" s="110">
        <f>SUMIF('20.01'!$AN:$AN,$B:$B,'20.01'!$D:$D)*1.2</f>
        <v>0</v>
      </c>
      <c r="BY186" s="110">
        <f t="shared" si="158"/>
        <v>396075.72028809536</v>
      </c>
      <c r="BZ186" s="17">
        <f t="shared" si="230"/>
        <v>320859.64104755048</v>
      </c>
      <c r="CA186" s="17">
        <f t="shared" si="159"/>
        <v>32472.661444528236</v>
      </c>
      <c r="CB186" s="17">
        <f t="shared" si="160"/>
        <v>2158.6162202673095</v>
      </c>
      <c r="CC186" s="17">
        <f>SUMIF('20.01'!$AO:$AO,$B:$B,'20.01'!$D:$D)*1.2</f>
        <v>0</v>
      </c>
      <c r="CD186" s="17">
        <f t="shared" si="161"/>
        <v>33888.082257582384</v>
      </c>
      <c r="CE186" s="17">
        <f>SUMIF('20.01'!$AQ:$AQ,$B:$B,'20.01'!$D:$D)*1.2</f>
        <v>0</v>
      </c>
      <c r="CF186" s="17">
        <f t="shared" si="162"/>
        <v>3083.2797837553894</v>
      </c>
      <c r="CG186" s="17">
        <f>SUMIF('20.01'!$AR:$AR,$B:$B,'20.01'!$D:$D)*1.2</f>
        <v>0</v>
      </c>
      <c r="CH186" s="17">
        <f t="shared" si="163"/>
        <v>1815.8280661170354</v>
      </c>
      <c r="CI186" s="17">
        <f>SUMIF('20.01'!$AT:$AT,$B:$B,'20.01'!$D:$D)*1.2</f>
        <v>0</v>
      </c>
      <c r="CJ186" s="17">
        <f>SUMIF('20.01'!$AU:$AU,$B:$B,'20.01'!$D:$D)*1.2</f>
        <v>0</v>
      </c>
      <c r="CK186" s="17">
        <f>SUMIF('20.01'!$AV:$AV,$B:$B,'20.01'!$D:$D)*1.2</f>
        <v>0</v>
      </c>
      <c r="CL186" s="17">
        <f t="shared" si="164"/>
        <v>1797.611468294519</v>
      </c>
      <c r="CM186" s="17">
        <f>SUMIF('20.01'!$AW:$AW,$B:$B,'20.01'!$D:$D)*1.2</f>
        <v>0</v>
      </c>
      <c r="CN186" s="17">
        <f>SUMIF('20.01'!$AX:$AX,$B:$B,'20.01'!$D:$D)*1.2</f>
        <v>0</v>
      </c>
      <c r="CO186" s="110">
        <f t="shared" si="209"/>
        <v>603029.29722530337</v>
      </c>
      <c r="CP186" s="17">
        <f t="shared" si="210"/>
        <v>475694.46162489022</v>
      </c>
      <c r="CQ186" s="17">
        <f t="shared" si="165"/>
        <v>146758.28679624046</v>
      </c>
      <c r="CR186" s="17">
        <f t="shared" si="166"/>
        <v>328936.17482864973</v>
      </c>
      <c r="CS186" s="17">
        <f t="shared" si="211"/>
        <v>127334.83560041318</v>
      </c>
      <c r="CT186" s="17">
        <f t="shared" si="167"/>
        <v>4638.9197623279288</v>
      </c>
      <c r="CU186" s="17">
        <f t="shared" si="168"/>
        <v>4486.9185863122593</v>
      </c>
      <c r="CV186" s="17">
        <f t="shared" si="169"/>
        <v>4637.3284252726025</v>
      </c>
      <c r="CW186" s="17">
        <f t="shared" si="170"/>
        <v>48.627494444837986</v>
      </c>
      <c r="CX186" s="17">
        <f t="shared" si="171"/>
        <v>68472.401020197009</v>
      </c>
      <c r="CY186" s="17">
        <f t="shared" si="172"/>
        <v>45050.640311858551</v>
      </c>
      <c r="CZ186" s="110">
        <f t="shared" si="212"/>
        <v>149687.65837268336</v>
      </c>
      <c r="DA186" s="17">
        <f t="shared" si="213"/>
        <v>5654.3598191672081</v>
      </c>
      <c r="DB186" s="17">
        <f t="shared" si="173"/>
        <v>5365.7800516818006</v>
      </c>
      <c r="DC186" s="17">
        <f t="shared" si="174"/>
        <v>288.57976748540773</v>
      </c>
      <c r="DD186" s="17">
        <f t="shared" si="175"/>
        <v>9963.6306044403045</v>
      </c>
      <c r="DE186" s="17">
        <f t="shared" si="176"/>
        <v>3437.7150974824208</v>
      </c>
      <c r="DF186" s="17">
        <f t="shared" si="177"/>
        <v>4172.1461968752246</v>
      </c>
      <c r="DG186" s="17">
        <f t="shared" si="214"/>
        <v>126459.80665471821</v>
      </c>
      <c r="DH186" s="110">
        <f t="shared" si="215"/>
        <v>93416.792009397643</v>
      </c>
      <c r="DI186" s="17">
        <f t="shared" si="178"/>
        <v>83798.671247079968</v>
      </c>
      <c r="DJ186" s="17">
        <f t="shared" si="179"/>
        <v>9267.6406347066459</v>
      </c>
      <c r="DK186" s="17">
        <f t="shared" si="180"/>
        <v>350.48012761102768</v>
      </c>
      <c r="DL186" s="110">
        <f t="shared" si="216"/>
        <v>706897.95225532772</v>
      </c>
      <c r="DM186" s="17">
        <f t="shared" si="181"/>
        <v>294344.10729932523</v>
      </c>
      <c r="DN186" s="17">
        <f t="shared" si="182"/>
        <v>261022.13288808087</v>
      </c>
      <c r="DO186" s="17">
        <f t="shared" si="183"/>
        <v>151531.71206792162</v>
      </c>
      <c r="DP186" s="110">
        <f t="shared" si="217"/>
        <v>230592.36587642902</v>
      </c>
      <c r="DQ186" s="17">
        <f>SUMIF('20.01'!$BB:$BB,$B:$B,'20.01'!$D:$D)*1.2</f>
        <v>3553.1879999999996</v>
      </c>
      <c r="DR186" s="17">
        <f t="shared" si="184"/>
        <v>225368.50323157193</v>
      </c>
      <c r="DS186" s="17">
        <f t="shared" si="185"/>
        <v>1670.6746448570789</v>
      </c>
      <c r="DT186" s="110">
        <f t="shared" si="218"/>
        <v>0</v>
      </c>
      <c r="DU186" s="17">
        <f>SUMIF('20.01'!$BD:$BD,$B:$B,'20.01'!$D:$D)*1.2</f>
        <v>0</v>
      </c>
      <c r="DV186" s="17">
        <f t="shared" si="186"/>
        <v>0</v>
      </c>
      <c r="DW186" s="17">
        <f t="shared" si="187"/>
        <v>0</v>
      </c>
      <c r="DX186" s="110">
        <f t="shared" si="188"/>
        <v>2370949.6832540045</v>
      </c>
      <c r="DY186" s="110">
        <f>EC186*EG186</f>
        <v>202603.87039999999</v>
      </c>
      <c r="DZ186" s="110">
        <f t="shared" si="219"/>
        <v>2573553.5536540044</v>
      </c>
      <c r="EA186" s="257"/>
      <c r="EB186" s="110">
        <f t="shared" si="189"/>
        <v>886.55421686746979</v>
      </c>
      <c r="EC186" s="110">
        <f>SUMIF(еирц!$B:$B,$B:$B,еирц!$K:$K)</f>
        <v>2532548.38</v>
      </c>
      <c r="ED186" s="110">
        <f>SUMIF(еирц!$B:$B,$B:$B,еирц!$P:$P)</f>
        <v>2488159.2200000002</v>
      </c>
      <c r="EE186" s="110">
        <f>SUMIF(еирц!$B:$B,$B:$B,еирц!$S:$S)</f>
        <v>407688.41</v>
      </c>
      <c r="EF186" s="177">
        <f t="shared" si="220"/>
        <v>162485.25096286274</v>
      </c>
      <c r="EG186" s="182">
        <v>0.08</v>
      </c>
      <c r="EH186" s="177">
        <f t="shared" si="222"/>
        <v>-40118.619437137153</v>
      </c>
    </row>
    <row r="187" spans="1:138" ht="12" customHeight="1" x14ac:dyDescent="0.25">
      <c r="A187" s="5">
        <f t="shared" si="223"/>
        <v>183</v>
      </c>
      <c r="B187" s="6" t="s">
        <v>267</v>
      </c>
      <c r="C187" s="7">
        <f t="shared" si="226"/>
        <v>4185.8</v>
      </c>
      <c r="D187" s="8">
        <v>4185.8</v>
      </c>
      <c r="E187" s="8">
        <v>0</v>
      </c>
      <c r="F187" s="8">
        <v>712.9</v>
      </c>
      <c r="G187" s="87">
        <f t="shared" si="156"/>
        <v>4185.8</v>
      </c>
      <c r="H187" s="87">
        <f t="shared" si="157"/>
        <v>4185.8</v>
      </c>
      <c r="I187" s="91">
        <v>2</v>
      </c>
      <c r="J187" s="112">
        <v>6.5683476712668359E-3</v>
      </c>
      <c r="K187" s="17">
        <v>1</v>
      </c>
      <c r="L187" s="112">
        <f t="shared" si="190"/>
        <v>2.4096385542168672E-3</v>
      </c>
      <c r="M187" s="116">
        <v>3.406417847995213</v>
      </c>
      <c r="N187" s="120">
        <f t="shared" si="191"/>
        <v>4185.8</v>
      </c>
      <c r="O187" s="116">
        <v>3.086231056852184</v>
      </c>
      <c r="P187" s="120">
        <f t="shared" si="192"/>
        <v>4185.8</v>
      </c>
      <c r="Q187" s="116">
        <v>1.6009260849790545</v>
      </c>
      <c r="R187" s="120">
        <f t="shared" si="193"/>
        <v>4185.8</v>
      </c>
      <c r="S187" s="5" t="s">
        <v>143</v>
      </c>
      <c r="T187" s="87">
        <v>41.34</v>
      </c>
      <c r="U187" s="88">
        <v>4.68</v>
      </c>
      <c r="V187" s="88">
        <v>7.92</v>
      </c>
      <c r="W187" s="88">
        <v>12.32</v>
      </c>
      <c r="X187" s="88">
        <v>6.34</v>
      </c>
      <c r="Y187" s="88">
        <v>2.89</v>
      </c>
      <c r="Z187" s="88">
        <v>1.66</v>
      </c>
      <c r="AA187" s="88">
        <v>5.29</v>
      </c>
      <c r="AB187" s="88">
        <v>0.24</v>
      </c>
      <c r="AC187" s="257"/>
      <c r="AD187" s="110">
        <f t="shared" si="194"/>
        <v>329984.58003021753</v>
      </c>
      <c r="AE187" s="110">
        <f t="shared" si="195"/>
        <v>181612.40633234265</v>
      </c>
      <c r="AF187" s="16">
        <f>SUMIF('20.01'!$I:$I,$B:$B,'20.01'!$D:$D)*1.2</f>
        <v>109600.23599999999</v>
      </c>
      <c r="AG187" s="17">
        <f t="shared" si="229"/>
        <v>11166.158900673225</v>
      </c>
      <c r="AH187" s="17">
        <f t="shared" si="196"/>
        <v>3196.2726807611207</v>
      </c>
      <c r="AI187" s="16">
        <f>SUMIF('20.01'!$J:$J,$B:$B,'20.01'!$D:$D)*1.2</f>
        <v>0</v>
      </c>
      <c r="AJ187" s="17">
        <f t="shared" si="197"/>
        <v>1298.8933584723366</v>
      </c>
      <c r="AK187" s="17">
        <f t="shared" si="198"/>
        <v>3159.9189858881241</v>
      </c>
      <c r="AL187" s="17">
        <f t="shared" si="199"/>
        <v>53190.926406547856</v>
      </c>
      <c r="AM187" s="110">
        <f t="shared" si="200"/>
        <v>31047.347999999998</v>
      </c>
      <c r="AN187" s="17">
        <f>SUMIF('20.01'!$K:$K,$B:$B,'20.01'!$D:$D)*1.2</f>
        <v>31047.347999999998</v>
      </c>
      <c r="AO187" s="17">
        <f>SUMIF('20.01'!$L:$L,$B:$B,'20.01'!$D:$D)*1.2</f>
        <v>0</v>
      </c>
      <c r="AP187" s="17">
        <f>SUMIF('20.01'!$M:$M,$B:$B,'20.01'!$D:$D)*1.2</f>
        <v>0</v>
      </c>
      <c r="AQ187" s="110">
        <f t="shared" si="201"/>
        <v>13113.621697874867</v>
      </c>
      <c r="AR187" s="17">
        <f t="shared" si="202"/>
        <v>1175.8416978748692</v>
      </c>
      <c r="AS187" s="17">
        <f>(SUMIF('20.01'!$N:$N,$B:$B,'20.01'!$D:$D)+SUMIF('20.01'!$O:$O,$B:$B,'20.01'!$D:$D))*1.2</f>
        <v>11937.779999999999</v>
      </c>
      <c r="AT187" s="110">
        <f>SUMIF('20.01'!$P:$P,$B:$B,'20.01'!$D:$D)*1.2</f>
        <v>0</v>
      </c>
      <c r="AU187" s="110">
        <f t="shared" si="203"/>
        <v>0</v>
      </c>
      <c r="AV187" s="17">
        <f>SUMIF('20.01'!$Q:$Q,$B:$B,'20.01'!$D:$D)*1.2</f>
        <v>0</v>
      </c>
      <c r="AW187" s="17">
        <f>SUMIF('20.01'!$R:$R,$B:$B,'20.01'!$D:$D)*1.2</f>
        <v>0</v>
      </c>
      <c r="AX187" s="110">
        <f t="shared" si="204"/>
        <v>104211.204</v>
      </c>
      <c r="AY187" s="17">
        <f>SUMIF('20.01'!$S:$S,$B:$B,'20.01'!$D:$D)*1.2</f>
        <v>104211.204</v>
      </c>
      <c r="AZ187" s="17">
        <f>SUMIF('20.01'!$T:$T,$B:$B,'20.01'!$D:$D)*1.2</f>
        <v>0</v>
      </c>
      <c r="BA187" s="110">
        <f t="shared" si="205"/>
        <v>0</v>
      </c>
      <c r="BB187" s="17">
        <f>SUMIF('20.01'!$U:$U,$B:$B,'20.01'!$D:$D)*1.2</f>
        <v>0</v>
      </c>
      <c r="BC187" s="17">
        <f>SUMIF('20.01'!$V:$V,$B:$B,'20.01'!$D:$D)*1.2</f>
        <v>0</v>
      </c>
      <c r="BD187" s="17">
        <f>SUMIF('20.01'!$W:$W,$B:$B,'20.01'!$D:$D)*1.2</f>
        <v>0</v>
      </c>
      <c r="BE187" s="110">
        <f>SUMIF('20.01'!$X:$X,$B:$B,'20.01'!$D:$D)*1.2</f>
        <v>0</v>
      </c>
      <c r="BF187" s="110">
        <f t="shared" si="206"/>
        <v>0</v>
      </c>
      <c r="BG187" s="17">
        <f>SUMIF('20.01'!$Y:$Y,$B:$B,'20.01'!$D:$D)*1.2</f>
        <v>0</v>
      </c>
      <c r="BH187" s="17">
        <f>SUMIF('20.01'!$Z:$Z,$B:$B,'20.01'!$D:$D)*1.2</f>
        <v>0</v>
      </c>
      <c r="BI187" s="17">
        <f>SUMIF('20.01'!$AA:$AA,$B:$B,'20.01'!$D:$D)*1.2</f>
        <v>0</v>
      </c>
      <c r="BJ187" s="17">
        <f>SUMIF('20.01'!$AB:$AB,$B:$B,'20.01'!$D:$D)*1.2</f>
        <v>0</v>
      </c>
      <c r="BK187" s="17">
        <f>SUMIF('20.01'!$AC:$AC,$B:$B,'20.01'!$D:$D)*1.2</f>
        <v>0</v>
      </c>
      <c r="BL187" s="17">
        <f>SUMIF('20.01'!$AD:$AD,$B:$B,'20.01'!$D:$D)*1.2</f>
        <v>0</v>
      </c>
      <c r="BM187" s="110">
        <f t="shared" si="207"/>
        <v>0</v>
      </c>
      <c r="BN187" s="17">
        <f>SUMIF('20.01'!$AE:$AE,$B:$B,'20.01'!$D:$D)*1.2</f>
        <v>0</v>
      </c>
      <c r="BO187" s="17">
        <f>SUMIF('20.01'!$AF:$AF,$B:$B,'20.01'!$D:$D)*1.2</f>
        <v>0</v>
      </c>
      <c r="BP187" s="110">
        <f>SUMIF('20.01'!$AG:$AG,$B:$B,'20.01'!$D:$D)*1.2</f>
        <v>0</v>
      </c>
      <c r="BQ187" s="110">
        <f>SUMIF('20.01'!$AH:$AH,$B:$B,'20.01'!$D:$D)*1.2</f>
        <v>0</v>
      </c>
      <c r="BR187" s="110">
        <f>SUMIF('20.01'!$AI:$AI,$B:$B,'20.01'!$D:$D)*1.2</f>
        <v>0</v>
      </c>
      <c r="BS187" s="110">
        <f t="shared" si="208"/>
        <v>0</v>
      </c>
      <c r="BT187" s="17">
        <f>SUMIF('20.01'!$AJ:$AJ,$B:$B,'20.01'!$D:$D)*1.2</f>
        <v>0</v>
      </c>
      <c r="BU187" s="17">
        <f>SUMIF('20.01'!$AK:$AK,$B:$B,'20.01'!$D:$D)*1.2</f>
        <v>0</v>
      </c>
      <c r="BV187" s="110">
        <f>SUMIF('20.01'!$AL:$AL,$B:$B,'20.01'!$D:$D)*1.2</f>
        <v>0</v>
      </c>
      <c r="BW187" s="110">
        <f>SUMIF('20.01'!$AM:$AM,$B:$B,'20.01'!$D:$D)*1.2</f>
        <v>0</v>
      </c>
      <c r="BX187" s="110">
        <f>SUMIF('20.01'!$AN:$AN,$B:$B,'20.01'!$D:$D)*1.2</f>
        <v>0</v>
      </c>
      <c r="BY187" s="110">
        <f t="shared" si="158"/>
        <v>316657.83290967793</v>
      </c>
      <c r="BZ187" s="17">
        <f t="shared" si="230"/>
        <v>256523.47113928429</v>
      </c>
      <c r="CA187" s="17">
        <f t="shared" si="159"/>
        <v>25961.507043033518</v>
      </c>
      <c r="CB187" s="17">
        <f t="shared" si="160"/>
        <v>1725.7880233010358</v>
      </c>
      <c r="CC187" s="17">
        <f>SUMIF('20.01'!$AO:$AO,$B:$B,'20.01'!$D:$D)*1.2</f>
        <v>0</v>
      </c>
      <c r="CD187" s="17">
        <f t="shared" si="161"/>
        <v>27093.119167581237</v>
      </c>
      <c r="CE187" s="17">
        <f>SUMIF('20.01'!$AQ:$AQ,$B:$B,'20.01'!$D:$D)*1.2</f>
        <v>0</v>
      </c>
      <c r="CF187" s="17">
        <f t="shared" si="162"/>
        <v>2465.0455571172947</v>
      </c>
      <c r="CG187" s="17">
        <f>SUMIF('20.01'!$AR:$AR,$B:$B,'20.01'!$D:$D)*1.2</f>
        <v>0</v>
      </c>
      <c r="CH187" s="17">
        <f t="shared" si="163"/>
        <v>1451.7329664513497</v>
      </c>
      <c r="CI187" s="17">
        <f>SUMIF('20.01'!$AT:$AT,$B:$B,'20.01'!$D:$D)*1.2</f>
        <v>0</v>
      </c>
      <c r="CJ187" s="17">
        <f>SUMIF('20.01'!$AU:$AU,$B:$B,'20.01'!$D:$D)*1.2</f>
        <v>0</v>
      </c>
      <c r="CK187" s="17">
        <f>SUMIF('20.01'!$AV:$AV,$B:$B,'20.01'!$D:$D)*1.2</f>
        <v>0</v>
      </c>
      <c r="CL187" s="17">
        <f t="shared" si="164"/>
        <v>1437.1690129091598</v>
      </c>
      <c r="CM187" s="17">
        <f>SUMIF('20.01'!$AW:$AW,$B:$B,'20.01'!$D:$D)*1.2</f>
        <v>0</v>
      </c>
      <c r="CN187" s="17">
        <f>SUMIF('20.01'!$AX:$AX,$B:$B,'20.01'!$D:$D)*1.2</f>
        <v>0</v>
      </c>
      <c r="CO187" s="110">
        <f t="shared" si="209"/>
        <v>482114.75902010757</v>
      </c>
      <c r="CP187" s="17">
        <f t="shared" si="210"/>
        <v>380312.07072149619</v>
      </c>
      <c r="CQ187" s="17">
        <f t="shared" si="165"/>
        <v>117331.50677509805</v>
      </c>
      <c r="CR187" s="17">
        <f t="shared" si="166"/>
        <v>262980.56394639815</v>
      </c>
      <c r="CS187" s="17">
        <f t="shared" si="211"/>
        <v>101802.68829861135</v>
      </c>
      <c r="CT187" s="17">
        <f t="shared" si="167"/>
        <v>3708.7612386645742</v>
      </c>
      <c r="CU187" s="17">
        <f t="shared" si="168"/>
        <v>3587.2381042451398</v>
      </c>
      <c r="CV187" s="17">
        <f t="shared" si="169"/>
        <v>3707.4889835942508</v>
      </c>
      <c r="CW187" s="17">
        <f t="shared" si="170"/>
        <v>38.877104104057381</v>
      </c>
      <c r="CX187" s="17">
        <f t="shared" si="171"/>
        <v>54742.871149503524</v>
      </c>
      <c r="CY187" s="17">
        <f t="shared" si="172"/>
        <v>36017.451718499797</v>
      </c>
      <c r="CZ187" s="110">
        <f t="shared" si="212"/>
        <v>119673.50454893001</v>
      </c>
      <c r="DA187" s="17">
        <f t="shared" si="213"/>
        <v>4520.5935004717894</v>
      </c>
      <c r="DB187" s="17">
        <f t="shared" si="173"/>
        <v>4289.8774047539309</v>
      </c>
      <c r="DC187" s="17">
        <f t="shared" si="174"/>
        <v>230.71609571785845</v>
      </c>
      <c r="DD187" s="17">
        <f t="shared" si="175"/>
        <v>7965.8042982783682</v>
      </c>
      <c r="DE187" s="17">
        <f t="shared" si="176"/>
        <v>2748.4123796779577</v>
      </c>
      <c r="DF187" s="17">
        <f t="shared" si="177"/>
        <v>3335.5813184506674</v>
      </c>
      <c r="DG187" s="17">
        <f t="shared" si="214"/>
        <v>101103.11305205124</v>
      </c>
      <c r="DH187" s="110">
        <f t="shared" si="215"/>
        <v>74685.615400897063</v>
      </c>
      <c r="DI187" s="17">
        <f t="shared" si="178"/>
        <v>66996.042116668075</v>
      </c>
      <c r="DJ187" s="17">
        <f t="shared" si="179"/>
        <v>7409.3685859796542</v>
      </c>
      <c r="DK187" s="17">
        <f t="shared" si="180"/>
        <v>280.20469824933906</v>
      </c>
      <c r="DL187" s="110">
        <f t="shared" si="216"/>
        <v>565156.51473572291</v>
      </c>
      <c r="DM187" s="17">
        <f t="shared" si="181"/>
        <v>235324.61691754824</v>
      </c>
      <c r="DN187" s="17">
        <f t="shared" si="182"/>
        <v>208684.09424763711</v>
      </c>
      <c r="DO187" s="17">
        <f t="shared" si="183"/>
        <v>121147.80357053754</v>
      </c>
      <c r="DP187" s="110">
        <f t="shared" si="217"/>
        <v>187964.24001850261</v>
      </c>
      <c r="DQ187" s="17">
        <f>SUMIF('20.01'!$BB:$BB,$B:$B,'20.01'!$D:$D)*1.2</f>
        <v>6559.4879999999994</v>
      </c>
      <c r="DR187" s="17">
        <f t="shared" si="184"/>
        <v>180069.87967405264</v>
      </c>
      <c r="DS187" s="17">
        <f t="shared" si="185"/>
        <v>1334.8723444499512</v>
      </c>
      <c r="DT187" s="110">
        <f t="shared" si="218"/>
        <v>9292.8719999999994</v>
      </c>
      <c r="DU187" s="17">
        <f>SUMIF('20.01'!$BD:$BD,$B:$B,'20.01'!$D:$D)*1.2</f>
        <v>9292.8719999999994</v>
      </c>
      <c r="DV187" s="17">
        <f t="shared" si="186"/>
        <v>0</v>
      </c>
      <c r="DW187" s="17">
        <f t="shared" si="187"/>
        <v>0</v>
      </c>
      <c r="DX187" s="110">
        <f t="shared" si="188"/>
        <v>2085529.9186640556</v>
      </c>
      <c r="DY187" s="110"/>
      <c r="DZ187" s="110">
        <f t="shared" si="219"/>
        <v>2085529.9186640556</v>
      </c>
      <c r="EA187" s="257"/>
      <c r="EB187" s="110">
        <f t="shared" si="189"/>
        <v>886.55421686746979</v>
      </c>
      <c r="EC187" s="110">
        <f>SUMIF(еирц!$B:$B,$B:$B,еирц!$K:$K)</f>
        <v>2045573.0900000003</v>
      </c>
      <c r="ED187" s="110">
        <f>SUMIF(еирц!$B:$B,$B:$B,еирц!$P:$P)</f>
        <v>2019316.9700000002</v>
      </c>
      <c r="EE187" s="110">
        <f>SUMIF(еирц!$B:$B,$B:$B,еирц!$S:$S)</f>
        <v>273449.13</v>
      </c>
      <c r="EF187" s="177">
        <f t="shared" si="220"/>
        <v>-39070.274447187781</v>
      </c>
      <c r="EG187" s="181">
        <f t="shared" si="221"/>
        <v>0</v>
      </c>
      <c r="EH187" s="177">
        <f t="shared" si="222"/>
        <v>-39070.274447187781</v>
      </c>
    </row>
    <row r="188" spans="1:138" ht="12" customHeight="1" x14ac:dyDescent="0.25">
      <c r="A188" s="5">
        <f t="shared" si="223"/>
        <v>184</v>
      </c>
      <c r="B188" s="6" t="s">
        <v>268</v>
      </c>
      <c r="C188" s="7">
        <f t="shared" si="226"/>
        <v>3577.7</v>
      </c>
      <c r="D188" s="8">
        <v>3577.7</v>
      </c>
      <c r="E188" s="8">
        <v>0</v>
      </c>
      <c r="F188" s="8">
        <v>577.9</v>
      </c>
      <c r="G188" s="87">
        <f t="shared" si="156"/>
        <v>3577.7</v>
      </c>
      <c r="H188" s="87">
        <f t="shared" si="157"/>
        <v>3577.7</v>
      </c>
      <c r="I188" s="91">
        <v>2</v>
      </c>
      <c r="J188" s="112">
        <v>5.6178544089183586E-3</v>
      </c>
      <c r="K188" s="17">
        <v>1</v>
      </c>
      <c r="L188" s="112">
        <f t="shared" si="190"/>
        <v>2.4096385542168672E-3</v>
      </c>
      <c r="M188" s="116">
        <v>3.4064174044349991</v>
      </c>
      <c r="N188" s="120">
        <f t="shared" si="191"/>
        <v>3577.7</v>
      </c>
      <c r="O188" s="116">
        <v>3.0862294678560449</v>
      </c>
      <c r="P188" s="120">
        <f t="shared" si="192"/>
        <v>3577.7</v>
      </c>
      <c r="Q188" s="116">
        <v>1.6009274237297617</v>
      </c>
      <c r="R188" s="120">
        <f t="shared" si="193"/>
        <v>3577.7</v>
      </c>
      <c r="S188" s="5" t="s">
        <v>143</v>
      </c>
      <c r="T188" s="87">
        <v>41.34</v>
      </c>
      <c r="U188" s="88">
        <v>4.68</v>
      </c>
      <c r="V188" s="88">
        <v>7.92</v>
      </c>
      <c r="W188" s="88">
        <v>12.32</v>
      </c>
      <c r="X188" s="88">
        <v>6.34</v>
      </c>
      <c r="Y188" s="88">
        <v>2.89</v>
      </c>
      <c r="Z188" s="88">
        <v>1.66</v>
      </c>
      <c r="AA188" s="88">
        <v>5.29</v>
      </c>
      <c r="AB188" s="88">
        <v>0.24</v>
      </c>
      <c r="AC188" s="257"/>
      <c r="AD188" s="110">
        <f t="shared" si="194"/>
        <v>920295.70936492656</v>
      </c>
      <c r="AE188" s="110">
        <f t="shared" si="195"/>
        <v>150774.60629032023</v>
      </c>
      <c r="AF188" s="16">
        <f>SUMIF('20.01'!$I:$I,$B:$B,'20.01'!$D:$D)*1.2</f>
        <v>89224.14</v>
      </c>
      <c r="AG188" s="17">
        <f t="shared" si="229"/>
        <v>9543.9740787755254</v>
      </c>
      <c r="AH188" s="17">
        <f t="shared" si="196"/>
        <v>2731.9281308134787</v>
      </c>
      <c r="AI188" s="16">
        <f>SUMIF('20.01'!$J:$J,$B:$B,'20.01'!$D:$D)*1.2</f>
        <v>0</v>
      </c>
      <c r="AJ188" s="17">
        <f t="shared" si="197"/>
        <v>1110.1941728239472</v>
      </c>
      <c r="AK188" s="17">
        <f t="shared" si="198"/>
        <v>2700.8557876181235</v>
      </c>
      <c r="AL188" s="17">
        <f t="shared" si="199"/>
        <v>45463.514120289132</v>
      </c>
      <c r="AM188" s="110">
        <f t="shared" si="200"/>
        <v>0</v>
      </c>
      <c r="AN188" s="17">
        <f>SUMIF('20.01'!$K:$K,$B:$B,'20.01'!$D:$D)*1.2</f>
        <v>0</v>
      </c>
      <c r="AO188" s="17">
        <f>SUMIF('20.01'!$L:$L,$B:$B,'20.01'!$D:$D)*1.2</f>
        <v>0</v>
      </c>
      <c r="AP188" s="17">
        <f>SUMIF('20.01'!$M:$M,$B:$B,'20.01'!$D:$D)*1.2</f>
        <v>0</v>
      </c>
      <c r="AQ188" s="110">
        <f t="shared" si="201"/>
        <v>1005.0190746062685</v>
      </c>
      <c r="AR188" s="17">
        <f t="shared" si="202"/>
        <v>1005.0190746062685</v>
      </c>
      <c r="AS188" s="17">
        <f>(SUMIF('20.01'!$N:$N,$B:$B,'20.01'!$D:$D)+SUMIF('20.01'!$O:$O,$B:$B,'20.01'!$D:$D))*1.2</f>
        <v>0</v>
      </c>
      <c r="AT188" s="110">
        <f>SUMIF('20.01'!$P:$P,$B:$B,'20.01'!$D:$D)*1.2</f>
        <v>0</v>
      </c>
      <c r="AU188" s="110">
        <f t="shared" si="203"/>
        <v>0</v>
      </c>
      <c r="AV188" s="17">
        <f>SUMIF('20.01'!$Q:$Q,$B:$B,'20.01'!$D:$D)*1.2</f>
        <v>0</v>
      </c>
      <c r="AW188" s="17">
        <f>SUMIF('20.01'!$R:$R,$B:$B,'20.01'!$D:$D)*1.2</f>
        <v>0</v>
      </c>
      <c r="AX188" s="110">
        <f t="shared" si="204"/>
        <v>116344.272</v>
      </c>
      <c r="AY188" s="17">
        <f>SUMIF('20.01'!$S:$S,$B:$B,'20.01'!$D:$D)*1.2</f>
        <v>116344.272</v>
      </c>
      <c r="AZ188" s="17">
        <f>SUMIF('20.01'!$T:$T,$B:$B,'20.01'!$D:$D)*1.2</f>
        <v>0</v>
      </c>
      <c r="BA188" s="110">
        <f t="shared" si="205"/>
        <v>0</v>
      </c>
      <c r="BB188" s="17">
        <f>SUMIF('20.01'!$U:$U,$B:$B,'20.01'!$D:$D)*1.2</f>
        <v>0</v>
      </c>
      <c r="BC188" s="17">
        <f>SUMIF('20.01'!$V:$V,$B:$B,'20.01'!$D:$D)*1.2</f>
        <v>0</v>
      </c>
      <c r="BD188" s="17">
        <f>SUMIF('20.01'!$W:$W,$B:$B,'20.01'!$D:$D)*1.2</f>
        <v>0</v>
      </c>
      <c r="BE188" s="110">
        <f>SUMIF('20.01'!$X:$X,$B:$B,'20.01'!$D:$D)*1.2</f>
        <v>0</v>
      </c>
      <c r="BF188" s="110">
        <f t="shared" si="206"/>
        <v>0</v>
      </c>
      <c r="BG188" s="17">
        <f>SUMIF('20.01'!$Y:$Y,$B:$B,'20.01'!$D:$D)*1.2</f>
        <v>0</v>
      </c>
      <c r="BH188" s="17">
        <f>SUMIF('20.01'!$Z:$Z,$B:$B,'20.01'!$D:$D)*1.2</f>
        <v>0</v>
      </c>
      <c r="BI188" s="17">
        <f>SUMIF('20.01'!$AA:$AA,$B:$B,'20.01'!$D:$D)*1.2</f>
        <v>0</v>
      </c>
      <c r="BJ188" s="17">
        <f>SUMIF('20.01'!$AB:$AB,$B:$B,'20.01'!$D:$D)*1.2</f>
        <v>0</v>
      </c>
      <c r="BK188" s="17">
        <f>SUMIF('20.01'!$AC:$AC,$B:$B,'20.01'!$D:$D)*1.2</f>
        <v>0</v>
      </c>
      <c r="BL188" s="17">
        <f>SUMIF('20.01'!$AD:$AD,$B:$B,'20.01'!$D:$D)*1.2</f>
        <v>0</v>
      </c>
      <c r="BM188" s="110">
        <f t="shared" si="207"/>
        <v>0</v>
      </c>
      <c r="BN188" s="17">
        <f>SUMIF('20.01'!$AE:$AE,$B:$B,'20.01'!$D:$D)*1.2</f>
        <v>0</v>
      </c>
      <c r="BO188" s="17">
        <f>SUMIF('20.01'!$AF:$AF,$B:$B,'20.01'!$D:$D)*1.2</f>
        <v>0</v>
      </c>
      <c r="BP188" s="110">
        <f>SUMIF('20.01'!$AG:$AG,$B:$B,'20.01'!$D:$D)*1.2</f>
        <v>0</v>
      </c>
      <c r="BQ188" s="110">
        <f>SUMIF('20.01'!$AH:$AH,$B:$B,'20.01'!$D:$D)*1.2</f>
        <v>0</v>
      </c>
      <c r="BR188" s="110">
        <f>SUMIF('20.01'!$AI:$AI,$B:$B,'20.01'!$D:$D)*1.2</f>
        <v>0</v>
      </c>
      <c r="BS188" s="110">
        <f t="shared" si="208"/>
        <v>0</v>
      </c>
      <c r="BT188" s="17">
        <f>SUMIF('20.01'!$AJ:$AJ,$B:$B,'20.01'!$D:$D)*1.2</f>
        <v>0</v>
      </c>
      <c r="BU188" s="17">
        <f>SUMIF('20.01'!$AK:$AK,$B:$B,'20.01'!$D:$D)*1.2</f>
        <v>0</v>
      </c>
      <c r="BV188" s="110">
        <f>SUMIF('20.01'!$AL:$AL,$B:$B,'20.01'!$D:$D)*1.2</f>
        <v>652171.81200000003</v>
      </c>
      <c r="BW188" s="110">
        <f>SUMIF('20.01'!$AM:$AM,$B:$B,'20.01'!$D:$D)*1.2</f>
        <v>0</v>
      </c>
      <c r="BX188" s="110">
        <f>SUMIF('20.01'!$AN:$AN,$B:$B,'20.01'!$D:$D)*1.2</f>
        <v>0</v>
      </c>
      <c r="BY188" s="110">
        <f t="shared" si="158"/>
        <v>270654.76821657858</v>
      </c>
      <c r="BZ188" s="17">
        <f t="shared" si="230"/>
        <v>219256.53941779764</v>
      </c>
      <c r="CA188" s="17">
        <f t="shared" si="159"/>
        <v>22189.900078326966</v>
      </c>
      <c r="CB188" s="17">
        <f t="shared" si="160"/>
        <v>1475.0709090171808</v>
      </c>
      <c r="CC188" s="17">
        <f>SUMIF('20.01'!$AO:$AO,$B:$B,'20.01'!$D:$D)*1.2</f>
        <v>0</v>
      </c>
      <c r="CD188" s="17">
        <f t="shared" si="161"/>
        <v>23157.115114399967</v>
      </c>
      <c r="CE188" s="17">
        <f>SUMIF('20.01'!$AQ:$AQ,$B:$B,'20.01'!$D:$D)*1.2</f>
        <v>0</v>
      </c>
      <c r="CF188" s="17">
        <f t="shared" si="162"/>
        <v>2106.9314084998196</v>
      </c>
      <c r="CG188" s="17">
        <f>SUMIF('20.01'!$AR:$AR,$B:$B,'20.01'!$D:$D)*1.2</f>
        <v>0</v>
      </c>
      <c r="CH188" s="17">
        <f t="shared" si="163"/>
        <v>1240.8297181119483</v>
      </c>
      <c r="CI188" s="17">
        <f>SUMIF('20.01'!$AT:$AT,$B:$B,'20.01'!$D:$D)*1.2</f>
        <v>0</v>
      </c>
      <c r="CJ188" s="17">
        <f>SUMIF('20.01'!$AU:$AU,$B:$B,'20.01'!$D:$D)*1.2</f>
        <v>0</v>
      </c>
      <c r="CK188" s="17">
        <f>SUMIF('20.01'!$AV:$AV,$B:$B,'20.01'!$D:$D)*1.2</f>
        <v>0</v>
      </c>
      <c r="CL188" s="17">
        <f t="shared" si="164"/>
        <v>1228.3815704250324</v>
      </c>
      <c r="CM188" s="17">
        <f>SUMIF('20.01'!$AW:$AW,$B:$B,'20.01'!$D:$D)*1.2</f>
        <v>0</v>
      </c>
      <c r="CN188" s="17">
        <f>SUMIF('20.01'!$AX:$AX,$B:$B,'20.01'!$D:$D)*1.2</f>
        <v>0</v>
      </c>
      <c r="CO188" s="110">
        <f t="shared" si="209"/>
        <v>412074.6269162976</v>
      </c>
      <c r="CP188" s="17">
        <f t="shared" si="210"/>
        <v>325061.51641748217</v>
      </c>
      <c r="CQ188" s="17">
        <f t="shared" si="165"/>
        <v>100285.95054452392</v>
      </c>
      <c r="CR188" s="17">
        <f t="shared" si="166"/>
        <v>224775.56587295822</v>
      </c>
      <c r="CS188" s="17">
        <f t="shared" si="211"/>
        <v>87013.110498815455</v>
      </c>
      <c r="CT188" s="17">
        <f t="shared" si="167"/>
        <v>3169.9639456185787</v>
      </c>
      <c r="CU188" s="17">
        <f t="shared" si="168"/>
        <v>3066.0953140517549</v>
      </c>
      <c r="CV188" s="17">
        <f t="shared" si="169"/>
        <v>3168.8765198062856</v>
      </c>
      <c r="CW188" s="17">
        <f t="shared" si="170"/>
        <v>33.229159384845453</v>
      </c>
      <c r="CX188" s="17">
        <f t="shared" si="171"/>
        <v>46789.997159820996</v>
      </c>
      <c r="CY188" s="17">
        <f t="shared" si="172"/>
        <v>30784.948400132998</v>
      </c>
      <c r="CZ188" s="110">
        <f t="shared" si="212"/>
        <v>102287.71016883437</v>
      </c>
      <c r="DA188" s="17">
        <f t="shared" si="213"/>
        <v>3863.8557424238898</v>
      </c>
      <c r="DB188" s="17">
        <f t="shared" si="173"/>
        <v>3666.6573632252225</v>
      </c>
      <c r="DC188" s="17">
        <f t="shared" si="174"/>
        <v>197.19837919866742</v>
      </c>
      <c r="DD188" s="17">
        <f t="shared" si="175"/>
        <v>6808.5570352024743</v>
      </c>
      <c r="DE188" s="17">
        <f t="shared" si="176"/>
        <v>2349.1315807668375</v>
      </c>
      <c r="DF188" s="17">
        <f t="shared" si="177"/>
        <v>2850.9984430744307</v>
      </c>
      <c r="DG188" s="17">
        <f t="shared" si="214"/>
        <v>86415.167367366739</v>
      </c>
      <c r="DH188" s="110">
        <f t="shared" si="215"/>
        <v>63835.521577664811</v>
      </c>
      <c r="DI188" s="17">
        <f t="shared" si="178"/>
        <v>57263.065574275723</v>
      </c>
      <c r="DJ188" s="17">
        <f t="shared" si="179"/>
        <v>6332.9585718523113</v>
      </c>
      <c r="DK188" s="17">
        <f t="shared" si="180"/>
        <v>239.49743153678156</v>
      </c>
      <c r="DL188" s="110">
        <f t="shared" si="216"/>
        <v>483052.3347436561</v>
      </c>
      <c r="DM188" s="17">
        <f t="shared" si="181"/>
        <v>201137.3887777515</v>
      </c>
      <c r="DN188" s="17">
        <f t="shared" si="182"/>
        <v>178367.11835008152</v>
      </c>
      <c r="DO188" s="17">
        <f t="shared" si="183"/>
        <v>103547.82761582304</v>
      </c>
      <c r="DP188" s="110">
        <f t="shared" si="217"/>
        <v>155154.01086089763</v>
      </c>
      <c r="DQ188" s="17">
        <f>SUMIF('20.01'!$BB:$BB,$B:$B,'20.01'!$D:$D)*1.2</f>
        <v>0</v>
      </c>
      <c r="DR188" s="17">
        <f t="shared" si="184"/>
        <v>154012.30538778205</v>
      </c>
      <c r="DS188" s="17">
        <f t="shared" si="185"/>
        <v>1141.7054731155836</v>
      </c>
      <c r="DT188" s="110">
        <f t="shared" si="218"/>
        <v>7965.3240000000005</v>
      </c>
      <c r="DU188" s="17">
        <f>SUMIF('20.01'!$BD:$BD,$B:$B,'20.01'!$D:$D)*1.2</f>
        <v>7965.3240000000005</v>
      </c>
      <c r="DV188" s="17">
        <f t="shared" si="186"/>
        <v>0</v>
      </c>
      <c r="DW188" s="17">
        <f t="shared" si="187"/>
        <v>0</v>
      </c>
      <c r="DX188" s="110">
        <f t="shared" si="188"/>
        <v>2415320.0058488557</v>
      </c>
      <c r="DY188" s="110"/>
      <c r="DZ188" s="110">
        <f t="shared" si="219"/>
        <v>2415320.0058488557</v>
      </c>
      <c r="EA188" s="257"/>
      <c r="EB188" s="110">
        <f t="shared" si="189"/>
        <v>886.55421686746979</v>
      </c>
      <c r="EC188" s="110">
        <f>SUMIF(еирц!$B:$B,$B:$B,еирц!$K:$K)</f>
        <v>1740736.56</v>
      </c>
      <c r="ED188" s="110">
        <f>SUMIF(еирц!$B:$B,$B:$B,еирц!$P:$P)</f>
        <v>1753248.03</v>
      </c>
      <c r="EE188" s="110">
        <f>SUMIF(еирц!$B:$B,$B:$B,еирц!$S:$S)</f>
        <v>230183.4</v>
      </c>
      <c r="EF188" s="177">
        <f t="shared" si="220"/>
        <v>-673696.89163198811</v>
      </c>
      <c r="EG188" s="181">
        <f t="shared" si="221"/>
        <v>0</v>
      </c>
      <c r="EH188" s="177">
        <f t="shared" si="222"/>
        <v>-673696.89163198811</v>
      </c>
    </row>
    <row r="189" spans="1:138" ht="12" customHeight="1" x14ac:dyDescent="0.25">
      <c r="A189" s="5">
        <f t="shared" si="223"/>
        <v>185</v>
      </c>
      <c r="B189" s="6" t="s">
        <v>269</v>
      </c>
      <c r="C189" s="7">
        <f t="shared" si="226"/>
        <v>4230.2</v>
      </c>
      <c r="D189" s="8">
        <v>4230.2</v>
      </c>
      <c r="E189" s="8">
        <v>0</v>
      </c>
      <c r="F189" s="8">
        <v>712.9</v>
      </c>
      <c r="G189" s="87">
        <f t="shared" si="156"/>
        <v>4230.2</v>
      </c>
      <c r="H189" s="87">
        <f t="shared" si="157"/>
        <v>4230.2</v>
      </c>
      <c r="I189" s="91">
        <v>2</v>
      </c>
      <c r="J189" s="112">
        <v>6.6449348595738495E-3</v>
      </c>
      <c r="K189" s="17">
        <v>1</v>
      </c>
      <c r="L189" s="112">
        <f t="shared" si="190"/>
        <v>2.4096385542168672E-3</v>
      </c>
      <c r="M189" s="116">
        <v>3.4064175876074434</v>
      </c>
      <c r="N189" s="120">
        <f t="shared" si="191"/>
        <v>4230.2</v>
      </c>
      <c r="O189" s="116">
        <v>3.0862307169169734</v>
      </c>
      <c r="P189" s="120">
        <f t="shared" si="192"/>
        <v>4230.2</v>
      </c>
      <c r="Q189" s="116">
        <v>1.6009265892131863</v>
      </c>
      <c r="R189" s="120">
        <f t="shared" si="193"/>
        <v>4230.2</v>
      </c>
      <c r="S189" s="5" t="s">
        <v>143</v>
      </c>
      <c r="T189" s="87">
        <v>41.34</v>
      </c>
      <c r="U189" s="88">
        <v>4.68</v>
      </c>
      <c r="V189" s="88">
        <v>7.92</v>
      </c>
      <c r="W189" s="88">
        <v>12.32</v>
      </c>
      <c r="X189" s="88">
        <v>6.34</v>
      </c>
      <c r="Y189" s="88">
        <v>2.89</v>
      </c>
      <c r="Z189" s="88">
        <v>1.66</v>
      </c>
      <c r="AA189" s="88">
        <v>5.29</v>
      </c>
      <c r="AB189" s="88">
        <v>0.24</v>
      </c>
      <c r="AC189" s="257"/>
      <c r="AD189" s="110">
        <f t="shared" si="194"/>
        <v>209890.05459482683</v>
      </c>
      <c r="AE189" s="110">
        <f t="shared" si="195"/>
        <v>208701.74040151844</v>
      </c>
      <c r="AF189" s="16">
        <f>SUMIF('20.01'!$I:$I,$B:$B,'20.01'!$D:$D)*1.2</f>
        <v>135925.71600000001</v>
      </c>
      <c r="AG189" s="17">
        <f t="shared" si="229"/>
        <v>11284.601601038719</v>
      </c>
      <c r="AH189" s="17">
        <f t="shared" si="196"/>
        <v>3230.1764762185699</v>
      </c>
      <c r="AI189" s="16">
        <f>SUMIF('20.01'!$J:$J,$B:$B,'20.01'!$D:$D)*1.2</f>
        <v>0</v>
      </c>
      <c r="AJ189" s="17">
        <f t="shared" si="197"/>
        <v>1312.671098717014</v>
      </c>
      <c r="AK189" s="17">
        <f t="shared" si="198"/>
        <v>3193.4371671135605</v>
      </c>
      <c r="AL189" s="17">
        <f t="shared" si="199"/>
        <v>53755.138058430581</v>
      </c>
      <c r="AM189" s="110">
        <f t="shared" si="200"/>
        <v>0</v>
      </c>
      <c r="AN189" s="17">
        <f>SUMIF('20.01'!$K:$K,$B:$B,'20.01'!$D:$D)*1.2</f>
        <v>0</v>
      </c>
      <c r="AO189" s="17">
        <f>SUMIF('20.01'!$L:$L,$B:$B,'20.01'!$D:$D)*1.2</f>
        <v>0</v>
      </c>
      <c r="AP189" s="17">
        <f>SUMIF('20.01'!$M:$M,$B:$B,'20.01'!$D:$D)*1.2</f>
        <v>0</v>
      </c>
      <c r="AQ189" s="110">
        <f t="shared" si="201"/>
        <v>1188.314193308393</v>
      </c>
      <c r="AR189" s="17">
        <f t="shared" si="202"/>
        <v>1188.314193308393</v>
      </c>
      <c r="AS189" s="17">
        <f>(SUMIF('20.01'!$N:$N,$B:$B,'20.01'!$D:$D)+SUMIF('20.01'!$O:$O,$B:$B,'20.01'!$D:$D))*1.2</f>
        <v>0</v>
      </c>
      <c r="AT189" s="110">
        <f>SUMIF('20.01'!$P:$P,$B:$B,'20.01'!$D:$D)*1.2</f>
        <v>0</v>
      </c>
      <c r="AU189" s="110">
        <f t="shared" si="203"/>
        <v>0</v>
      </c>
      <c r="AV189" s="17">
        <f>SUMIF('20.01'!$Q:$Q,$B:$B,'20.01'!$D:$D)*1.2</f>
        <v>0</v>
      </c>
      <c r="AW189" s="17">
        <f>SUMIF('20.01'!$R:$R,$B:$B,'20.01'!$D:$D)*1.2</f>
        <v>0</v>
      </c>
      <c r="AX189" s="110">
        <f t="shared" si="204"/>
        <v>0</v>
      </c>
      <c r="AY189" s="17">
        <f>SUMIF('20.01'!$S:$S,$B:$B,'20.01'!$D:$D)*1.2</f>
        <v>0</v>
      </c>
      <c r="AZ189" s="17">
        <f>SUMIF('20.01'!$T:$T,$B:$B,'20.01'!$D:$D)*1.2</f>
        <v>0</v>
      </c>
      <c r="BA189" s="110">
        <f t="shared" si="205"/>
        <v>0</v>
      </c>
      <c r="BB189" s="17">
        <f>SUMIF('20.01'!$U:$U,$B:$B,'20.01'!$D:$D)*1.2</f>
        <v>0</v>
      </c>
      <c r="BC189" s="17">
        <f>SUMIF('20.01'!$V:$V,$B:$B,'20.01'!$D:$D)*1.2</f>
        <v>0</v>
      </c>
      <c r="BD189" s="17">
        <f>SUMIF('20.01'!$W:$W,$B:$B,'20.01'!$D:$D)*1.2</f>
        <v>0</v>
      </c>
      <c r="BE189" s="110">
        <f>SUMIF('20.01'!$X:$X,$B:$B,'20.01'!$D:$D)*1.2</f>
        <v>0</v>
      </c>
      <c r="BF189" s="110">
        <f t="shared" si="206"/>
        <v>0</v>
      </c>
      <c r="BG189" s="17">
        <f>SUMIF('20.01'!$Y:$Y,$B:$B,'20.01'!$D:$D)*1.2</f>
        <v>0</v>
      </c>
      <c r="BH189" s="17">
        <f>SUMIF('20.01'!$Z:$Z,$B:$B,'20.01'!$D:$D)*1.2</f>
        <v>0</v>
      </c>
      <c r="BI189" s="17">
        <f>SUMIF('20.01'!$AA:$AA,$B:$B,'20.01'!$D:$D)*1.2</f>
        <v>0</v>
      </c>
      <c r="BJ189" s="17">
        <f>SUMIF('20.01'!$AB:$AB,$B:$B,'20.01'!$D:$D)*1.2</f>
        <v>0</v>
      </c>
      <c r="BK189" s="17">
        <f>SUMIF('20.01'!$AC:$AC,$B:$B,'20.01'!$D:$D)*1.2</f>
        <v>0</v>
      </c>
      <c r="BL189" s="17">
        <f>SUMIF('20.01'!$AD:$AD,$B:$B,'20.01'!$D:$D)*1.2</f>
        <v>0</v>
      </c>
      <c r="BM189" s="110">
        <f t="shared" si="207"/>
        <v>0</v>
      </c>
      <c r="BN189" s="17">
        <f>SUMIF('20.01'!$AE:$AE,$B:$B,'20.01'!$D:$D)*1.2</f>
        <v>0</v>
      </c>
      <c r="BO189" s="17">
        <f>SUMIF('20.01'!$AF:$AF,$B:$B,'20.01'!$D:$D)*1.2</f>
        <v>0</v>
      </c>
      <c r="BP189" s="110">
        <f>SUMIF('20.01'!$AG:$AG,$B:$B,'20.01'!$D:$D)*1.2</f>
        <v>0</v>
      </c>
      <c r="BQ189" s="110">
        <f>SUMIF('20.01'!$AH:$AH,$B:$B,'20.01'!$D:$D)*1.2</f>
        <v>0</v>
      </c>
      <c r="BR189" s="110">
        <f>SUMIF('20.01'!$AI:$AI,$B:$B,'20.01'!$D:$D)*1.2</f>
        <v>0</v>
      </c>
      <c r="BS189" s="110">
        <f t="shared" si="208"/>
        <v>0</v>
      </c>
      <c r="BT189" s="17">
        <f>SUMIF('20.01'!$AJ:$AJ,$B:$B,'20.01'!$D:$D)*1.2</f>
        <v>0</v>
      </c>
      <c r="BU189" s="17">
        <f>SUMIF('20.01'!$AK:$AK,$B:$B,'20.01'!$D:$D)*1.2</f>
        <v>0</v>
      </c>
      <c r="BV189" s="110">
        <f>SUMIF('20.01'!$AL:$AL,$B:$B,'20.01'!$D:$D)*1.2</f>
        <v>0</v>
      </c>
      <c r="BW189" s="110">
        <f>SUMIF('20.01'!$AM:$AM,$B:$B,'20.01'!$D:$D)*1.2</f>
        <v>0</v>
      </c>
      <c r="BX189" s="110">
        <f>SUMIF('20.01'!$AN:$AN,$B:$B,'20.01'!$D:$D)*1.2</f>
        <v>0</v>
      </c>
      <c r="BY189" s="110">
        <f t="shared" si="158"/>
        <v>320016.71479156177</v>
      </c>
      <c r="BZ189" s="17">
        <f t="shared" si="230"/>
        <v>259244.49032763159</v>
      </c>
      <c r="CA189" s="17">
        <f t="shared" si="159"/>
        <v>26236.888311300201</v>
      </c>
      <c r="CB189" s="17">
        <f t="shared" si="160"/>
        <v>1744.093959617765</v>
      </c>
      <c r="CC189" s="17">
        <f>SUMIF('20.01'!$AO:$AO,$B:$B,'20.01'!$D:$D)*1.2</f>
        <v>0</v>
      </c>
      <c r="CD189" s="17">
        <f t="shared" si="161"/>
        <v>27380.503775312282</v>
      </c>
      <c r="CE189" s="17">
        <f>SUMIF('20.01'!$AQ:$AQ,$B:$B,'20.01'!$D:$D)*1.2</f>
        <v>0</v>
      </c>
      <c r="CF189" s="17">
        <f t="shared" si="162"/>
        <v>2491.1930134544364</v>
      </c>
      <c r="CG189" s="17">
        <f>SUMIF('20.01'!$AR:$AR,$B:$B,'20.01'!$D:$D)*1.2</f>
        <v>0</v>
      </c>
      <c r="CH189" s="17">
        <f t="shared" si="163"/>
        <v>1467.1319209428302</v>
      </c>
      <c r="CI189" s="17">
        <f>SUMIF('20.01'!$AT:$AT,$B:$B,'20.01'!$D:$D)*1.2</f>
        <v>0</v>
      </c>
      <c r="CJ189" s="17">
        <f>SUMIF('20.01'!$AU:$AU,$B:$B,'20.01'!$D:$D)*1.2</f>
        <v>0</v>
      </c>
      <c r="CK189" s="17">
        <f>SUMIF('20.01'!$AV:$AV,$B:$B,'20.01'!$D:$D)*1.2</f>
        <v>0</v>
      </c>
      <c r="CL189" s="17">
        <f t="shared" si="164"/>
        <v>1452.4134833026726</v>
      </c>
      <c r="CM189" s="17">
        <f>SUMIF('20.01'!$AW:$AW,$B:$B,'20.01'!$D:$D)*1.2</f>
        <v>0</v>
      </c>
      <c r="CN189" s="17">
        <f>SUMIF('20.01'!$AX:$AX,$B:$B,'20.01'!$D:$D)*1.2</f>
        <v>0</v>
      </c>
      <c r="CO189" s="110">
        <f t="shared" si="209"/>
        <v>487228.69071786967</v>
      </c>
      <c r="CP189" s="17">
        <f t="shared" si="210"/>
        <v>384346.15164749225</v>
      </c>
      <c r="CQ189" s="17">
        <f t="shared" si="165"/>
        <v>118576.07624827266</v>
      </c>
      <c r="CR189" s="17">
        <f t="shared" si="166"/>
        <v>265770.07539921958</v>
      </c>
      <c r="CS189" s="17">
        <f t="shared" si="211"/>
        <v>102882.53907037739</v>
      </c>
      <c r="CT189" s="17">
        <f t="shared" si="167"/>
        <v>3748.1011495529842</v>
      </c>
      <c r="CU189" s="17">
        <f t="shared" si="168"/>
        <v>3625.2889838448541</v>
      </c>
      <c r="CV189" s="17">
        <f t="shared" si="169"/>
        <v>3746.8153993024985</v>
      </c>
      <c r="CW189" s="17">
        <f t="shared" si="170"/>
        <v>39.289484872899692</v>
      </c>
      <c r="CX189" s="17">
        <f t="shared" si="171"/>
        <v>55323.544731384631</v>
      </c>
      <c r="CY189" s="17">
        <f t="shared" si="172"/>
        <v>36399.49932141952</v>
      </c>
      <c r="CZ189" s="110">
        <f t="shared" si="212"/>
        <v>120942.91627475841</v>
      </c>
      <c r="DA189" s="17">
        <f t="shared" si="213"/>
        <v>4568.5447526627549</v>
      </c>
      <c r="DB189" s="17">
        <f t="shared" si="173"/>
        <v>4335.3813841058045</v>
      </c>
      <c r="DC189" s="17">
        <f t="shared" si="174"/>
        <v>233.16336855695081</v>
      </c>
      <c r="DD189" s="17">
        <f t="shared" si="175"/>
        <v>8050.2999050545059</v>
      </c>
      <c r="DE189" s="17">
        <f t="shared" si="176"/>
        <v>2777.5655904519317</v>
      </c>
      <c r="DF189" s="17">
        <f t="shared" si="177"/>
        <v>3370.9628012112407</v>
      </c>
      <c r="DG189" s="17">
        <f t="shared" si="214"/>
        <v>102175.54322537797</v>
      </c>
      <c r="DH189" s="110">
        <f t="shared" si="215"/>
        <v>75477.827480738386</v>
      </c>
      <c r="DI189" s="17">
        <f t="shared" si="178"/>
        <v>67706.688652570418</v>
      </c>
      <c r="DJ189" s="17">
        <f t="shared" si="179"/>
        <v>7487.9619170555525</v>
      </c>
      <c r="DK189" s="17">
        <f t="shared" si="180"/>
        <v>283.17691111241675</v>
      </c>
      <c r="DL189" s="110">
        <f t="shared" si="216"/>
        <v>571151.2945279408</v>
      </c>
      <c r="DM189" s="17">
        <f t="shared" si="181"/>
        <v>237820.77368355211</v>
      </c>
      <c r="DN189" s="17">
        <f t="shared" si="182"/>
        <v>210897.66722881037</v>
      </c>
      <c r="DO189" s="17">
        <f t="shared" si="183"/>
        <v>122432.85361557835</v>
      </c>
      <c r="DP189" s="110">
        <f t="shared" si="217"/>
        <v>190079.42645472067</v>
      </c>
      <c r="DQ189" s="17">
        <f>SUMIF('20.01'!$BB:$BB,$B:$B,'20.01'!$D:$D)*1.2</f>
        <v>6559.4879999999994</v>
      </c>
      <c r="DR189" s="17">
        <f t="shared" si="184"/>
        <v>182169.501447021</v>
      </c>
      <c r="DS189" s="17">
        <f t="shared" si="185"/>
        <v>1350.4370076996504</v>
      </c>
      <c r="DT189" s="110">
        <f t="shared" si="218"/>
        <v>9292.8719999999994</v>
      </c>
      <c r="DU189" s="17">
        <f>SUMIF('20.01'!$BD:$BD,$B:$B,'20.01'!$D:$D)*1.2</f>
        <v>9292.8719999999994</v>
      </c>
      <c r="DV189" s="17">
        <f t="shared" si="186"/>
        <v>0</v>
      </c>
      <c r="DW189" s="17">
        <f t="shared" si="187"/>
        <v>0</v>
      </c>
      <c r="DX189" s="110">
        <f t="shared" si="188"/>
        <v>1984079.7968424163</v>
      </c>
      <c r="DY189" s="110">
        <f>EC189*EG189</f>
        <v>163747.9872</v>
      </c>
      <c r="DZ189" s="110">
        <f t="shared" si="219"/>
        <v>2147827.7840424161</v>
      </c>
      <c r="EA189" s="257"/>
      <c r="EB189" s="110">
        <f t="shared" si="189"/>
        <v>886.55421686746979</v>
      </c>
      <c r="EC189" s="110">
        <f>SUMIF(еирц!$B:$B,$B:$B,еирц!$K:$K)</f>
        <v>2046849.84</v>
      </c>
      <c r="ED189" s="110">
        <f>SUMIF(еирц!$B:$B,$B:$B,еирц!$P:$P)</f>
        <v>2012590.5499999998</v>
      </c>
      <c r="EE189" s="110">
        <f>SUMIF(еирц!$B:$B,$B:$B,еирц!$S:$S)</f>
        <v>692810.13</v>
      </c>
      <c r="EF189" s="177">
        <f t="shared" si="220"/>
        <v>63656.597374451347</v>
      </c>
      <c r="EG189" s="182">
        <v>0.08</v>
      </c>
      <c r="EH189" s="177">
        <f t="shared" si="222"/>
        <v>-100091.38982554851</v>
      </c>
    </row>
    <row r="190" spans="1:138" ht="12" customHeight="1" x14ac:dyDescent="0.25">
      <c r="A190" s="5">
        <f t="shared" si="223"/>
        <v>186</v>
      </c>
      <c r="B190" s="6" t="s">
        <v>270</v>
      </c>
      <c r="C190" s="7">
        <f t="shared" si="226"/>
        <v>5455.0599999999995</v>
      </c>
      <c r="D190" s="8">
        <v>5434.9</v>
      </c>
      <c r="E190" s="8">
        <v>20.16</v>
      </c>
      <c r="F190" s="8">
        <v>1224.5999999999999</v>
      </c>
      <c r="G190" s="87">
        <f t="shared" si="156"/>
        <v>5455.0599999999995</v>
      </c>
      <c r="H190" s="87">
        <f t="shared" si="157"/>
        <v>5455.0599999999995</v>
      </c>
      <c r="I190" s="91">
        <v>2</v>
      </c>
      <c r="J190" s="112">
        <v>8.561705094436772E-3</v>
      </c>
      <c r="K190" s="17">
        <v>1</v>
      </c>
      <c r="L190" s="112">
        <f t="shared" si="190"/>
        <v>2.4096385542168672E-3</v>
      </c>
      <c r="M190" s="116">
        <v>3.4064178965470462</v>
      </c>
      <c r="N190" s="120">
        <f t="shared" si="191"/>
        <v>5455.0599999999995</v>
      </c>
      <c r="O190" s="116">
        <v>3.0862316416290523</v>
      </c>
      <c r="P190" s="120">
        <f t="shared" si="192"/>
        <v>5455.0599999999995</v>
      </c>
      <c r="Q190" s="116">
        <v>1.6009272558603418</v>
      </c>
      <c r="R190" s="120">
        <f t="shared" si="193"/>
        <v>5455.0599999999995</v>
      </c>
      <c r="S190" s="5" t="s">
        <v>143</v>
      </c>
      <c r="T190" s="87">
        <v>41.34</v>
      </c>
      <c r="U190" s="88">
        <v>4.68</v>
      </c>
      <c r="V190" s="88">
        <v>7.92</v>
      </c>
      <c r="W190" s="88">
        <v>12.32</v>
      </c>
      <c r="X190" s="88">
        <v>6.34</v>
      </c>
      <c r="Y190" s="88">
        <v>2.89</v>
      </c>
      <c r="Z190" s="88">
        <v>1.66</v>
      </c>
      <c r="AA190" s="88">
        <v>5.29</v>
      </c>
      <c r="AB190" s="88">
        <v>0.24</v>
      </c>
      <c r="AC190" s="257"/>
      <c r="AD190" s="110">
        <f t="shared" si="194"/>
        <v>177922.88257517279</v>
      </c>
      <c r="AE190" s="110">
        <f t="shared" si="195"/>
        <v>176390.49043689354</v>
      </c>
      <c r="AF190" s="16">
        <f>SUMIF('20.01'!$I:$I,$B:$B,'20.01'!$D:$D)*1.2</f>
        <v>82542.072</v>
      </c>
      <c r="AG190" s="17">
        <f t="shared" si="229"/>
        <v>14552.072906662161</v>
      </c>
      <c r="AH190" s="17">
        <f t="shared" si="196"/>
        <v>4165.4783434260489</v>
      </c>
      <c r="AI190" s="16">
        <f>SUMIF('20.01'!$J:$J,$B:$B,'20.01'!$D:$D)*1.2</f>
        <v>0</v>
      </c>
      <c r="AJ190" s="17">
        <f t="shared" si="197"/>
        <v>1692.7567499804345</v>
      </c>
      <c r="AK190" s="17">
        <f t="shared" si="198"/>
        <v>4118.1011188205048</v>
      </c>
      <c r="AL190" s="17">
        <f t="shared" si="199"/>
        <v>69320.00931800442</v>
      </c>
      <c r="AM190" s="110">
        <f t="shared" si="200"/>
        <v>0</v>
      </c>
      <c r="AN190" s="17">
        <f>SUMIF('20.01'!$K:$K,$B:$B,'20.01'!$D:$D)*1.2</f>
        <v>0</v>
      </c>
      <c r="AO190" s="17">
        <f>SUMIF('20.01'!$L:$L,$B:$B,'20.01'!$D:$D)*1.2</f>
        <v>0</v>
      </c>
      <c r="AP190" s="17">
        <f>SUMIF('20.01'!$M:$M,$B:$B,'20.01'!$D:$D)*1.2</f>
        <v>0</v>
      </c>
      <c r="AQ190" s="110">
        <f t="shared" si="201"/>
        <v>1532.3921382792496</v>
      </c>
      <c r="AR190" s="17">
        <f t="shared" si="202"/>
        <v>1532.3921382792496</v>
      </c>
      <c r="AS190" s="17">
        <f>(SUMIF('20.01'!$N:$N,$B:$B,'20.01'!$D:$D)+SUMIF('20.01'!$O:$O,$B:$B,'20.01'!$D:$D))*1.2</f>
        <v>0</v>
      </c>
      <c r="AT190" s="110">
        <f>SUMIF('20.01'!$P:$P,$B:$B,'20.01'!$D:$D)*1.2</f>
        <v>0</v>
      </c>
      <c r="AU190" s="110">
        <f t="shared" si="203"/>
        <v>0</v>
      </c>
      <c r="AV190" s="17">
        <f>SUMIF('20.01'!$Q:$Q,$B:$B,'20.01'!$D:$D)*1.2</f>
        <v>0</v>
      </c>
      <c r="AW190" s="17">
        <f>SUMIF('20.01'!$R:$R,$B:$B,'20.01'!$D:$D)*1.2</f>
        <v>0</v>
      </c>
      <c r="AX190" s="110">
        <f t="shared" si="204"/>
        <v>0</v>
      </c>
      <c r="AY190" s="17">
        <f>SUMIF('20.01'!$S:$S,$B:$B,'20.01'!$D:$D)*1.2</f>
        <v>0</v>
      </c>
      <c r="AZ190" s="17">
        <f>SUMIF('20.01'!$T:$T,$B:$B,'20.01'!$D:$D)*1.2</f>
        <v>0</v>
      </c>
      <c r="BA190" s="110">
        <f t="shared" si="205"/>
        <v>0</v>
      </c>
      <c r="BB190" s="17">
        <f>SUMIF('20.01'!$U:$U,$B:$B,'20.01'!$D:$D)*1.2</f>
        <v>0</v>
      </c>
      <c r="BC190" s="17">
        <f>SUMIF('20.01'!$V:$V,$B:$B,'20.01'!$D:$D)*1.2</f>
        <v>0</v>
      </c>
      <c r="BD190" s="17">
        <f>SUMIF('20.01'!$W:$W,$B:$B,'20.01'!$D:$D)*1.2</f>
        <v>0</v>
      </c>
      <c r="BE190" s="110">
        <f>SUMIF('20.01'!$X:$X,$B:$B,'20.01'!$D:$D)*1.2</f>
        <v>0</v>
      </c>
      <c r="BF190" s="110">
        <f t="shared" si="206"/>
        <v>0</v>
      </c>
      <c r="BG190" s="17">
        <f>SUMIF('20.01'!$Y:$Y,$B:$B,'20.01'!$D:$D)*1.2</f>
        <v>0</v>
      </c>
      <c r="BH190" s="17">
        <f>SUMIF('20.01'!$Z:$Z,$B:$B,'20.01'!$D:$D)*1.2</f>
        <v>0</v>
      </c>
      <c r="BI190" s="17">
        <f>SUMIF('20.01'!$AA:$AA,$B:$B,'20.01'!$D:$D)*1.2</f>
        <v>0</v>
      </c>
      <c r="BJ190" s="17">
        <f>SUMIF('20.01'!$AB:$AB,$B:$B,'20.01'!$D:$D)*1.2</f>
        <v>0</v>
      </c>
      <c r="BK190" s="17">
        <f>SUMIF('20.01'!$AC:$AC,$B:$B,'20.01'!$D:$D)*1.2</f>
        <v>0</v>
      </c>
      <c r="BL190" s="17">
        <f>SUMIF('20.01'!$AD:$AD,$B:$B,'20.01'!$D:$D)*1.2</f>
        <v>0</v>
      </c>
      <c r="BM190" s="110">
        <f t="shared" si="207"/>
        <v>0</v>
      </c>
      <c r="BN190" s="17">
        <f>SUMIF('20.01'!$AE:$AE,$B:$B,'20.01'!$D:$D)*1.2</f>
        <v>0</v>
      </c>
      <c r="BO190" s="17">
        <f>SUMIF('20.01'!$AF:$AF,$B:$B,'20.01'!$D:$D)*1.2</f>
        <v>0</v>
      </c>
      <c r="BP190" s="110">
        <f>SUMIF('20.01'!$AG:$AG,$B:$B,'20.01'!$D:$D)*1.2</f>
        <v>0</v>
      </c>
      <c r="BQ190" s="110">
        <f>SUMIF('20.01'!$AH:$AH,$B:$B,'20.01'!$D:$D)*1.2</f>
        <v>0</v>
      </c>
      <c r="BR190" s="110">
        <f>SUMIF('20.01'!$AI:$AI,$B:$B,'20.01'!$D:$D)*1.2</f>
        <v>0</v>
      </c>
      <c r="BS190" s="110">
        <f t="shared" si="208"/>
        <v>0</v>
      </c>
      <c r="BT190" s="17">
        <f>SUMIF('20.01'!$AJ:$AJ,$B:$B,'20.01'!$D:$D)*1.2</f>
        <v>0</v>
      </c>
      <c r="BU190" s="17">
        <f>SUMIF('20.01'!$AK:$AK,$B:$B,'20.01'!$D:$D)*1.2</f>
        <v>0</v>
      </c>
      <c r="BV190" s="110">
        <f>SUMIF('20.01'!$AL:$AL,$B:$B,'20.01'!$D:$D)*1.2</f>
        <v>0</v>
      </c>
      <c r="BW190" s="110">
        <f>SUMIF('20.01'!$AM:$AM,$B:$B,'20.01'!$D:$D)*1.2</f>
        <v>0</v>
      </c>
      <c r="BX190" s="110">
        <f>SUMIF('20.01'!$AN:$AN,$B:$B,'20.01'!$D:$D)*1.2</f>
        <v>0</v>
      </c>
      <c r="BY190" s="110">
        <f t="shared" si="158"/>
        <v>412677.97744571342</v>
      </c>
      <c r="BZ190" s="17">
        <f t="shared" si="230"/>
        <v>334309.07508076448</v>
      </c>
      <c r="CA190" s="17">
        <f t="shared" si="159"/>
        <v>33833.81399258694</v>
      </c>
      <c r="CB190" s="17">
        <f t="shared" si="160"/>
        <v>2249.0986703589629</v>
      </c>
      <c r="CC190" s="17">
        <f>SUMIF('20.01'!$AO:$AO,$B:$B,'20.01'!$D:$D)*1.2</f>
        <v>0</v>
      </c>
      <c r="CD190" s="17">
        <f t="shared" si="161"/>
        <v>35308.564825434965</v>
      </c>
      <c r="CE190" s="17">
        <f>SUMIF('20.01'!$AQ:$AQ,$B:$B,'20.01'!$D:$D)*1.2</f>
        <v>0</v>
      </c>
      <c r="CF190" s="17">
        <f t="shared" si="162"/>
        <v>3212.5212424884771</v>
      </c>
      <c r="CG190" s="17">
        <f>SUMIF('20.01'!$AR:$AR,$B:$B,'20.01'!$D:$D)*1.2</f>
        <v>0</v>
      </c>
      <c r="CH190" s="17">
        <f t="shared" si="163"/>
        <v>1891.9419073940701</v>
      </c>
      <c r="CI190" s="17">
        <f>SUMIF('20.01'!$AT:$AT,$B:$B,'20.01'!$D:$D)*1.2</f>
        <v>0</v>
      </c>
      <c r="CJ190" s="17">
        <f>SUMIF('20.01'!$AU:$AU,$B:$B,'20.01'!$D:$D)*1.2</f>
        <v>0</v>
      </c>
      <c r="CK190" s="17">
        <f>SUMIF('20.01'!$AV:$AV,$B:$B,'20.01'!$D:$D)*1.2</f>
        <v>0</v>
      </c>
      <c r="CL190" s="17">
        <f t="shared" si="164"/>
        <v>1872.9617266855178</v>
      </c>
      <c r="CM190" s="17">
        <f>SUMIF('20.01'!$AW:$AW,$B:$B,'20.01'!$D:$D)*1.2</f>
        <v>0</v>
      </c>
      <c r="CN190" s="17">
        <f>SUMIF('20.01'!$AX:$AX,$B:$B,'20.01'!$D:$D)*1.2</f>
        <v>0</v>
      </c>
      <c r="CO190" s="110">
        <f t="shared" si="209"/>
        <v>628306.40196383675</v>
      </c>
      <c r="CP190" s="17">
        <f t="shared" si="210"/>
        <v>495634.08775144652</v>
      </c>
      <c r="CQ190" s="17">
        <f t="shared" si="165"/>
        <v>152909.93581837791</v>
      </c>
      <c r="CR190" s="17">
        <f t="shared" si="166"/>
        <v>342724.15193306858</v>
      </c>
      <c r="CS190" s="17">
        <f t="shared" si="211"/>
        <v>132672.31421239016</v>
      </c>
      <c r="CT190" s="17">
        <f t="shared" si="167"/>
        <v>4833.3687903362725</v>
      </c>
      <c r="CU190" s="17">
        <f t="shared" si="168"/>
        <v>4674.9961997571527</v>
      </c>
      <c r="CV190" s="17">
        <f t="shared" si="169"/>
        <v>4831.7107494017037</v>
      </c>
      <c r="CW190" s="17">
        <f t="shared" si="170"/>
        <v>50.665807136958108</v>
      </c>
      <c r="CX190" s="17">
        <f t="shared" si="171"/>
        <v>71342.550215684139</v>
      </c>
      <c r="CY190" s="17">
        <f t="shared" si="172"/>
        <v>46939.022450073935</v>
      </c>
      <c r="CZ190" s="110">
        <f t="shared" si="212"/>
        <v>155962.09750219461</v>
      </c>
      <c r="DA190" s="17">
        <f t="shared" si="213"/>
        <v>5891.3729229021064</v>
      </c>
      <c r="DB190" s="17">
        <f t="shared" si="173"/>
        <v>5590.696792865635</v>
      </c>
      <c r="DC190" s="17">
        <f t="shared" si="174"/>
        <v>300.67613003647108</v>
      </c>
      <c r="DD190" s="17">
        <f t="shared" si="175"/>
        <v>10381.274880636052</v>
      </c>
      <c r="DE190" s="17">
        <f t="shared" si="176"/>
        <v>3581.8133775827891</v>
      </c>
      <c r="DF190" s="17">
        <f t="shared" si="177"/>
        <v>4347.0295348625104</v>
      </c>
      <c r="DG190" s="17">
        <f t="shared" si="214"/>
        <v>131760.60678621114</v>
      </c>
      <c r="DH190" s="110">
        <f t="shared" si="215"/>
        <v>97332.532168000733</v>
      </c>
      <c r="DI190" s="17">
        <f t="shared" si="178"/>
        <v>87311.249822961268</v>
      </c>
      <c r="DJ190" s="17">
        <f t="shared" si="179"/>
        <v>9656.1111851101741</v>
      </c>
      <c r="DK190" s="17">
        <f t="shared" si="180"/>
        <v>365.17115992929411</v>
      </c>
      <c r="DL190" s="110">
        <f t="shared" si="216"/>
        <v>736528.90660668269</v>
      </c>
      <c r="DM190" s="17">
        <f t="shared" si="181"/>
        <v>306682.09297201026</v>
      </c>
      <c r="DN190" s="17">
        <f t="shared" si="182"/>
        <v>271963.36546574492</v>
      </c>
      <c r="DO190" s="17">
        <f t="shared" si="183"/>
        <v>157883.44816892743</v>
      </c>
      <c r="DP190" s="110">
        <f t="shared" si="217"/>
        <v>243016.82358015215</v>
      </c>
      <c r="DQ190" s="17">
        <f>SUMIF('20.01'!$BB:$BB,$B:$B,'20.01'!$D:$D)*1.2</f>
        <v>6559.4879999999994</v>
      </c>
      <c r="DR190" s="17">
        <f t="shared" si="184"/>
        <v>234717.35713749219</v>
      </c>
      <c r="DS190" s="17">
        <f t="shared" si="185"/>
        <v>1739.9784426599388</v>
      </c>
      <c r="DT190" s="110">
        <f t="shared" si="218"/>
        <v>10620.432000000001</v>
      </c>
      <c r="DU190" s="17">
        <f>SUMIF('20.01'!$BD:$BD,$B:$B,'20.01'!$D:$D)*1.2</f>
        <v>10620.432000000001</v>
      </c>
      <c r="DV190" s="17">
        <f t="shared" si="186"/>
        <v>0</v>
      </c>
      <c r="DW190" s="17">
        <f t="shared" si="187"/>
        <v>0</v>
      </c>
      <c r="DX190" s="110">
        <f t="shared" si="188"/>
        <v>2462368.0538417534</v>
      </c>
      <c r="DY190" s="110">
        <f>EC190*EG190</f>
        <v>211539.86559999999</v>
      </c>
      <c r="DZ190" s="110">
        <f t="shared" si="219"/>
        <v>2673907.9194417535</v>
      </c>
      <c r="EA190" s="257"/>
      <c r="EB190" s="110">
        <f t="shared" si="189"/>
        <v>886.55421686746979</v>
      </c>
      <c r="EC190" s="110">
        <f>SUMIF(еирц!$B:$B,$B:$B,еирц!$K:$K)</f>
        <v>2644248.3199999998</v>
      </c>
      <c r="ED190" s="110">
        <f>SUMIF(еирц!$B:$B,$B:$B,еирц!$P:$P)</f>
        <v>2668596.9799999995</v>
      </c>
      <c r="EE190" s="110">
        <f>SUMIF(еирц!$B:$B,$B:$B,еирц!$S:$S)</f>
        <v>557553.86</v>
      </c>
      <c r="EF190" s="177">
        <f t="shared" si="220"/>
        <v>182766.82037511375</v>
      </c>
      <c r="EG190" s="182">
        <v>0.08</v>
      </c>
      <c r="EH190" s="177">
        <f t="shared" si="222"/>
        <v>-28773.045224886388</v>
      </c>
    </row>
    <row r="191" spans="1:138" ht="12" customHeight="1" x14ac:dyDescent="0.25">
      <c r="A191" s="5">
        <f t="shared" si="223"/>
        <v>187</v>
      </c>
      <c r="B191" s="6" t="s">
        <v>271</v>
      </c>
      <c r="C191" s="7">
        <f t="shared" si="226"/>
        <v>4167.5</v>
      </c>
      <c r="D191" s="8">
        <v>4167.5</v>
      </c>
      <c r="E191" s="8">
        <v>0</v>
      </c>
      <c r="F191" s="8">
        <v>1164.5999999999999</v>
      </c>
      <c r="G191" s="87">
        <f t="shared" si="156"/>
        <v>4167.5</v>
      </c>
      <c r="H191" s="87">
        <f t="shared" si="157"/>
        <v>4167.5</v>
      </c>
      <c r="I191" s="91">
        <v>2</v>
      </c>
      <c r="J191" s="112">
        <v>6.5442952776864002E-3</v>
      </c>
      <c r="K191" s="17">
        <v>1</v>
      </c>
      <c r="L191" s="112">
        <f t="shared" si="190"/>
        <v>2.4096385542168672E-3</v>
      </c>
      <c r="M191" s="116">
        <v>3.406416183916873</v>
      </c>
      <c r="N191" s="120">
        <f t="shared" si="191"/>
        <v>4167.5</v>
      </c>
      <c r="O191" s="116">
        <v>3.0862298480957979</v>
      </c>
      <c r="P191" s="120">
        <f t="shared" si="192"/>
        <v>4167.5</v>
      </c>
      <c r="Q191" s="116">
        <v>1.6009264188524395</v>
      </c>
      <c r="R191" s="120">
        <f t="shared" si="193"/>
        <v>4167.5</v>
      </c>
      <c r="S191" s="5" t="s">
        <v>143</v>
      </c>
      <c r="T191" s="87">
        <v>41.34</v>
      </c>
      <c r="U191" s="88">
        <v>4.68</v>
      </c>
      <c r="V191" s="88">
        <v>7.92</v>
      </c>
      <c r="W191" s="88">
        <v>12.32</v>
      </c>
      <c r="X191" s="88">
        <v>6.34</v>
      </c>
      <c r="Y191" s="88">
        <v>2.89</v>
      </c>
      <c r="Z191" s="88">
        <v>1.66</v>
      </c>
      <c r="AA191" s="88">
        <v>5.29</v>
      </c>
      <c r="AB191" s="88">
        <v>0.24</v>
      </c>
      <c r="AC191" s="257"/>
      <c r="AD191" s="110">
        <f t="shared" si="194"/>
        <v>891119.21559480426</v>
      </c>
      <c r="AE191" s="110">
        <f t="shared" si="195"/>
        <v>204176.07858761481</v>
      </c>
      <c r="AF191" s="16">
        <f>SUMIF('20.01'!$I:$I,$B:$B,'20.01'!$D:$D)*1.2</f>
        <v>132478.74</v>
      </c>
      <c r="AG191" s="17">
        <f t="shared" si="229"/>
        <v>11117.341301198256</v>
      </c>
      <c r="AH191" s="17">
        <f t="shared" si="196"/>
        <v>3182.2988191198742</v>
      </c>
      <c r="AI191" s="16">
        <f>SUMIF('20.01'!$J:$J,$B:$B,'20.01'!$D:$D)*1.2</f>
        <v>0</v>
      </c>
      <c r="AJ191" s="17">
        <f t="shared" si="197"/>
        <v>1293.2146952633814</v>
      </c>
      <c r="AK191" s="17">
        <f t="shared" si="198"/>
        <v>3146.1040598425047</v>
      </c>
      <c r="AL191" s="17">
        <f t="shared" si="199"/>
        <v>52958.379712190785</v>
      </c>
      <c r="AM191" s="110">
        <f t="shared" si="200"/>
        <v>0</v>
      </c>
      <c r="AN191" s="17">
        <f>SUMIF('20.01'!$K:$K,$B:$B,'20.01'!$D:$D)*1.2</f>
        <v>0</v>
      </c>
      <c r="AO191" s="17">
        <f>SUMIF('20.01'!$L:$L,$B:$B,'20.01'!$D:$D)*1.2</f>
        <v>0</v>
      </c>
      <c r="AP191" s="17">
        <f>SUMIF('20.01'!$M:$M,$B:$B,'20.01'!$D:$D)*1.2</f>
        <v>0</v>
      </c>
      <c r="AQ191" s="110">
        <f t="shared" si="201"/>
        <v>1170.7010071894301</v>
      </c>
      <c r="AR191" s="17">
        <f t="shared" si="202"/>
        <v>1170.7010071894301</v>
      </c>
      <c r="AS191" s="17">
        <f>(SUMIF('20.01'!$N:$N,$B:$B,'20.01'!$D:$D)+SUMIF('20.01'!$O:$O,$B:$B,'20.01'!$D:$D))*1.2</f>
        <v>0</v>
      </c>
      <c r="AT191" s="110">
        <f>SUMIF('20.01'!$P:$P,$B:$B,'20.01'!$D:$D)*1.2</f>
        <v>0</v>
      </c>
      <c r="AU191" s="110">
        <f t="shared" si="203"/>
        <v>0</v>
      </c>
      <c r="AV191" s="17">
        <f>SUMIF('20.01'!$Q:$Q,$B:$B,'20.01'!$D:$D)*1.2</f>
        <v>0</v>
      </c>
      <c r="AW191" s="17">
        <f>SUMIF('20.01'!$R:$R,$B:$B,'20.01'!$D:$D)*1.2</f>
        <v>0</v>
      </c>
      <c r="AX191" s="110">
        <f t="shared" si="204"/>
        <v>22621.331999999999</v>
      </c>
      <c r="AY191" s="17">
        <f>SUMIF('20.01'!$S:$S,$B:$B,'20.01'!$D:$D)*1.2</f>
        <v>22621.331999999999</v>
      </c>
      <c r="AZ191" s="17">
        <f>SUMIF('20.01'!$T:$T,$B:$B,'20.01'!$D:$D)*1.2</f>
        <v>0</v>
      </c>
      <c r="BA191" s="110">
        <f t="shared" si="205"/>
        <v>0</v>
      </c>
      <c r="BB191" s="17">
        <f>SUMIF('20.01'!$U:$U,$B:$B,'20.01'!$D:$D)*1.2</f>
        <v>0</v>
      </c>
      <c r="BC191" s="17">
        <f>SUMIF('20.01'!$V:$V,$B:$B,'20.01'!$D:$D)*1.2</f>
        <v>0</v>
      </c>
      <c r="BD191" s="17">
        <f>SUMIF('20.01'!$W:$W,$B:$B,'20.01'!$D:$D)*1.2</f>
        <v>0</v>
      </c>
      <c r="BE191" s="110">
        <f>SUMIF('20.01'!$X:$X,$B:$B,'20.01'!$D:$D)*1.2</f>
        <v>0</v>
      </c>
      <c r="BF191" s="110">
        <f t="shared" si="206"/>
        <v>0</v>
      </c>
      <c r="BG191" s="17">
        <f>SUMIF('20.01'!$Y:$Y,$B:$B,'20.01'!$D:$D)*1.2</f>
        <v>0</v>
      </c>
      <c r="BH191" s="17">
        <f>SUMIF('20.01'!$Z:$Z,$B:$B,'20.01'!$D:$D)*1.2</f>
        <v>0</v>
      </c>
      <c r="BI191" s="17">
        <f>SUMIF('20.01'!$AA:$AA,$B:$B,'20.01'!$D:$D)*1.2</f>
        <v>0</v>
      </c>
      <c r="BJ191" s="17">
        <f>SUMIF('20.01'!$AB:$AB,$B:$B,'20.01'!$D:$D)*1.2</f>
        <v>0</v>
      </c>
      <c r="BK191" s="17">
        <f>SUMIF('20.01'!$AC:$AC,$B:$B,'20.01'!$D:$D)*1.2</f>
        <v>0</v>
      </c>
      <c r="BL191" s="17">
        <f>SUMIF('20.01'!$AD:$AD,$B:$B,'20.01'!$D:$D)*1.2</f>
        <v>0</v>
      </c>
      <c r="BM191" s="110">
        <f t="shared" si="207"/>
        <v>0</v>
      </c>
      <c r="BN191" s="17">
        <f>SUMIF('20.01'!$AE:$AE,$B:$B,'20.01'!$D:$D)*1.2</f>
        <v>0</v>
      </c>
      <c r="BO191" s="17">
        <f>SUMIF('20.01'!$AF:$AF,$B:$B,'20.01'!$D:$D)*1.2</f>
        <v>0</v>
      </c>
      <c r="BP191" s="110">
        <f>SUMIF('20.01'!$AG:$AG,$B:$B,'20.01'!$D:$D)*1.2</f>
        <v>0</v>
      </c>
      <c r="BQ191" s="110">
        <f>SUMIF('20.01'!$AH:$AH,$B:$B,'20.01'!$D:$D)*1.2</f>
        <v>0</v>
      </c>
      <c r="BR191" s="110">
        <f>SUMIF('20.01'!$AI:$AI,$B:$B,'20.01'!$D:$D)*1.2</f>
        <v>0</v>
      </c>
      <c r="BS191" s="110">
        <f t="shared" si="208"/>
        <v>0</v>
      </c>
      <c r="BT191" s="17">
        <f>SUMIF('20.01'!$AJ:$AJ,$B:$B,'20.01'!$D:$D)*1.2</f>
        <v>0</v>
      </c>
      <c r="BU191" s="17">
        <f>SUMIF('20.01'!$AK:$AK,$B:$B,'20.01'!$D:$D)*1.2</f>
        <v>0</v>
      </c>
      <c r="BV191" s="110">
        <f>SUMIF('20.01'!$AL:$AL,$B:$B,'20.01'!$D:$D)*1.2</f>
        <v>663151.10400000005</v>
      </c>
      <c r="BW191" s="110">
        <f>SUMIF('20.01'!$AM:$AM,$B:$B,'20.01'!$D:$D)*1.2</f>
        <v>0</v>
      </c>
      <c r="BX191" s="110">
        <f>SUMIF('20.01'!$AN:$AN,$B:$B,'20.01'!$D:$D)*1.2</f>
        <v>0</v>
      </c>
      <c r="BY191" s="110">
        <f t="shared" si="158"/>
        <v>315273.42889079329</v>
      </c>
      <c r="BZ191" s="17">
        <f t="shared" si="230"/>
        <v>255401.96998733032</v>
      </c>
      <c r="CA191" s="17">
        <f t="shared" si="159"/>
        <v>25848.00530408576</v>
      </c>
      <c r="CB191" s="17">
        <f t="shared" si="160"/>
        <v>1718.2430090083296</v>
      </c>
      <c r="CC191" s="17">
        <f>SUMIF('20.01'!$AO:$AO,$B:$B,'20.01'!$D:$D)*1.2</f>
        <v>0</v>
      </c>
      <c r="CD191" s="17">
        <f t="shared" si="161"/>
        <v>26974.670106286685</v>
      </c>
      <c r="CE191" s="17">
        <f>SUMIF('20.01'!$AQ:$AQ,$B:$B,'20.01'!$D:$D)*1.2</f>
        <v>0</v>
      </c>
      <c r="CF191" s="17">
        <f t="shared" si="162"/>
        <v>2454.2685649783375</v>
      </c>
      <c r="CG191" s="17">
        <f>SUMIF('20.01'!$AR:$AR,$B:$B,'20.01'!$D:$D)*1.2</f>
        <v>0</v>
      </c>
      <c r="CH191" s="17">
        <f t="shared" si="163"/>
        <v>1445.3861000731042</v>
      </c>
      <c r="CI191" s="17">
        <f>SUMIF('20.01'!$AT:$AT,$B:$B,'20.01'!$D:$D)*1.2</f>
        <v>0</v>
      </c>
      <c r="CJ191" s="17">
        <f>SUMIF('20.01'!$AU:$AU,$B:$B,'20.01'!$D:$D)*1.2</f>
        <v>0</v>
      </c>
      <c r="CK191" s="17">
        <f>SUMIF('20.01'!$AV:$AV,$B:$B,'20.01'!$D:$D)*1.2</f>
        <v>0</v>
      </c>
      <c r="CL191" s="17">
        <f t="shared" si="164"/>
        <v>1430.8858190307524</v>
      </c>
      <c r="CM191" s="17">
        <f>SUMIF('20.01'!$AW:$AW,$B:$B,'20.01'!$D:$D)*1.2</f>
        <v>0</v>
      </c>
      <c r="CN191" s="17">
        <f>SUMIF('20.01'!$AX:$AX,$B:$B,'20.01'!$D:$D)*1.2</f>
        <v>0</v>
      </c>
      <c r="CO191" s="110">
        <f t="shared" si="209"/>
        <v>480006.98987440823</v>
      </c>
      <c r="CP191" s="17">
        <f t="shared" si="210"/>
        <v>378649.37520470051</v>
      </c>
      <c r="CQ191" s="17">
        <f t="shared" si="165"/>
        <v>116818.54233007337</v>
      </c>
      <c r="CR191" s="17">
        <f t="shared" si="166"/>
        <v>261830.83287462711</v>
      </c>
      <c r="CS191" s="17">
        <f t="shared" si="211"/>
        <v>101357.61466970775</v>
      </c>
      <c r="CT191" s="17">
        <f t="shared" si="167"/>
        <v>3692.5468159335401</v>
      </c>
      <c r="CU191" s="17">
        <f t="shared" si="168"/>
        <v>3571.5549714371496</v>
      </c>
      <c r="CV191" s="17">
        <f t="shared" si="169"/>
        <v>3691.2801230658511</v>
      </c>
      <c r="CW191" s="17">
        <f t="shared" si="170"/>
        <v>38.707136354737237</v>
      </c>
      <c r="CX191" s="17">
        <f t="shared" si="171"/>
        <v>54503.539470484953</v>
      </c>
      <c r="CY191" s="17">
        <f t="shared" si="172"/>
        <v>35859.986152431527</v>
      </c>
      <c r="CZ191" s="110">
        <f t="shared" si="212"/>
        <v>119150.30106733859</v>
      </c>
      <c r="DA191" s="17">
        <f t="shared" si="213"/>
        <v>4500.8298086903769</v>
      </c>
      <c r="DB191" s="17">
        <f t="shared" si="173"/>
        <v>4271.1223862372799</v>
      </c>
      <c r="DC191" s="17">
        <f t="shared" si="174"/>
        <v>229.70742245309739</v>
      </c>
      <c r="DD191" s="17">
        <f t="shared" si="175"/>
        <v>7930.9784062963108</v>
      </c>
      <c r="DE191" s="17">
        <f t="shared" si="176"/>
        <v>2736.3965292913872</v>
      </c>
      <c r="DF191" s="17">
        <f t="shared" si="177"/>
        <v>3320.9984100155662</v>
      </c>
      <c r="DG191" s="17">
        <f t="shared" si="214"/>
        <v>100661.09791304494</v>
      </c>
      <c r="DH191" s="110">
        <f t="shared" si="215"/>
        <v>74359.095557178676</v>
      </c>
      <c r="DI191" s="17">
        <f t="shared" si="178"/>
        <v>66703.140503897506</v>
      </c>
      <c r="DJ191" s="17">
        <f t="shared" si="179"/>
        <v>7376.975388711885</v>
      </c>
      <c r="DK191" s="17">
        <f t="shared" si="180"/>
        <v>278.97966456928674</v>
      </c>
      <c r="DL191" s="110">
        <f t="shared" si="216"/>
        <v>562685.69333487621</v>
      </c>
      <c r="DM191" s="17">
        <f t="shared" si="181"/>
        <v>234295.79554777633</v>
      </c>
      <c r="DN191" s="17">
        <f t="shared" si="182"/>
        <v>207771.743221613</v>
      </c>
      <c r="DO191" s="17">
        <f t="shared" si="183"/>
        <v>120618.15456548693</v>
      </c>
      <c r="DP191" s="110">
        <f t="shared" si="217"/>
        <v>187299.96055108079</v>
      </c>
      <c r="DQ191" s="17">
        <f>SUMIF('20.01'!$BB:$BB,$B:$B,'20.01'!$D:$D)*1.2</f>
        <v>6559.4879999999994</v>
      </c>
      <c r="DR191" s="17">
        <f t="shared" si="184"/>
        <v>179410.48832714686</v>
      </c>
      <c r="DS191" s="17">
        <f t="shared" si="185"/>
        <v>1329.9842239339196</v>
      </c>
      <c r="DT191" s="110">
        <f t="shared" si="218"/>
        <v>9292.8719999999994</v>
      </c>
      <c r="DU191" s="17">
        <f>SUMIF('20.01'!$BD:$BD,$B:$B,'20.01'!$D:$D)*1.2</f>
        <v>9292.8719999999994</v>
      </c>
      <c r="DV191" s="17">
        <f t="shared" si="186"/>
        <v>0</v>
      </c>
      <c r="DW191" s="17">
        <f t="shared" si="187"/>
        <v>0</v>
      </c>
      <c r="DX191" s="110">
        <f t="shared" si="188"/>
        <v>2639187.5568704796</v>
      </c>
      <c r="DY191" s="110"/>
      <c r="DZ191" s="110">
        <f t="shared" si="219"/>
        <v>2639187.5568704796</v>
      </c>
      <c r="EA191" s="257"/>
      <c r="EB191" s="110">
        <f t="shared" si="189"/>
        <v>886.55421686746979</v>
      </c>
      <c r="EC191" s="110">
        <f>SUMIF(еирц!$B:$B,$B:$B,еирц!$K:$K)</f>
        <v>2027195.56</v>
      </c>
      <c r="ED191" s="110">
        <f>SUMIF(еирц!$B:$B,$B:$B,еирц!$P:$P)</f>
        <v>2104424.09</v>
      </c>
      <c r="EE191" s="110">
        <f>SUMIF(еирц!$B:$B,$B:$B,еирц!$S:$S)</f>
        <v>174690.43</v>
      </c>
      <c r="EF191" s="177">
        <f t="shared" si="220"/>
        <v>-611105.442653612</v>
      </c>
      <c r="EG191" s="181">
        <f t="shared" si="221"/>
        <v>0</v>
      </c>
      <c r="EH191" s="177">
        <f t="shared" si="222"/>
        <v>-611105.442653612</v>
      </c>
    </row>
    <row r="192" spans="1:138" ht="12" customHeight="1" x14ac:dyDescent="0.25">
      <c r="A192" s="5">
        <f t="shared" si="223"/>
        <v>188</v>
      </c>
      <c r="B192" s="6" t="s">
        <v>272</v>
      </c>
      <c r="C192" s="7">
        <f t="shared" si="226"/>
        <v>4184.8</v>
      </c>
      <c r="D192" s="8">
        <v>4184.8</v>
      </c>
      <c r="E192" s="8">
        <v>0</v>
      </c>
      <c r="F192" s="8">
        <v>1100.4000000000001</v>
      </c>
      <c r="G192" s="87">
        <f t="shared" si="156"/>
        <v>4184.8</v>
      </c>
      <c r="H192" s="87">
        <f t="shared" si="157"/>
        <v>4184.8</v>
      </c>
      <c r="I192" s="91">
        <v>2</v>
      </c>
      <c r="J192" s="112">
        <v>6.5705238557785227E-3</v>
      </c>
      <c r="K192" s="17">
        <v>1</v>
      </c>
      <c r="L192" s="112">
        <f t="shared" si="190"/>
        <v>2.4096385542168672E-3</v>
      </c>
      <c r="M192" s="116">
        <v>3.4064171559720764</v>
      </c>
      <c r="N192" s="120">
        <f t="shared" si="191"/>
        <v>4184.8</v>
      </c>
      <c r="O192" s="116">
        <v>3.0862299321028974</v>
      </c>
      <c r="P192" s="120">
        <f t="shared" si="192"/>
        <v>4184.8</v>
      </c>
      <c r="Q192" s="116">
        <v>1.6009282585827675</v>
      </c>
      <c r="R192" s="120">
        <f t="shared" si="193"/>
        <v>4184.8</v>
      </c>
      <c r="S192" s="5" t="s">
        <v>143</v>
      </c>
      <c r="T192" s="87">
        <v>41.34</v>
      </c>
      <c r="U192" s="88">
        <v>4.68</v>
      </c>
      <c r="V192" s="88">
        <v>7.92</v>
      </c>
      <c r="W192" s="88">
        <v>12.32</v>
      </c>
      <c r="X192" s="88">
        <v>6.34</v>
      </c>
      <c r="Y192" s="88">
        <v>2.89</v>
      </c>
      <c r="Z192" s="88">
        <v>1.66</v>
      </c>
      <c r="AA192" s="88">
        <v>5.29</v>
      </c>
      <c r="AB192" s="88">
        <v>0.24</v>
      </c>
      <c r="AC192" s="257"/>
      <c r="AD192" s="110">
        <f t="shared" si="194"/>
        <v>138708.07119768127</v>
      </c>
      <c r="AE192" s="110">
        <f t="shared" si="195"/>
        <v>137532.51041186572</v>
      </c>
      <c r="AF192" s="16">
        <f>SUMIF('20.01'!$I:$I,$B:$B,'20.01'!$D:$D)*1.2</f>
        <v>65537.543999999994</v>
      </c>
      <c r="AG192" s="17">
        <f t="shared" si="229"/>
        <v>11163.491272286614</v>
      </c>
      <c r="AH192" s="17">
        <f t="shared" si="196"/>
        <v>3195.5090817643309</v>
      </c>
      <c r="AI192" s="16">
        <f>SUMIF('20.01'!$J:$J,$B:$B,'20.01'!$D:$D)*1.2</f>
        <v>0</v>
      </c>
      <c r="AJ192" s="17">
        <f t="shared" si="197"/>
        <v>1298.5830490073663</v>
      </c>
      <c r="AK192" s="17">
        <f t="shared" si="198"/>
        <v>3159.1640718965605</v>
      </c>
      <c r="AL192" s="17">
        <f t="shared" si="199"/>
        <v>53178.218936910853</v>
      </c>
      <c r="AM192" s="110">
        <f t="shared" si="200"/>
        <v>0</v>
      </c>
      <c r="AN192" s="17">
        <f>SUMIF('20.01'!$K:$K,$B:$B,'20.01'!$D:$D)*1.2</f>
        <v>0</v>
      </c>
      <c r="AO192" s="17">
        <f>SUMIF('20.01'!$L:$L,$B:$B,'20.01'!$D:$D)*1.2</f>
        <v>0</v>
      </c>
      <c r="AP192" s="17">
        <f>SUMIF('20.01'!$M:$M,$B:$B,'20.01'!$D:$D)*1.2</f>
        <v>0</v>
      </c>
      <c r="AQ192" s="110">
        <f t="shared" si="201"/>
        <v>1175.5607858155556</v>
      </c>
      <c r="AR192" s="17">
        <f t="shared" si="202"/>
        <v>1175.5607858155556</v>
      </c>
      <c r="AS192" s="17">
        <f>(SUMIF('20.01'!$N:$N,$B:$B,'20.01'!$D:$D)+SUMIF('20.01'!$O:$O,$B:$B,'20.01'!$D:$D))*1.2</f>
        <v>0</v>
      </c>
      <c r="AT192" s="110">
        <f>SUMIF('20.01'!$P:$P,$B:$B,'20.01'!$D:$D)*1.2</f>
        <v>0</v>
      </c>
      <c r="AU192" s="110">
        <f t="shared" si="203"/>
        <v>0</v>
      </c>
      <c r="AV192" s="17">
        <f>SUMIF('20.01'!$Q:$Q,$B:$B,'20.01'!$D:$D)*1.2</f>
        <v>0</v>
      </c>
      <c r="AW192" s="17">
        <f>SUMIF('20.01'!$R:$R,$B:$B,'20.01'!$D:$D)*1.2</f>
        <v>0</v>
      </c>
      <c r="AX192" s="110">
        <f t="shared" si="204"/>
        <v>0</v>
      </c>
      <c r="AY192" s="17">
        <f>SUMIF('20.01'!$S:$S,$B:$B,'20.01'!$D:$D)*1.2</f>
        <v>0</v>
      </c>
      <c r="AZ192" s="17">
        <f>SUMIF('20.01'!$T:$T,$B:$B,'20.01'!$D:$D)*1.2</f>
        <v>0</v>
      </c>
      <c r="BA192" s="110">
        <f t="shared" si="205"/>
        <v>0</v>
      </c>
      <c r="BB192" s="17">
        <f>SUMIF('20.01'!$U:$U,$B:$B,'20.01'!$D:$D)*1.2</f>
        <v>0</v>
      </c>
      <c r="BC192" s="17">
        <f>SUMIF('20.01'!$V:$V,$B:$B,'20.01'!$D:$D)*1.2</f>
        <v>0</v>
      </c>
      <c r="BD192" s="17">
        <f>SUMIF('20.01'!$W:$W,$B:$B,'20.01'!$D:$D)*1.2</f>
        <v>0</v>
      </c>
      <c r="BE192" s="110">
        <f>SUMIF('20.01'!$X:$X,$B:$B,'20.01'!$D:$D)*1.2</f>
        <v>0</v>
      </c>
      <c r="BF192" s="110">
        <f t="shared" si="206"/>
        <v>0</v>
      </c>
      <c r="BG192" s="17">
        <f>SUMIF('20.01'!$Y:$Y,$B:$B,'20.01'!$D:$D)*1.2</f>
        <v>0</v>
      </c>
      <c r="BH192" s="17">
        <f>SUMIF('20.01'!$Z:$Z,$B:$B,'20.01'!$D:$D)*1.2</f>
        <v>0</v>
      </c>
      <c r="BI192" s="17">
        <f>SUMIF('20.01'!$AA:$AA,$B:$B,'20.01'!$D:$D)*1.2</f>
        <v>0</v>
      </c>
      <c r="BJ192" s="17">
        <f>SUMIF('20.01'!$AB:$AB,$B:$B,'20.01'!$D:$D)*1.2</f>
        <v>0</v>
      </c>
      <c r="BK192" s="17">
        <f>SUMIF('20.01'!$AC:$AC,$B:$B,'20.01'!$D:$D)*1.2</f>
        <v>0</v>
      </c>
      <c r="BL192" s="17">
        <f>SUMIF('20.01'!$AD:$AD,$B:$B,'20.01'!$D:$D)*1.2</f>
        <v>0</v>
      </c>
      <c r="BM192" s="110">
        <f t="shared" si="207"/>
        <v>0</v>
      </c>
      <c r="BN192" s="17">
        <f>SUMIF('20.01'!$AE:$AE,$B:$B,'20.01'!$D:$D)*1.2</f>
        <v>0</v>
      </c>
      <c r="BO192" s="17">
        <f>SUMIF('20.01'!$AF:$AF,$B:$B,'20.01'!$D:$D)*1.2</f>
        <v>0</v>
      </c>
      <c r="BP192" s="110">
        <f>SUMIF('20.01'!$AG:$AG,$B:$B,'20.01'!$D:$D)*1.2</f>
        <v>0</v>
      </c>
      <c r="BQ192" s="110">
        <f>SUMIF('20.01'!$AH:$AH,$B:$B,'20.01'!$D:$D)*1.2</f>
        <v>0</v>
      </c>
      <c r="BR192" s="110">
        <f>SUMIF('20.01'!$AI:$AI,$B:$B,'20.01'!$D:$D)*1.2</f>
        <v>0</v>
      </c>
      <c r="BS192" s="110">
        <f t="shared" si="208"/>
        <v>0</v>
      </c>
      <c r="BT192" s="17">
        <f>SUMIF('20.01'!$AJ:$AJ,$B:$B,'20.01'!$D:$D)*1.2</f>
        <v>0</v>
      </c>
      <c r="BU192" s="17">
        <f>SUMIF('20.01'!$AK:$AK,$B:$B,'20.01'!$D:$D)*1.2</f>
        <v>0</v>
      </c>
      <c r="BV192" s="110">
        <f>SUMIF('20.01'!$AL:$AL,$B:$B,'20.01'!$D:$D)*1.2</f>
        <v>0</v>
      </c>
      <c r="BW192" s="110">
        <f>SUMIF('20.01'!$AM:$AM,$B:$B,'20.01'!$D:$D)*1.2</f>
        <v>0</v>
      </c>
      <c r="BX192" s="110">
        <f>SUMIF('20.01'!$AN:$AN,$B:$B,'20.01'!$D:$D)*1.2</f>
        <v>0</v>
      </c>
      <c r="BY192" s="110">
        <f t="shared" si="158"/>
        <v>316582.18241684261</v>
      </c>
      <c r="BZ192" s="17">
        <f t="shared" si="230"/>
        <v>256462.18692333053</v>
      </c>
      <c r="CA192" s="17">
        <f t="shared" si="159"/>
        <v>25955.3047622167</v>
      </c>
      <c r="CB192" s="17">
        <f t="shared" si="160"/>
        <v>1725.3757274380464</v>
      </c>
      <c r="CC192" s="17">
        <f>SUMIF('20.01'!$AO:$AO,$B:$B,'20.01'!$D:$D)*1.2</f>
        <v>0</v>
      </c>
      <c r="CD192" s="17">
        <f t="shared" si="161"/>
        <v>27086.646541280988</v>
      </c>
      <c r="CE192" s="17">
        <f>SUMIF('20.01'!$AQ:$AQ,$B:$B,'20.01'!$D:$D)*1.2</f>
        <v>0</v>
      </c>
      <c r="CF192" s="17">
        <f t="shared" si="162"/>
        <v>2464.456650443035</v>
      </c>
      <c r="CG192" s="17">
        <f>SUMIF('20.01'!$AR:$AR,$B:$B,'20.01'!$D:$D)*1.2</f>
        <v>0</v>
      </c>
      <c r="CH192" s="17">
        <f t="shared" si="163"/>
        <v>1451.386143151992</v>
      </c>
      <c r="CI192" s="17">
        <f>SUMIF('20.01'!$AT:$AT,$B:$B,'20.01'!$D:$D)*1.2</f>
        <v>0</v>
      </c>
      <c r="CJ192" s="17">
        <f>SUMIF('20.01'!$AU:$AU,$B:$B,'20.01'!$D:$D)*1.2</f>
        <v>0</v>
      </c>
      <c r="CK192" s="17">
        <f>SUMIF('20.01'!$AV:$AV,$B:$B,'20.01'!$D:$D)*1.2</f>
        <v>0</v>
      </c>
      <c r="CL192" s="17">
        <f t="shared" si="164"/>
        <v>1436.8256689813779</v>
      </c>
      <c r="CM192" s="17">
        <f>SUMIF('20.01'!$AW:$AW,$B:$B,'20.01'!$D:$D)*1.2</f>
        <v>0</v>
      </c>
      <c r="CN192" s="17">
        <f>SUMIF('20.01'!$AX:$AX,$B:$B,'20.01'!$D:$D)*1.2</f>
        <v>0</v>
      </c>
      <c r="CO192" s="110">
        <f t="shared" si="209"/>
        <v>481999.58037826605</v>
      </c>
      <c r="CP192" s="17">
        <f t="shared" si="210"/>
        <v>380221.21304298274</v>
      </c>
      <c r="CQ192" s="17">
        <f t="shared" si="165"/>
        <v>117303.47593110762</v>
      </c>
      <c r="CR192" s="17">
        <f t="shared" si="166"/>
        <v>262917.73711187515</v>
      </c>
      <c r="CS192" s="17">
        <f t="shared" si="211"/>
        <v>101778.36733528328</v>
      </c>
      <c r="CT192" s="17">
        <f t="shared" si="167"/>
        <v>3707.8752046355562</v>
      </c>
      <c r="CU192" s="17">
        <f t="shared" si="168"/>
        <v>3586.3811024523534</v>
      </c>
      <c r="CV192" s="17">
        <f t="shared" si="169"/>
        <v>3706.6032535107315</v>
      </c>
      <c r="CW192" s="17">
        <f t="shared" si="170"/>
        <v>38.867816248903274</v>
      </c>
      <c r="CX192" s="17">
        <f t="shared" si="171"/>
        <v>54729.792915677375</v>
      </c>
      <c r="CY192" s="17">
        <f t="shared" si="172"/>
        <v>36008.84704275836</v>
      </c>
      <c r="CZ192" s="110">
        <f t="shared" si="212"/>
        <v>119644.91419474469</v>
      </c>
      <c r="DA192" s="17">
        <f t="shared" si="213"/>
        <v>4519.5135173143344</v>
      </c>
      <c r="DB192" s="17">
        <f t="shared" si="173"/>
        <v>4288.8525403541134</v>
      </c>
      <c r="DC192" s="17">
        <f t="shared" si="174"/>
        <v>230.66097696022123</v>
      </c>
      <c r="DD192" s="17">
        <f t="shared" si="175"/>
        <v>7963.9012440716988</v>
      </c>
      <c r="DE192" s="17">
        <f t="shared" si="176"/>
        <v>2747.7557758316971</v>
      </c>
      <c r="DF192" s="17">
        <f t="shared" si="177"/>
        <v>3334.7844382083122</v>
      </c>
      <c r="DG192" s="17">
        <f t="shared" si="214"/>
        <v>101078.95921931865</v>
      </c>
      <c r="DH192" s="110">
        <f t="shared" si="215"/>
        <v>74667.77278648621</v>
      </c>
      <c r="DI192" s="17">
        <f t="shared" si="178"/>
        <v>66980.036564057649</v>
      </c>
      <c r="DJ192" s="17">
        <f t="shared" si="179"/>
        <v>7407.5984659103769</v>
      </c>
      <c r="DK192" s="17">
        <f t="shared" si="180"/>
        <v>280.13775651818867</v>
      </c>
      <c r="DL192" s="110">
        <f t="shared" si="216"/>
        <v>565021.49717283517</v>
      </c>
      <c r="DM192" s="17">
        <f t="shared" si="181"/>
        <v>235268.39717056617</v>
      </c>
      <c r="DN192" s="17">
        <f t="shared" si="182"/>
        <v>208634.23900031339</v>
      </c>
      <c r="DO192" s="17">
        <f t="shared" si="183"/>
        <v>121118.86100195553</v>
      </c>
      <c r="DP192" s="110">
        <f t="shared" si="217"/>
        <v>188024.34192410298</v>
      </c>
      <c r="DQ192" s="17">
        <f>SUMIF('20.01'!$BB:$BB,$B:$B,'20.01'!$D:$D)*1.2</f>
        <v>6559.4879999999994</v>
      </c>
      <c r="DR192" s="17">
        <f t="shared" si="184"/>
        <v>180129.53931796615</v>
      </c>
      <c r="DS192" s="17">
        <f t="shared" si="185"/>
        <v>1335.3146061368254</v>
      </c>
      <c r="DT192" s="110">
        <f t="shared" si="218"/>
        <v>9292.8719999999994</v>
      </c>
      <c r="DU192" s="17">
        <f>SUMIF('20.01'!$BD:$BD,$B:$B,'20.01'!$D:$D)*1.2</f>
        <v>9292.8719999999994</v>
      </c>
      <c r="DV192" s="17">
        <f t="shared" si="186"/>
        <v>0</v>
      </c>
      <c r="DW192" s="17">
        <f t="shared" si="187"/>
        <v>0</v>
      </c>
      <c r="DX192" s="110">
        <f t="shared" si="188"/>
        <v>1893941.2320709592</v>
      </c>
      <c r="DY192" s="110">
        <f t="shared" ref="DY192:DY197" si="231">EC192*EG192</f>
        <v>152799.4977190005</v>
      </c>
      <c r="DZ192" s="110">
        <f t="shared" si="219"/>
        <v>2046740.7297899597</v>
      </c>
      <c r="EA192" s="257"/>
      <c r="EB192" s="110">
        <f t="shared" si="189"/>
        <v>886.55421686746979</v>
      </c>
      <c r="EC192" s="110">
        <f>SUMIF(еирц!$B:$B,$B:$B,еирц!$K:$K)</f>
        <v>2036074.2</v>
      </c>
      <c r="ED192" s="110">
        <f>SUMIF(еирц!$B:$B,$B:$B,еирц!$P:$P)</f>
        <v>2065771.85</v>
      </c>
      <c r="EE192" s="110">
        <f>SUMIF(еирц!$B:$B,$B:$B,еирц!$S:$S)</f>
        <v>404403.08999999997</v>
      </c>
      <c r="EF192" s="177">
        <f t="shared" si="220"/>
        <v>143019.52214590833</v>
      </c>
      <c r="EG192" s="181">
        <f t="shared" si="221"/>
        <v>7.5046134231748773E-2</v>
      </c>
      <c r="EH192" s="177">
        <f t="shared" si="222"/>
        <v>-9779.9755730922334</v>
      </c>
    </row>
    <row r="193" spans="1:138" ht="12" customHeight="1" x14ac:dyDescent="0.25">
      <c r="A193" s="5">
        <f t="shared" si="223"/>
        <v>189</v>
      </c>
      <c r="B193" s="6" t="s">
        <v>273</v>
      </c>
      <c r="C193" s="7">
        <f t="shared" si="226"/>
        <v>5377.9</v>
      </c>
      <c r="D193" s="8">
        <v>5377.9</v>
      </c>
      <c r="E193" s="8">
        <v>0</v>
      </c>
      <c r="F193" s="8">
        <v>1226.3</v>
      </c>
      <c r="G193" s="87">
        <f t="shared" si="156"/>
        <v>5377.9</v>
      </c>
      <c r="H193" s="87">
        <f t="shared" si="157"/>
        <v>5377.9</v>
      </c>
      <c r="I193" s="91">
        <v>2</v>
      </c>
      <c r="J193" s="112">
        <v>8.4452282632263113E-3</v>
      </c>
      <c r="K193" s="17">
        <v>1</v>
      </c>
      <c r="L193" s="112">
        <f t="shared" si="190"/>
        <v>2.4096385542168672E-3</v>
      </c>
      <c r="M193" s="116">
        <v>3.4064179452335308</v>
      </c>
      <c r="N193" s="120">
        <f t="shared" si="191"/>
        <v>5377.9</v>
      </c>
      <c r="O193" s="116">
        <v>3.0862318658202876</v>
      </c>
      <c r="P193" s="120">
        <f t="shared" si="192"/>
        <v>5377.9</v>
      </c>
      <c r="Q193" s="116">
        <v>1.6009263165732794</v>
      </c>
      <c r="R193" s="120">
        <f t="shared" si="193"/>
        <v>5377.9</v>
      </c>
      <c r="S193" s="5" t="s">
        <v>143</v>
      </c>
      <c r="T193" s="87">
        <v>41.34</v>
      </c>
      <c r="U193" s="88">
        <v>4.68</v>
      </c>
      <c r="V193" s="88">
        <v>7.92</v>
      </c>
      <c r="W193" s="88">
        <v>12.32</v>
      </c>
      <c r="X193" s="88">
        <v>6.34</v>
      </c>
      <c r="Y193" s="88">
        <v>2.89</v>
      </c>
      <c r="Z193" s="88">
        <v>1.66</v>
      </c>
      <c r="AA193" s="88">
        <v>5.29</v>
      </c>
      <c r="AB193" s="88">
        <v>0.24</v>
      </c>
      <c r="AC193" s="257"/>
      <c r="AD193" s="110">
        <f t="shared" si="194"/>
        <v>273730.76889667608</v>
      </c>
      <c r="AE193" s="110">
        <f t="shared" si="195"/>
        <v>180768.96393289347</v>
      </c>
      <c r="AF193" s="16">
        <f>SUMIF('20.01'!$I:$I,$B:$B,'20.01'!$D:$D)*1.2</f>
        <v>88248</v>
      </c>
      <c r="AG193" s="17">
        <f t="shared" si="229"/>
        <v>14346.238700351314</v>
      </c>
      <c r="AH193" s="17">
        <f t="shared" si="196"/>
        <v>4106.559044833778</v>
      </c>
      <c r="AI193" s="16">
        <f>SUMIF('20.01'!$J:$J,$B:$B,'20.01'!$D:$D)*1.2</f>
        <v>0</v>
      </c>
      <c r="AJ193" s="17">
        <f t="shared" si="197"/>
        <v>1668.8132716633327</v>
      </c>
      <c r="AK193" s="17">
        <f t="shared" si="198"/>
        <v>4059.8519552314351</v>
      </c>
      <c r="AL193" s="17">
        <f t="shared" si="199"/>
        <v>68339.500960813632</v>
      </c>
      <c r="AM193" s="110">
        <f t="shared" si="200"/>
        <v>0</v>
      </c>
      <c r="AN193" s="17">
        <f>SUMIF('20.01'!$K:$K,$B:$B,'20.01'!$D:$D)*1.2</f>
        <v>0</v>
      </c>
      <c r="AO193" s="17">
        <f>SUMIF('20.01'!$L:$L,$B:$B,'20.01'!$D:$D)*1.2</f>
        <v>0</v>
      </c>
      <c r="AP193" s="17">
        <f>SUMIF('20.01'!$M:$M,$B:$B,'20.01'!$D:$D)*1.2</f>
        <v>0</v>
      </c>
      <c r="AQ193" s="110">
        <f t="shared" si="201"/>
        <v>92961.804963782619</v>
      </c>
      <c r="AR193" s="17">
        <f t="shared" si="202"/>
        <v>1510.7169637826121</v>
      </c>
      <c r="AS193" s="17">
        <f>(SUMIF('20.01'!$N:$N,$B:$B,'20.01'!$D:$D)+SUMIF('20.01'!$O:$O,$B:$B,'20.01'!$D:$D))*1.2</f>
        <v>91451.088000000003</v>
      </c>
      <c r="AT193" s="110">
        <f>SUMIF('20.01'!$P:$P,$B:$B,'20.01'!$D:$D)*1.2</f>
        <v>0</v>
      </c>
      <c r="AU193" s="110">
        <f t="shared" si="203"/>
        <v>0</v>
      </c>
      <c r="AV193" s="17">
        <f>SUMIF('20.01'!$Q:$Q,$B:$B,'20.01'!$D:$D)*1.2</f>
        <v>0</v>
      </c>
      <c r="AW193" s="17">
        <f>SUMIF('20.01'!$R:$R,$B:$B,'20.01'!$D:$D)*1.2</f>
        <v>0</v>
      </c>
      <c r="AX193" s="110">
        <f t="shared" si="204"/>
        <v>0</v>
      </c>
      <c r="AY193" s="17">
        <f>SUMIF('20.01'!$S:$S,$B:$B,'20.01'!$D:$D)*1.2</f>
        <v>0</v>
      </c>
      <c r="AZ193" s="17">
        <f>SUMIF('20.01'!$T:$T,$B:$B,'20.01'!$D:$D)*1.2</f>
        <v>0</v>
      </c>
      <c r="BA193" s="110">
        <f t="shared" si="205"/>
        <v>0</v>
      </c>
      <c r="BB193" s="17">
        <f>SUMIF('20.01'!$U:$U,$B:$B,'20.01'!$D:$D)*1.2</f>
        <v>0</v>
      </c>
      <c r="BC193" s="17">
        <f>SUMIF('20.01'!$V:$V,$B:$B,'20.01'!$D:$D)*1.2</f>
        <v>0</v>
      </c>
      <c r="BD193" s="17">
        <f>SUMIF('20.01'!$W:$W,$B:$B,'20.01'!$D:$D)*1.2</f>
        <v>0</v>
      </c>
      <c r="BE193" s="110">
        <f>SUMIF('20.01'!$X:$X,$B:$B,'20.01'!$D:$D)*1.2</f>
        <v>0</v>
      </c>
      <c r="BF193" s="110">
        <f t="shared" si="206"/>
        <v>0</v>
      </c>
      <c r="BG193" s="17">
        <f>SUMIF('20.01'!$Y:$Y,$B:$B,'20.01'!$D:$D)*1.2</f>
        <v>0</v>
      </c>
      <c r="BH193" s="17">
        <f>SUMIF('20.01'!$Z:$Z,$B:$B,'20.01'!$D:$D)*1.2</f>
        <v>0</v>
      </c>
      <c r="BI193" s="17">
        <f>SUMIF('20.01'!$AA:$AA,$B:$B,'20.01'!$D:$D)*1.2</f>
        <v>0</v>
      </c>
      <c r="BJ193" s="17">
        <f>SUMIF('20.01'!$AB:$AB,$B:$B,'20.01'!$D:$D)*1.2</f>
        <v>0</v>
      </c>
      <c r="BK193" s="17">
        <f>SUMIF('20.01'!$AC:$AC,$B:$B,'20.01'!$D:$D)*1.2</f>
        <v>0</v>
      </c>
      <c r="BL193" s="17">
        <f>SUMIF('20.01'!$AD:$AD,$B:$B,'20.01'!$D:$D)*1.2</f>
        <v>0</v>
      </c>
      <c r="BM193" s="110">
        <f t="shared" si="207"/>
        <v>0</v>
      </c>
      <c r="BN193" s="17">
        <f>SUMIF('20.01'!$AE:$AE,$B:$B,'20.01'!$D:$D)*1.2</f>
        <v>0</v>
      </c>
      <c r="BO193" s="17">
        <f>SUMIF('20.01'!$AF:$AF,$B:$B,'20.01'!$D:$D)*1.2</f>
        <v>0</v>
      </c>
      <c r="BP193" s="110">
        <f>SUMIF('20.01'!$AG:$AG,$B:$B,'20.01'!$D:$D)*1.2</f>
        <v>0</v>
      </c>
      <c r="BQ193" s="110">
        <f>SUMIF('20.01'!$AH:$AH,$B:$B,'20.01'!$D:$D)*1.2</f>
        <v>0</v>
      </c>
      <c r="BR193" s="110">
        <f>SUMIF('20.01'!$AI:$AI,$B:$B,'20.01'!$D:$D)*1.2</f>
        <v>0</v>
      </c>
      <c r="BS193" s="110">
        <f t="shared" si="208"/>
        <v>0</v>
      </c>
      <c r="BT193" s="17">
        <f>SUMIF('20.01'!$AJ:$AJ,$B:$B,'20.01'!$D:$D)*1.2</f>
        <v>0</v>
      </c>
      <c r="BU193" s="17">
        <f>SUMIF('20.01'!$AK:$AK,$B:$B,'20.01'!$D:$D)*1.2</f>
        <v>0</v>
      </c>
      <c r="BV193" s="110">
        <f>SUMIF('20.01'!$AL:$AL,$B:$B,'20.01'!$D:$D)*1.2</f>
        <v>0</v>
      </c>
      <c r="BW193" s="110">
        <f>SUMIF('20.01'!$AM:$AM,$B:$B,'20.01'!$D:$D)*1.2</f>
        <v>0</v>
      </c>
      <c r="BX193" s="110">
        <f>SUMIF('20.01'!$AN:$AN,$B:$B,'20.01'!$D:$D)*1.2</f>
        <v>0</v>
      </c>
      <c r="BY193" s="110">
        <f t="shared" si="158"/>
        <v>406840.78541854763</v>
      </c>
      <c r="BZ193" s="17">
        <f t="shared" si="230"/>
        <v>329580.38497777173</v>
      </c>
      <c r="CA193" s="17">
        <f t="shared" si="159"/>
        <v>33355.24600476132</v>
      </c>
      <c r="CB193" s="17">
        <f t="shared" si="160"/>
        <v>2217.2859215707008</v>
      </c>
      <c r="CC193" s="17">
        <f>SUMIF('20.01'!$AO:$AO,$B:$B,'20.01'!$D:$D)*1.2</f>
        <v>0</v>
      </c>
      <c r="CD193" s="17">
        <f t="shared" si="161"/>
        <v>34809.136980107774</v>
      </c>
      <c r="CE193" s="17">
        <f>SUMIF('20.01'!$AQ:$AQ,$B:$B,'20.01'!$D:$D)*1.2</f>
        <v>0</v>
      </c>
      <c r="CF193" s="17">
        <f t="shared" si="162"/>
        <v>3167.0812035025797</v>
      </c>
      <c r="CG193" s="17">
        <f>SUMIF('20.01'!$AR:$AR,$B:$B,'20.01'!$D:$D)*1.2</f>
        <v>0</v>
      </c>
      <c r="CH193" s="17">
        <f t="shared" si="163"/>
        <v>1865.1810216156321</v>
      </c>
      <c r="CI193" s="17">
        <f>SUMIF('20.01'!$AT:$AT,$B:$B,'20.01'!$D:$D)*1.2</f>
        <v>0</v>
      </c>
      <c r="CJ193" s="17">
        <f>SUMIF('20.01'!$AU:$AU,$B:$B,'20.01'!$D:$D)*1.2</f>
        <v>0</v>
      </c>
      <c r="CK193" s="17">
        <f>SUMIF('20.01'!$AV:$AV,$B:$B,'20.01'!$D:$D)*1.2</f>
        <v>0</v>
      </c>
      <c r="CL193" s="17">
        <f t="shared" si="164"/>
        <v>1846.4693092178723</v>
      </c>
      <c r="CM193" s="17">
        <f>SUMIF('20.01'!$AW:$AW,$B:$B,'20.01'!$D:$D)*1.2</f>
        <v>0</v>
      </c>
      <c r="CN193" s="17">
        <f>SUMIF('20.01'!$AX:$AX,$B:$B,'20.01'!$D:$D)*1.2</f>
        <v>0</v>
      </c>
      <c r="CO193" s="110">
        <f t="shared" si="209"/>
        <v>619419.2179593473</v>
      </c>
      <c r="CP193" s="17">
        <f t="shared" si="210"/>
        <v>488623.50927735062</v>
      </c>
      <c r="CQ193" s="17">
        <f t="shared" si="165"/>
        <v>150747.07589607715</v>
      </c>
      <c r="CR193" s="17">
        <f t="shared" si="166"/>
        <v>337876.43338127347</v>
      </c>
      <c r="CS193" s="17">
        <f t="shared" si="211"/>
        <v>130795.70868199672</v>
      </c>
      <c r="CT193" s="17">
        <f t="shared" si="167"/>
        <v>4765.0024046572253</v>
      </c>
      <c r="CU193" s="17">
        <f t="shared" si="168"/>
        <v>4608.8699414257571</v>
      </c>
      <c r="CV193" s="17">
        <f t="shared" si="169"/>
        <v>4763.3678161573698</v>
      </c>
      <c r="CW193" s="17">
        <f t="shared" si="170"/>
        <v>49.949156233267281</v>
      </c>
      <c r="CX193" s="17">
        <f t="shared" si="171"/>
        <v>70333.433693658313</v>
      </c>
      <c r="CY193" s="17">
        <f t="shared" si="172"/>
        <v>46275.085669864784</v>
      </c>
      <c r="CZ193" s="110">
        <f t="shared" si="212"/>
        <v>153756.06577325499</v>
      </c>
      <c r="DA193" s="17">
        <f t="shared" si="213"/>
        <v>5808.0414224729402</v>
      </c>
      <c r="DB193" s="17">
        <f t="shared" si="173"/>
        <v>5511.6182557757566</v>
      </c>
      <c r="DC193" s="17">
        <f t="shared" si="174"/>
        <v>296.42316669718355</v>
      </c>
      <c r="DD193" s="17">
        <f t="shared" si="175"/>
        <v>10234.435218049413</v>
      </c>
      <c r="DE193" s="17">
        <f t="shared" si="176"/>
        <v>3531.1498248053149</v>
      </c>
      <c r="DF193" s="17">
        <f t="shared" si="177"/>
        <v>4285.5422553623785</v>
      </c>
      <c r="DG193" s="17">
        <f t="shared" si="214"/>
        <v>129896.89705256493</v>
      </c>
      <c r="DH193" s="110">
        <f t="shared" si="215"/>
        <v>95955.796040060261</v>
      </c>
      <c r="DI193" s="17">
        <f t="shared" si="178"/>
        <v>86076.261383541772</v>
      </c>
      <c r="DJ193" s="17">
        <f t="shared" si="179"/>
        <v>9519.5287205647619</v>
      </c>
      <c r="DK193" s="17">
        <f t="shared" si="180"/>
        <v>360.00593595372936</v>
      </c>
      <c r="DL193" s="110">
        <f t="shared" si="216"/>
        <v>726110.95145426062</v>
      </c>
      <c r="DM193" s="17">
        <f t="shared" si="181"/>
        <v>302344.17729487375</v>
      </c>
      <c r="DN193" s="17">
        <f t="shared" si="182"/>
        <v>268116.53458224656</v>
      </c>
      <c r="DO193" s="17">
        <f t="shared" si="183"/>
        <v>155650.23957714028</v>
      </c>
      <c r="DP193" s="110">
        <f t="shared" si="217"/>
        <v>239799.96422082421</v>
      </c>
      <c r="DQ193" s="17">
        <f>SUMIF('20.01'!$BB:$BB,$B:$B,'20.01'!$D:$D)*1.2</f>
        <v>6559.4879999999994</v>
      </c>
      <c r="DR193" s="17">
        <f t="shared" si="184"/>
        <v>231524.16913487884</v>
      </c>
      <c r="DS193" s="17">
        <f t="shared" si="185"/>
        <v>1716.307085945348</v>
      </c>
      <c r="DT193" s="110">
        <f t="shared" si="218"/>
        <v>10620.432000000001</v>
      </c>
      <c r="DU193" s="17">
        <f>SUMIF('20.01'!$BD:$BD,$B:$B,'20.01'!$D:$D)*1.2</f>
        <v>10620.432000000001</v>
      </c>
      <c r="DV193" s="17">
        <f t="shared" si="186"/>
        <v>0</v>
      </c>
      <c r="DW193" s="17">
        <f t="shared" si="187"/>
        <v>0</v>
      </c>
      <c r="DX193" s="110">
        <f t="shared" si="188"/>
        <v>2526233.9817629713</v>
      </c>
      <c r="DY193" s="110">
        <f t="shared" si="231"/>
        <v>209322.35279999999</v>
      </c>
      <c r="DZ193" s="110">
        <f t="shared" si="219"/>
        <v>2735556.3345629713</v>
      </c>
      <c r="EA193" s="257"/>
      <c r="EB193" s="110">
        <f t="shared" si="189"/>
        <v>886.55421686746979</v>
      </c>
      <c r="EC193" s="110">
        <f>SUMIF(еирц!$B:$B,$B:$B,еирц!$K:$K)</f>
        <v>2616529.4099999997</v>
      </c>
      <c r="ED193" s="110">
        <f>SUMIF(еирц!$B:$B,$B:$B,еирц!$P:$P)</f>
        <v>2589291.33</v>
      </c>
      <c r="EE193" s="110">
        <f>SUMIF(еирц!$B:$B,$B:$B,еирц!$S:$S)</f>
        <v>433915.41</v>
      </c>
      <c r="EF193" s="177">
        <f t="shared" si="220"/>
        <v>91181.982453895733</v>
      </c>
      <c r="EG193" s="182">
        <v>0.08</v>
      </c>
      <c r="EH193" s="177">
        <f t="shared" si="222"/>
        <v>-118140.37034610426</v>
      </c>
    </row>
    <row r="194" spans="1:138" ht="12" customHeight="1" x14ac:dyDescent="0.25">
      <c r="A194" s="5">
        <f t="shared" si="223"/>
        <v>190</v>
      </c>
      <c r="B194" s="6" t="s">
        <v>274</v>
      </c>
      <c r="C194" s="7">
        <f t="shared" si="226"/>
        <v>5357</v>
      </c>
      <c r="D194" s="8">
        <v>5357</v>
      </c>
      <c r="E194" s="8">
        <v>0</v>
      </c>
      <c r="F194" s="8">
        <v>1216.7</v>
      </c>
      <c r="G194" s="87">
        <f t="shared" si="156"/>
        <v>5357</v>
      </c>
      <c r="H194" s="87">
        <f t="shared" si="157"/>
        <v>5357</v>
      </c>
      <c r="I194" s="91">
        <v>2</v>
      </c>
      <c r="J194" s="112">
        <v>8.4158444319320791E-3</v>
      </c>
      <c r="K194" s="17">
        <v>1</v>
      </c>
      <c r="L194" s="112">
        <f t="shared" si="190"/>
        <v>2.4096385542168672E-3</v>
      </c>
      <c r="M194" s="116">
        <v>3.4064181791022485</v>
      </c>
      <c r="N194" s="120">
        <f t="shared" si="191"/>
        <v>5357</v>
      </c>
      <c r="O194" s="116">
        <v>3.0862296661438493</v>
      </c>
      <c r="P194" s="120">
        <f t="shared" si="192"/>
        <v>5357</v>
      </c>
      <c r="Q194" s="116">
        <v>1.6009261931436254</v>
      </c>
      <c r="R194" s="120">
        <f t="shared" si="193"/>
        <v>5357</v>
      </c>
      <c r="S194" s="5" t="s">
        <v>143</v>
      </c>
      <c r="T194" s="87">
        <v>41.34</v>
      </c>
      <c r="U194" s="88">
        <v>4.68</v>
      </c>
      <c r="V194" s="88">
        <v>7.92</v>
      </c>
      <c r="W194" s="88">
        <v>12.32</v>
      </c>
      <c r="X194" s="88">
        <v>6.34</v>
      </c>
      <c r="Y194" s="88">
        <v>2.89</v>
      </c>
      <c r="Z194" s="88">
        <v>1.66</v>
      </c>
      <c r="AA194" s="88">
        <v>5.29</v>
      </c>
      <c r="AB194" s="88">
        <v>0.24</v>
      </c>
      <c r="AC194" s="257"/>
      <c r="AD194" s="110">
        <f t="shared" si="194"/>
        <v>188247.89589666855</v>
      </c>
      <c r="AE194" s="110">
        <f t="shared" si="195"/>
        <v>186743.04999492559</v>
      </c>
      <c r="AF194" s="16">
        <f>SUMIF('20.01'!$I:$I,$B:$B,'20.01'!$D:$D)*1.2</f>
        <v>94581.647999999986</v>
      </c>
      <c r="AG194" s="17">
        <f t="shared" si="229"/>
        <v>14290.485267071161</v>
      </c>
      <c r="AH194" s="17">
        <f t="shared" si="196"/>
        <v>4090.5998258008794</v>
      </c>
      <c r="AI194" s="16">
        <f>SUMIF('20.01'!$J:$J,$B:$B,'20.01'!$D:$D)*1.2</f>
        <v>0</v>
      </c>
      <c r="AJ194" s="17">
        <f t="shared" si="197"/>
        <v>1662.327803845455</v>
      </c>
      <c r="AK194" s="17">
        <f t="shared" si="198"/>
        <v>4044.0742528077499</v>
      </c>
      <c r="AL194" s="17">
        <f t="shared" si="199"/>
        <v>68073.914845400359</v>
      </c>
      <c r="AM194" s="110">
        <f t="shared" si="200"/>
        <v>0</v>
      </c>
      <c r="AN194" s="17">
        <f>SUMIF('20.01'!$K:$K,$B:$B,'20.01'!$D:$D)*1.2</f>
        <v>0</v>
      </c>
      <c r="AO194" s="17">
        <f>SUMIF('20.01'!$L:$L,$B:$B,'20.01'!$D:$D)*1.2</f>
        <v>0</v>
      </c>
      <c r="AP194" s="17">
        <f>SUMIF('20.01'!$M:$M,$B:$B,'20.01'!$D:$D)*1.2</f>
        <v>0</v>
      </c>
      <c r="AQ194" s="110">
        <f t="shared" si="201"/>
        <v>1504.8459017429579</v>
      </c>
      <c r="AR194" s="17">
        <f t="shared" si="202"/>
        <v>1504.8459017429579</v>
      </c>
      <c r="AS194" s="17">
        <f>(SUMIF('20.01'!$N:$N,$B:$B,'20.01'!$D:$D)+SUMIF('20.01'!$O:$O,$B:$B,'20.01'!$D:$D))*1.2</f>
        <v>0</v>
      </c>
      <c r="AT194" s="110">
        <f>SUMIF('20.01'!$P:$P,$B:$B,'20.01'!$D:$D)*1.2</f>
        <v>0</v>
      </c>
      <c r="AU194" s="110">
        <f t="shared" si="203"/>
        <v>0</v>
      </c>
      <c r="AV194" s="17">
        <f>SUMIF('20.01'!$Q:$Q,$B:$B,'20.01'!$D:$D)*1.2</f>
        <v>0</v>
      </c>
      <c r="AW194" s="17">
        <f>SUMIF('20.01'!$R:$R,$B:$B,'20.01'!$D:$D)*1.2</f>
        <v>0</v>
      </c>
      <c r="AX194" s="110">
        <f t="shared" si="204"/>
        <v>0</v>
      </c>
      <c r="AY194" s="17">
        <f>SUMIF('20.01'!$S:$S,$B:$B,'20.01'!$D:$D)*1.2</f>
        <v>0</v>
      </c>
      <c r="AZ194" s="17">
        <f>SUMIF('20.01'!$T:$T,$B:$B,'20.01'!$D:$D)*1.2</f>
        <v>0</v>
      </c>
      <c r="BA194" s="110">
        <f t="shared" si="205"/>
        <v>0</v>
      </c>
      <c r="BB194" s="17">
        <f>SUMIF('20.01'!$U:$U,$B:$B,'20.01'!$D:$D)*1.2</f>
        <v>0</v>
      </c>
      <c r="BC194" s="17">
        <f>SUMIF('20.01'!$V:$V,$B:$B,'20.01'!$D:$D)*1.2</f>
        <v>0</v>
      </c>
      <c r="BD194" s="17">
        <f>SUMIF('20.01'!$W:$W,$B:$B,'20.01'!$D:$D)*1.2</f>
        <v>0</v>
      </c>
      <c r="BE194" s="110">
        <f>SUMIF('20.01'!$X:$X,$B:$B,'20.01'!$D:$D)*1.2</f>
        <v>0</v>
      </c>
      <c r="BF194" s="110">
        <f t="shared" si="206"/>
        <v>0</v>
      </c>
      <c r="BG194" s="17">
        <f>SUMIF('20.01'!$Y:$Y,$B:$B,'20.01'!$D:$D)*1.2</f>
        <v>0</v>
      </c>
      <c r="BH194" s="17">
        <f>SUMIF('20.01'!$Z:$Z,$B:$B,'20.01'!$D:$D)*1.2</f>
        <v>0</v>
      </c>
      <c r="BI194" s="17">
        <f>SUMIF('20.01'!$AA:$AA,$B:$B,'20.01'!$D:$D)*1.2</f>
        <v>0</v>
      </c>
      <c r="BJ194" s="17">
        <f>SUMIF('20.01'!$AB:$AB,$B:$B,'20.01'!$D:$D)*1.2</f>
        <v>0</v>
      </c>
      <c r="BK194" s="17">
        <f>SUMIF('20.01'!$AC:$AC,$B:$B,'20.01'!$D:$D)*1.2</f>
        <v>0</v>
      </c>
      <c r="BL194" s="17">
        <f>SUMIF('20.01'!$AD:$AD,$B:$B,'20.01'!$D:$D)*1.2</f>
        <v>0</v>
      </c>
      <c r="BM194" s="110">
        <f t="shared" si="207"/>
        <v>0</v>
      </c>
      <c r="BN194" s="17">
        <f>SUMIF('20.01'!$AE:$AE,$B:$B,'20.01'!$D:$D)*1.2</f>
        <v>0</v>
      </c>
      <c r="BO194" s="17">
        <f>SUMIF('20.01'!$AF:$AF,$B:$B,'20.01'!$D:$D)*1.2</f>
        <v>0</v>
      </c>
      <c r="BP194" s="110">
        <f>SUMIF('20.01'!$AG:$AG,$B:$B,'20.01'!$D:$D)*1.2</f>
        <v>0</v>
      </c>
      <c r="BQ194" s="110">
        <f>SUMIF('20.01'!$AH:$AH,$B:$B,'20.01'!$D:$D)*1.2</f>
        <v>0</v>
      </c>
      <c r="BR194" s="110">
        <f>SUMIF('20.01'!$AI:$AI,$B:$B,'20.01'!$D:$D)*1.2</f>
        <v>0</v>
      </c>
      <c r="BS194" s="110">
        <f t="shared" si="208"/>
        <v>0</v>
      </c>
      <c r="BT194" s="17">
        <f>SUMIF('20.01'!$AJ:$AJ,$B:$B,'20.01'!$D:$D)*1.2</f>
        <v>0</v>
      </c>
      <c r="BU194" s="17">
        <f>SUMIF('20.01'!$AK:$AK,$B:$B,'20.01'!$D:$D)*1.2</f>
        <v>0</v>
      </c>
      <c r="BV194" s="110">
        <f>SUMIF('20.01'!$AL:$AL,$B:$B,'20.01'!$D:$D)*1.2</f>
        <v>0</v>
      </c>
      <c r="BW194" s="110">
        <f>SUMIF('20.01'!$AM:$AM,$B:$B,'20.01'!$D:$D)*1.2</f>
        <v>0</v>
      </c>
      <c r="BX194" s="110">
        <f>SUMIF('20.01'!$AN:$AN,$B:$B,'20.01'!$D:$D)*1.2</f>
        <v>0</v>
      </c>
      <c r="BY194" s="110">
        <f t="shared" si="158"/>
        <v>405259.69011829147</v>
      </c>
      <c r="BZ194" s="17">
        <f t="shared" si="230"/>
        <v>328299.54486433801</v>
      </c>
      <c r="CA194" s="17">
        <f t="shared" si="159"/>
        <v>33225.61833568984</v>
      </c>
      <c r="CB194" s="17">
        <f t="shared" si="160"/>
        <v>2208.6689380342223</v>
      </c>
      <c r="CC194" s="17">
        <f>SUMIF('20.01'!$AO:$AO,$B:$B,'20.01'!$D:$D)*1.2</f>
        <v>0</v>
      </c>
      <c r="CD194" s="17">
        <f t="shared" si="161"/>
        <v>34673.859090432576</v>
      </c>
      <c r="CE194" s="17">
        <f>SUMIF('20.01'!$AQ:$AQ,$B:$B,'20.01'!$D:$D)*1.2</f>
        <v>0</v>
      </c>
      <c r="CF194" s="17">
        <f t="shared" si="162"/>
        <v>3154.7730540105467</v>
      </c>
      <c r="CG194" s="17">
        <f>SUMIF('20.01'!$AR:$AR,$B:$B,'20.01'!$D:$D)*1.2</f>
        <v>0</v>
      </c>
      <c r="CH194" s="17">
        <f t="shared" si="163"/>
        <v>1857.9324146590568</v>
      </c>
      <c r="CI194" s="17">
        <f>SUMIF('20.01'!$AT:$AT,$B:$B,'20.01'!$D:$D)*1.2</f>
        <v>0</v>
      </c>
      <c r="CJ194" s="17">
        <f>SUMIF('20.01'!$AU:$AU,$B:$B,'20.01'!$D:$D)*1.2</f>
        <v>0</v>
      </c>
      <c r="CK194" s="17">
        <f>SUMIF('20.01'!$AV:$AV,$B:$B,'20.01'!$D:$D)*1.2</f>
        <v>0</v>
      </c>
      <c r="CL194" s="17">
        <f t="shared" si="164"/>
        <v>1839.2934211272323</v>
      </c>
      <c r="CM194" s="17">
        <f>SUMIF('20.01'!$AW:$AW,$B:$B,'20.01'!$D:$D)*1.2</f>
        <v>0</v>
      </c>
      <c r="CN194" s="17">
        <f>SUMIF('20.01'!$AX:$AX,$B:$B,'20.01'!$D:$D)*1.2</f>
        <v>0</v>
      </c>
      <c r="CO194" s="110">
        <f t="shared" si="209"/>
        <v>617011.98434486019</v>
      </c>
      <c r="CP194" s="17">
        <f t="shared" si="210"/>
        <v>486724.58379642002</v>
      </c>
      <c r="CQ194" s="17">
        <f t="shared" si="165"/>
        <v>150161.23125667739</v>
      </c>
      <c r="CR194" s="17">
        <f t="shared" si="166"/>
        <v>336563.35253974266</v>
      </c>
      <c r="CS194" s="17">
        <f t="shared" si="211"/>
        <v>130287.40054844019</v>
      </c>
      <c r="CT194" s="17">
        <f t="shared" si="167"/>
        <v>4746.4842934507442</v>
      </c>
      <c r="CU194" s="17">
        <f t="shared" si="168"/>
        <v>4590.9586039565229</v>
      </c>
      <c r="CV194" s="17">
        <f t="shared" si="169"/>
        <v>4744.856057411821</v>
      </c>
      <c r="CW194" s="17">
        <f t="shared" si="170"/>
        <v>49.755040060546463</v>
      </c>
      <c r="CX194" s="17">
        <f t="shared" si="171"/>
        <v>70060.098606691754</v>
      </c>
      <c r="CY194" s="17">
        <f t="shared" si="172"/>
        <v>46095.247946868796</v>
      </c>
      <c r="CZ194" s="110">
        <f t="shared" si="212"/>
        <v>153158.52737078173</v>
      </c>
      <c r="DA194" s="17">
        <f t="shared" si="213"/>
        <v>5785.4697744821478</v>
      </c>
      <c r="DB194" s="17">
        <f t="shared" si="173"/>
        <v>5490.1985898195817</v>
      </c>
      <c r="DC194" s="17">
        <f t="shared" si="174"/>
        <v>295.27118466256576</v>
      </c>
      <c r="DD194" s="17">
        <f t="shared" si="175"/>
        <v>10194.661385130015</v>
      </c>
      <c r="DE194" s="17">
        <f t="shared" si="176"/>
        <v>3517.4268044184669</v>
      </c>
      <c r="DF194" s="17">
        <f t="shared" si="177"/>
        <v>4268.887458297153</v>
      </c>
      <c r="DG194" s="17">
        <f t="shared" si="214"/>
        <v>129392.08194845394</v>
      </c>
      <c r="DH194" s="110">
        <f t="shared" si="215"/>
        <v>95582.885398873696</v>
      </c>
      <c r="DI194" s="17">
        <f t="shared" si="178"/>
        <v>85741.745333984145</v>
      </c>
      <c r="DJ194" s="17">
        <f t="shared" si="179"/>
        <v>9482.5332111168718</v>
      </c>
      <c r="DK194" s="17">
        <f t="shared" si="180"/>
        <v>358.60685377268607</v>
      </c>
      <c r="DL194" s="110">
        <f t="shared" si="216"/>
        <v>723289.08438990568</v>
      </c>
      <c r="DM194" s="17">
        <f t="shared" si="181"/>
        <v>301169.18458294851</v>
      </c>
      <c r="DN194" s="17">
        <f t="shared" si="182"/>
        <v>267074.55991318077</v>
      </c>
      <c r="DO194" s="17">
        <f t="shared" si="183"/>
        <v>155045.33989377649</v>
      </c>
      <c r="DP194" s="110">
        <f t="shared" si="217"/>
        <v>238988.44100432313</v>
      </c>
      <c r="DQ194" s="17">
        <f>SUMIF('20.01'!$BB:$BB,$B:$B,'20.01'!$D:$D)*1.2</f>
        <v>6559.4879999999994</v>
      </c>
      <c r="DR194" s="17">
        <f t="shared" si="184"/>
        <v>230718.61753646677</v>
      </c>
      <c r="DS194" s="17">
        <f t="shared" si="185"/>
        <v>1710.3354678563367</v>
      </c>
      <c r="DT194" s="110">
        <f t="shared" si="218"/>
        <v>10620.432000000001</v>
      </c>
      <c r="DU194" s="17">
        <f>SUMIF('20.01'!$BD:$BD,$B:$B,'20.01'!$D:$D)*1.2</f>
        <v>10620.432000000001</v>
      </c>
      <c r="DV194" s="17">
        <f t="shared" si="186"/>
        <v>0</v>
      </c>
      <c r="DW194" s="17">
        <f t="shared" si="187"/>
        <v>0</v>
      </c>
      <c r="DX194" s="110">
        <f t="shared" si="188"/>
        <v>2432158.940523704</v>
      </c>
      <c r="DY194" s="110">
        <f t="shared" si="231"/>
        <v>208511.7072</v>
      </c>
      <c r="DZ194" s="110">
        <f t="shared" si="219"/>
        <v>2640670.6477237041</v>
      </c>
      <c r="EA194" s="257"/>
      <c r="EB194" s="110">
        <f t="shared" si="189"/>
        <v>886.55421686746979</v>
      </c>
      <c r="EC194" s="110">
        <f>SUMIF(еирц!$B:$B,$B:$B,еирц!$K:$K)</f>
        <v>2606396.34</v>
      </c>
      <c r="ED194" s="110">
        <f>SUMIF(еирц!$B:$B,$B:$B,еирц!$P:$P)</f>
        <v>2570751.3999999994</v>
      </c>
      <c r="EE194" s="110">
        <f>SUMIF(еирц!$B:$B,$B:$B,еирц!$S:$S)</f>
        <v>417918.37</v>
      </c>
      <c r="EF194" s="177">
        <f t="shared" si="220"/>
        <v>175123.95369316312</v>
      </c>
      <c r="EG194" s="182">
        <v>0.08</v>
      </c>
      <c r="EH194" s="177">
        <f t="shared" si="222"/>
        <v>-33387.753506836947</v>
      </c>
    </row>
    <row r="195" spans="1:138" ht="12" customHeight="1" x14ac:dyDescent="0.25">
      <c r="A195" s="5">
        <f t="shared" si="223"/>
        <v>191</v>
      </c>
      <c r="B195" s="6" t="s">
        <v>275</v>
      </c>
      <c r="C195" s="7">
        <f t="shared" si="226"/>
        <v>5375</v>
      </c>
      <c r="D195" s="8">
        <v>5375</v>
      </c>
      <c r="E195" s="8">
        <v>0</v>
      </c>
      <c r="F195" s="8">
        <v>2019.6</v>
      </c>
      <c r="G195" s="87">
        <f t="shared" si="156"/>
        <v>5375</v>
      </c>
      <c r="H195" s="87">
        <f t="shared" si="157"/>
        <v>5375</v>
      </c>
      <c r="I195" s="91">
        <v>2</v>
      </c>
      <c r="J195" s="112">
        <v>8.4381769441451218E-3</v>
      </c>
      <c r="K195" s="17">
        <v>1</v>
      </c>
      <c r="L195" s="112">
        <f t="shared" si="190"/>
        <v>2.4096385542168672E-3</v>
      </c>
      <c r="M195" s="116">
        <v>3.4064184847016734</v>
      </c>
      <c r="N195" s="120">
        <f t="shared" si="191"/>
        <v>5375</v>
      </c>
      <c r="O195" s="116">
        <v>3.0862307010024965</v>
      </c>
      <c r="P195" s="120">
        <f t="shared" si="192"/>
        <v>5375</v>
      </c>
      <c r="Q195" s="116">
        <v>1.6009266649275147</v>
      </c>
      <c r="R195" s="120">
        <f t="shared" si="193"/>
        <v>5375</v>
      </c>
      <c r="S195" s="5" t="s">
        <v>143</v>
      </c>
      <c r="T195" s="87">
        <v>41.34</v>
      </c>
      <c r="U195" s="88">
        <v>4.68</v>
      </c>
      <c r="V195" s="88">
        <v>7.92</v>
      </c>
      <c r="W195" s="88">
        <v>12.32</v>
      </c>
      <c r="X195" s="88">
        <v>6.34</v>
      </c>
      <c r="Y195" s="88">
        <v>2.89</v>
      </c>
      <c r="Z195" s="88">
        <v>1.66</v>
      </c>
      <c r="AA195" s="88">
        <v>5.29</v>
      </c>
      <c r="AB195" s="88">
        <v>0.24</v>
      </c>
      <c r="AC195" s="257"/>
      <c r="AD195" s="110">
        <f t="shared" si="194"/>
        <v>141917.20688232098</v>
      </c>
      <c r="AE195" s="110">
        <f t="shared" si="195"/>
        <v>140407.30456351038</v>
      </c>
      <c r="AF195" s="16">
        <f>SUMIF('20.01'!$I:$I,$B:$B,'20.01'!$D:$D)*1.2</f>
        <v>47936.231999999996</v>
      </c>
      <c r="AG195" s="17">
        <f t="shared" si="229"/>
        <v>14338.502578030144</v>
      </c>
      <c r="AH195" s="17">
        <f t="shared" si="196"/>
        <v>4104.344607743089</v>
      </c>
      <c r="AI195" s="16">
        <f>SUMIF('20.01'!$J:$J,$B:$B,'20.01'!$D:$D)*1.2</f>
        <v>0</v>
      </c>
      <c r="AJ195" s="17">
        <f t="shared" si="197"/>
        <v>1667.913374214919</v>
      </c>
      <c r="AK195" s="17">
        <f t="shared" si="198"/>
        <v>4057.6627046559001</v>
      </c>
      <c r="AL195" s="17">
        <f t="shared" si="199"/>
        <v>68302.649298866338</v>
      </c>
      <c r="AM195" s="110">
        <f t="shared" si="200"/>
        <v>0</v>
      </c>
      <c r="AN195" s="17">
        <f>SUMIF('20.01'!$K:$K,$B:$B,'20.01'!$D:$D)*1.2</f>
        <v>0</v>
      </c>
      <c r="AO195" s="17">
        <f>SUMIF('20.01'!$L:$L,$B:$B,'20.01'!$D:$D)*1.2</f>
        <v>0</v>
      </c>
      <c r="AP195" s="17">
        <f>SUMIF('20.01'!$M:$M,$B:$B,'20.01'!$D:$D)*1.2</f>
        <v>0</v>
      </c>
      <c r="AQ195" s="110">
        <f t="shared" si="201"/>
        <v>1509.9023188106028</v>
      </c>
      <c r="AR195" s="17">
        <f t="shared" si="202"/>
        <v>1509.9023188106028</v>
      </c>
      <c r="AS195" s="17">
        <f>(SUMIF('20.01'!$N:$N,$B:$B,'20.01'!$D:$D)+SUMIF('20.01'!$O:$O,$B:$B,'20.01'!$D:$D))*1.2</f>
        <v>0</v>
      </c>
      <c r="AT195" s="110">
        <f>SUMIF('20.01'!$P:$P,$B:$B,'20.01'!$D:$D)*1.2</f>
        <v>0</v>
      </c>
      <c r="AU195" s="110">
        <f t="shared" si="203"/>
        <v>0</v>
      </c>
      <c r="AV195" s="17">
        <f>SUMIF('20.01'!$Q:$Q,$B:$B,'20.01'!$D:$D)*1.2</f>
        <v>0</v>
      </c>
      <c r="AW195" s="17">
        <f>SUMIF('20.01'!$R:$R,$B:$B,'20.01'!$D:$D)*1.2</f>
        <v>0</v>
      </c>
      <c r="AX195" s="110">
        <f t="shared" si="204"/>
        <v>0</v>
      </c>
      <c r="AY195" s="17">
        <f>SUMIF('20.01'!$S:$S,$B:$B,'20.01'!$D:$D)*1.2</f>
        <v>0</v>
      </c>
      <c r="AZ195" s="17">
        <f>SUMIF('20.01'!$T:$T,$B:$B,'20.01'!$D:$D)*1.2</f>
        <v>0</v>
      </c>
      <c r="BA195" s="110">
        <f t="shared" si="205"/>
        <v>0</v>
      </c>
      <c r="BB195" s="17">
        <f>SUMIF('20.01'!$U:$U,$B:$B,'20.01'!$D:$D)*1.2</f>
        <v>0</v>
      </c>
      <c r="BC195" s="17">
        <f>SUMIF('20.01'!$V:$V,$B:$B,'20.01'!$D:$D)*1.2</f>
        <v>0</v>
      </c>
      <c r="BD195" s="17">
        <f>SUMIF('20.01'!$W:$W,$B:$B,'20.01'!$D:$D)*1.2</f>
        <v>0</v>
      </c>
      <c r="BE195" s="110">
        <f>SUMIF('20.01'!$X:$X,$B:$B,'20.01'!$D:$D)*1.2</f>
        <v>0</v>
      </c>
      <c r="BF195" s="110">
        <f t="shared" si="206"/>
        <v>0</v>
      </c>
      <c r="BG195" s="17">
        <f>SUMIF('20.01'!$Y:$Y,$B:$B,'20.01'!$D:$D)*1.2</f>
        <v>0</v>
      </c>
      <c r="BH195" s="17">
        <f>SUMIF('20.01'!$Z:$Z,$B:$B,'20.01'!$D:$D)*1.2</f>
        <v>0</v>
      </c>
      <c r="BI195" s="17">
        <f>SUMIF('20.01'!$AA:$AA,$B:$B,'20.01'!$D:$D)*1.2</f>
        <v>0</v>
      </c>
      <c r="BJ195" s="17">
        <f>SUMIF('20.01'!$AB:$AB,$B:$B,'20.01'!$D:$D)*1.2</f>
        <v>0</v>
      </c>
      <c r="BK195" s="17">
        <f>SUMIF('20.01'!$AC:$AC,$B:$B,'20.01'!$D:$D)*1.2</f>
        <v>0</v>
      </c>
      <c r="BL195" s="17">
        <f>SUMIF('20.01'!$AD:$AD,$B:$B,'20.01'!$D:$D)*1.2</f>
        <v>0</v>
      </c>
      <c r="BM195" s="110">
        <f t="shared" si="207"/>
        <v>0</v>
      </c>
      <c r="BN195" s="17">
        <f>SUMIF('20.01'!$AE:$AE,$B:$B,'20.01'!$D:$D)*1.2</f>
        <v>0</v>
      </c>
      <c r="BO195" s="17">
        <f>SUMIF('20.01'!$AF:$AF,$B:$B,'20.01'!$D:$D)*1.2</f>
        <v>0</v>
      </c>
      <c r="BP195" s="110">
        <f>SUMIF('20.01'!$AG:$AG,$B:$B,'20.01'!$D:$D)*1.2</f>
        <v>0</v>
      </c>
      <c r="BQ195" s="110">
        <f>SUMIF('20.01'!$AH:$AH,$B:$B,'20.01'!$D:$D)*1.2</f>
        <v>0</v>
      </c>
      <c r="BR195" s="110">
        <f>SUMIF('20.01'!$AI:$AI,$B:$B,'20.01'!$D:$D)*1.2</f>
        <v>0</v>
      </c>
      <c r="BS195" s="110">
        <f t="shared" si="208"/>
        <v>0</v>
      </c>
      <c r="BT195" s="17">
        <f>SUMIF('20.01'!$AJ:$AJ,$B:$B,'20.01'!$D:$D)*1.2</f>
        <v>0</v>
      </c>
      <c r="BU195" s="17">
        <f>SUMIF('20.01'!$AK:$AK,$B:$B,'20.01'!$D:$D)*1.2</f>
        <v>0</v>
      </c>
      <c r="BV195" s="110">
        <f>SUMIF('20.01'!$AL:$AL,$B:$B,'20.01'!$D:$D)*1.2</f>
        <v>0</v>
      </c>
      <c r="BW195" s="110">
        <f>SUMIF('20.01'!$AM:$AM,$B:$B,'20.01'!$D:$D)*1.2</f>
        <v>0</v>
      </c>
      <c r="BX195" s="110">
        <f>SUMIF('20.01'!$AN:$AN,$B:$B,'20.01'!$D:$D)*1.2</f>
        <v>0</v>
      </c>
      <c r="BY195" s="110">
        <f t="shared" si="158"/>
        <v>406621.39898932551</v>
      </c>
      <c r="BZ195" s="17">
        <f t="shared" si="230"/>
        <v>329402.66075150581</v>
      </c>
      <c r="CA195" s="17">
        <f t="shared" si="159"/>
        <v>33337.259390392552</v>
      </c>
      <c r="CB195" s="17">
        <f t="shared" si="160"/>
        <v>2216.0902635680318</v>
      </c>
      <c r="CC195" s="17">
        <f>SUMIF('20.01'!$AO:$AO,$B:$B,'20.01'!$D:$D)*1.2</f>
        <v>0</v>
      </c>
      <c r="CD195" s="17">
        <f t="shared" si="161"/>
        <v>34790.366363837056</v>
      </c>
      <c r="CE195" s="17">
        <f>SUMIF('20.01'!$AQ:$AQ,$B:$B,'20.01'!$D:$D)*1.2</f>
        <v>0</v>
      </c>
      <c r="CF195" s="17">
        <f t="shared" si="162"/>
        <v>3165.3733741472261</v>
      </c>
      <c r="CG195" s="17">
        <f>SUMIF('20.01'!$AR:$AR,$B:$B,'20.01'!$D:$D)*1.2</f>
        <v>0</v>
      </c>
      <c r="CH195" s="17">
        <f t="shared" si="163"/>
        <v>1864.175234047495</v>
      </c>
      <c r="CI195" s="17">
        <f>SUMIF('20.01'!$AT:$AT,$B:$B,'20.01'!$D:$D)*1.2</f>
        <v>0</v>
      </c>
      <c r="CJ195" s="17">
        <f>SUMIF('20.01'!$AU:$AU,$B:$B,'20.01'!$D:$D)*1.2</f>
        <v>0</v>
      </c>
      <c r="CK195" s="17">
        <f>SUMIF('20.01'!$AV:$AV,$B:$B,'20.01'!$D:$D)*1.2</f>
        <v>0</v>
      </c>
      <c r="CL195" s="17">
        <f t="shared" si="164"/>
        <v>1845.4736118273051</v>
      </c>
      <c r="CM195" s="17">
        <f>SUMIF('20.01'!$AW:$AW,$B:$B,'20.01'!$D:$D)*1.2</f>
        <v>0</v>
      </c>
      <c r="CN195" s="17">
        <f>SUMIF('20.01'!$AX:$AX,$B:$B,'20.01'!$D:$D)*1.2</f>
        <v>0</v>
      </c>
      <c r="CO195" s="110">
        <f t="shared" si="209"/>
        <v>619085.19989800709</v>
      </c>
      <c r="CP195" s="17">
        <f t="shared" si="210"/>
        <v>488360.02200966171</v>
      </c>
      <c r="CQ195" s="17">
        <f t="shared" si="165"/>
        <v>150665.78644850495</v>
      </c>
      <c r="CR195" s="17">
        <f t="shared" si="166"/>
        <v>337694.23556115676</v>
      </c>
      <c r="CS195" s="17">
        <f t="shared" si="211"/>
        <v>130725.17788834532</v>
      </c>
      <c r="CT195" s="17">
        <f t="shared" si="167"/>
        <v>4762.4329059730726</v>
      </c>
      <c r="CU195" s="17">
        <f t="shared" si="168"/>
        <v>4606.3846362266777</v>
      </c>
      <c r="CV195" s="17">
        <f t="shared" si="169"/>
        <v>4760.7991989151651</v>
      </c>
      <c r="CW195" s="17">
        <f t="shared" si="170"/>
        <v>49.922221453320375</v>
      </c>
      <c r="CX195" s="17">
        <f t="shared" si="171"/>
        <v>70295.506815562476</v>
      </c>
      <c r="CY195" s="17">
        <f t="shared" si="172"/>
        <v>46250.132110214625</v>
      </c>
      <c r="CZ195" s="110">
        <f t="shared" si="212"/>
        <v>153673.15374611755</v>
      </c>
      <c r="DA195" s="17">
        <f t="shared" si="213"/>
        <v>5804.9094713163231</v>
      </c>
      <c r="DB195" s="17">
        <f t="shared" si="173"/>
        <v>5508.6461490162874</v>
      </c>
      <c r="DC195" s="17">
        <f t="shared" si="174"/>
        <v>296.26332230003561</v>
      </c>
      <c r="DD195" s="17">
        <f t="shared" si="175"/>
        <v>10228.916360850071</v>
      </c>
      <c r="DE195" s="17">
        <f t="shared" si="176"/>
        <v>3529.2456736511594</v>
      </c>
      <c r="DF195" s="17">
        <f t="shared" si="177"/>
        <v>4283.2313026595484</v>
      </c>
      <c r="DG195" s="17">
        <f t="shared" si="214"/>
        <v>129826.85093764045</v>
      </c>
      <c r="DH195" s="110">
        <f t="shared" si="215"/>
        <v>95904.052458268823</v>
      </c>
      <c r="DI195" s="17">
        <f t="shared" si="178"/>
        <v>86029.845280971582</v>
      </c>
      <c r="DJ195" s="17">
        <f t="shared" si="179"/>
        <v>9514.3953723638588</v>
      </c>
      <c r="DK195" s="17">
        <f t="shared" si="180"/>
        <v>359.8118049333932</v>
      </c>
      <c r="DL195" s="110">
        <f t="shared" si="216"/>
        <v>725719.40052188607</v>
      </c>
      <c r="DM195" s="17">
        <f t="shared" si="181"/>
        <v>302181.14002862573</v>
      </c>
      <c r="DN195" s="17">
        <f t="shared" si="182"/>
        <v>267971.95436500775</v>
      </c>
      <c r="DO195" s="17">
        <f t="shared" si="183"/>
        <v>155566.30612825247</v>
      </c>
      <c r="DP195" s="110">
        <f t="shared" si="217"/>
        <v>239605.22075513919</v>
      </c>
      <c r="DQ195" s="17">
        <f>SUMIF('20.01'!$BB:$BB,$B:$B,'20.01'!$D:$D)*1.2</f>
        <v>6559.4879999999994</v>
      </c>
      <c r="DR195" s="17">
        <f t="shared" si="184"/>
        <v>231330.85869486551</v>
      </c>
      <c r="DS195" s="17">
        <f t="shared" si="185"/>
        <v>1714.8740602736791</v>
      </c>
      <c r="DT195" s="110">
        <f t="shared" si="218"/>
        <v>10620.432000000001</v>
      </c>
      <c r="DU195" s="17">
        <f>SUMIF('20.01'!$BD:$BD,$B:$B,'20.01'!$D:$D)*1.2</f>
        <v>10620.432000000001</v>
      </c>
      <c r="DV195" s="17">
        <f t="shared" si="186"/>
        <v>0</v>
      </c>
      <c r="DW195" s="17">
        <f t="shared" si="187"/>
        <v>0</v>
      </c>
      <c r="DX195" s="110">
        <f t="shared" si="188"/>
        <v>2393146.0652510654</v>
      </c>
      <c r="DY195" s="110">
        <f t="shared" si="231"/>
        <v>339970.07459999999</v>
      </c>
      <c r="DZ195" s="110">
        <f t="shared" si="219"/>
        <v>2733116.1398510654</v>
      </c>
      <c r="EA195" s="257"/>
      <c r="EB195" s="110">
        <f t="shared" si="189"/>
        <v>886.55421686746979</v>
      </c>
      <c r="EC195" s="110">
        <f>SUMIF(еирц!$B:$B,$B:$B,еирц!$K:$K)</f>
        <v>2615154.42</v>
      </c>
      <c r="ED195" s="110">
        <f>SUMIF(еирц!$B:$B,$B:$B,еирц!$P:$P)</f>
        <v>2587630.17</v>
      </c>
      <c r="EE195" s="110">
        <f>SUMIF(еирц!$B:$B,$B:$B,еирц!$S:$S)</f>
        <v>418975.31</v>
      </c>
      <c r="EF195" s="177">
        <f t="shared" si="220"/>
        <v>222894.90896580182</v>
      </c>
      <c r="EG195" s="183">
        <v>0.13</v>
      </c>
      <c r="EH195" s="177">
        <f t="shared" si="222"/>
        <v>-117075.16563419811</v>
      </c>
    </row>
    <row r="196" spans="1:138" ht="12" customHeight="1" x14ac:dyDescent="0.25">
      <c r="A196" s="5">
        <f t="shared" si="223"/>
        <v>192</v>
      </c>
      <c r="B196" s="6" t="s">
        <v>276</v>
      </c>
      <c r="C196" s="7">
        <f t="shared" si="226"/>
        <v>4210.2</v>
      </c>
      <c r="D196" s="8">
        <v>4210.2</v>
      </c>
      <c r="E196" s="8">
        <v>0</v>
      </c>
      <c r="F196" s="8">
        <v>1155.4000000000001</v>
      </c>
      <c r="G196" s="87">
        <f t="shared" si="156"/>
        <v>4210.2</v>
      </c>
      <c r="H196" s="87">
        <f t="shared" si="157"/>
        <v>4210.2</v>
      </c>
      <c r="I196" s="91">
        <v>2</v>
      </c>
      <c r="J196" s="112">
        <v>6.5879294413693354E-3</v>
      </c>
      <c r="K196" s="17">
        <v>1</v>
      </c>
      <c r="L196" s="112">
        <f t="shared" si="190"/>
        <v>2.4096385542168672E-3</v>
      </c>
      <c r="M196" s="116">
        <v>3.4064168284480911</v>
      </c>
      <c r="N196" s="120">
        <f t="shared" si="191"/>
        <v>4210.2</v>
      </c>
      <c r="O196" s="116">
        <v>3.0862323833146514</v>
      </c>
      <c r="P196" s="120">
        <f t="shared" si="192"/>
        <v>4210.2</v>
      </c>
      <c r="Q196" s="116">
        <v>1.600927453552434</v>
      </c>
      <c r="R196" s="120">
        <f t="shared" si="193"/>
        <v>4210.2</v>
      </c>
      <c r="S196" s="5" t="s">
        <v>143</v>
      </c>
      <c r="T196" s="87">
        <v>41.34</v>
      </c>
      <c r="U196" s="88">
        <v>4.68</v>
      </c>
      <c r="V196" s="88">
        <v>7.92</v>
      </c>
      <c r="W196" s="88">
        <v>12.32</v>
      </c>
      <c r="X196" s="88">
        <v>6.34</v>
      </c>
      <c r="Y196" s="88">
        <v>2.89</v>
      </c>
      <c r="Z196" s="88">
        <v>1.66</v>
      </c>
      <c r="AA196" s="88">
        <v>5.29</v>
      </c>
      <c r="AB196" s="88">
        <v>0.24</v>
      </c>
      <c r="AC196" s="257"/>
      <c r="AD196" s="110">
        <f t="shared" si="194"/>
        <v>165619.39794410192</v>
      </c>
      <c r="AE196" s="110">
        <f t="shared" si="195"/>
        <v>164436.70199197979</v>
      </c>
      <c r="AF196" s="16">
        <f>SUMIF('20.01'!$I:$I,$B:$B,'20.01'!$D:$D)*1.2</f>
        <v>92004.756000000008</v>
      </c>
      <c r="AG196" s="17">
        <f t="shared" si="229"/>
        <v>11231.249033306514</v>
      </c>
      <c r="AH196" s="17">
        <f t="shared" si="196"/>
        <v>3214.904496282782</v>
      </c>
      <c r="AI196" s="16">
        <f>SUMIF('20.01'!$J:$J,$B:$B,'20.01'!$D:$D)*1.2</f>
        <v>0</v>
      </c>
      <c r="AJ196" s="17">
        <f t="shared" si="197"/>
        <v>1306.4649094176098</v>
      </c>
      <c r="AK196" s="17">
        <f t="shared" si="198"/>
        <v>3178.3388872822829</v>
      </c>
      <c r="AL196" s="17">
        <f t="shared" si="199"/>
        <v>53500.988665690609</v>
      </c>
      <c r="AM196" s="110">
        <f t="shared" si="200"/>
        <v>0</v>
      </c>
      <c r="AN196" s="17">
        <f>SUMIF('20.01'!$K:$K,$B:$B,'20.01'!$D:$D)*1.2</f>
        <v>0</v>
      </c>
      <c r="AO196" s="17">
        <f>SUMIF('20.01'!$L:$L,$B:$B,'20.01'!$D:$D)*1.2</f>
        <v>0</v>
      </c>
      <c r="AP196" s="17">
        <f>SUMIF('20.01'!$M:$M,$B:$B,'20.01'!$D:$D)*1.2</f>
        <v>0</v>
      </c>
      <c r="AQ196" s="110">
        <f t="shared" si="201"/>
        <v>1182.6959521221208</v>
      </c>
      <c r="AR196" s="17">
        <f t="shared" si="202"/>
        <v>1182.6959521221208</v>
      </c>
      <c r="AS196" s="17">
        <f>(SUMIF('20.01'!$N:$N,$B:$B,'20.01'!$D:$D)+SUMIF('20.01'!$O:$O,$B:$B,'20.01'!$D:$D))*1.2</f>
        <v>0</v>
      </c>
      <c r="AT196" s="110">
        <f>SUMIF('20.01'!$P:$P,$B:$B,'20.01'!$D:$D)*1.2</f>
        <v>0</v>
      </c>
      <c r="AU196" s="110">
        <f t="shared" si="203"/>
        <v>0</v>
      </c>
      <c r="AV196" s="17">
        <f>SUMIF('20.01'!$Q:$Q,$B:$B,'20.01'!$D:$D)*1.2</f>
        <v>0</v>
      </c>
      <c r="AW196" s="17">
        <f>SUMIF('20.01'!$R:$R,$B:$B,'20.01'!$D:$D)*1.2</f>
        <v>0</v>
      </c>
      <c r="AX196" s="110">
        <f t="shared" si="204"/>
        <v>0</v>
      </c>
      <c r="AY196" s="17">
        <f>SUMIF('20.01'!$S:$S,$B:$B,'20.01'!$D:$D)*1.2</f>
        <v>0</v>
      </c>
      <c r="AZ196" s="17">
        <f>SUMIF('20.01'!$T:$T,$B:$B,'20.01'!$D:$D)*1.2</f>
        <v>0</v>
      </c>
      <c r="BA196" s="110">
        <f t="shared" si="205"/>
        <v>0</v>
      </c>
      <c r="BB196" s="17">
        <f>SUMIF('20.01'!$U:$U,$B:$B,'20.01'!$D:$D)*1.2</f>
        <v>0</v>
      </c>
      <c r="BC196" s="17">
        <f>SUMIF('20.01'!$V:$V,$B:$B,'20.01'!$D:$D)*1.2</f>
        <v>0</v>
      </c>
      <c r="BD196" s="17">
        <f>SUMIF('20.01'!$W:$W,$B:$B,'20.01'!$D:$D)*1.2</f>
        <v>0</v>
      </c>
      <c r="BE196" s="110">
        <f>SUMIF('20.01'!$X:$X,$B:$B,'20.01'!$D:$D)*1.2</f>
        <v>0</v>
      </c>
      <c r="BF196" s="110">
        <f t="shared" si="206"/>
        <v>0</v>
      </c>
      <c r="BG196" s="17">
        <f>SUMIF('20.01'!$Y:$Y,$B:$B,'20.01'!$D:$D)*1.2</f>
        <v>0</v>
      </c>
      <c r="BH196" s="17">
        <f>SUMIF('20.01'!$Z:$Z,$B:$B,'20.01'!$D:$D)*1.2</f>
        <v>0</v>
      </c>
      <c r="BI196" s="17">
        <f>SUMIF('20.01'!$AA:$AA,$B:$B,'20.01'!$D:$D)*1.2</f>
        <v>0</v>
      </c>
      <c r="BJ196" s="17">
        <f>SUMIF('20.01'!$AB:$AB,$B:$B,'20.01'!$D:$D)*1.2</f>
        <v>0</v>
      </c>
      <c r="BK196" s="17">
        <f>SUMIF('20.01'!$AC:$AC,$B:$B,'20.01'!$D:$D)*1.2</f>
        <v>0</v>
      </c>
      <c r="BL196" s="17">
        <f>SUMIF('20.01'!$AD:$AD,$B:$B,'20.01'!$D:$D)*1.2</f>
        <v>0</v>
      </c>
      <c r="BM196" s="110">
        <f t="shared" si="207"/>
        <v>0</v>
      </c>
      <c r="BN196" s="17">
        <f>SUMIF('20.01'!$AE:$AE,$B:$B,'20.01'!$D:$D)*1.2</f>
        <v>0</v>
      </c>
      <c r="BO196" s="17">
        <f>SUMIF('20.01'!$AF:$AF,$B:$B,'20.01'!$D:$D)*1.2</f>
        <v>0</v>
      </c>
      <c r="BP196" s="110">
        <f>SUMIF('20.01'!$AG:$AG,$B:$B,'20.01'!$D:$D)*1.2</f>
        <v>0</v>
      </c>
      <c r="BQ196" s="110">
        <f>SUMIF('20.01'!$AH:$AH,$B:$B,'20.01'!$D:$D)*1.2</f>
        <v>0</v>
      </c>
      <c r="BR196" s="110">
        <f>SUMIF('20.01'!$AI:$AI,$B:$B,'20.01'!$D:$D)*1.2</f>
        <v>0</v>
      </c>
      <c r="BS196" s="110">
        <f t="shared" si="208"/>
        <v>0</v>
      </c>
      <c r="BT196" s="17">
        <f>SUMIF('20.01'!$AJ:$AJ,$B:$B,'20.01'!$D:$D)*1.2</f>
        <v>0</v>
      </c>
      <c r="BU196" s="17">
        <f>SUMIF('20.01'!$AK:$AK,$B:$B,'20.01'!$D:$D)*1.2</f>
        <v>0</v>
      </c>
      <c r="BV196" s="110">
        <f>SUMIF('20.01'!$AL:$AL,$B:$B,'20.01'!$D:$D)*1.2</f>
        <v>0</v>
      </c>
      <c r="BW196" s="110">
        <f>SUMIF('20.01'!$AM:$AM,$B:$B,'20.01'!$D:$D)*1.2</f>
        <v>0</v>
      </c>
      <c r="BX196" s="110">
        <f>SUMIF('20.01'!$AN:$AN,$B:$B,'20.01'!$D:$D)*1.2</f>
        <v>0</v>
      </c>
      <c r="BY196" s="110">
        <f t="shared" si="158"/>
        <v>318503.70493485732</v>
      </c>
      <c r="BZ196" s="17">
        <f t="shared" si="230"/>
        <v>258018.80600855622</v>
      </c>
      <c r="CA196" s="17">
        <f t="shared" si="159"/>
        <v>26112.842694963856</v>
      </c>
      <c r="CB196" s="17">
        <f t="shared" si="160"/>
        <v>1735.848042357977</v>
      </c>
      <c r="CC196" s="17">
        <f>SUMIF('20.01'!$AO:$AO,$B:$B,'20.01'!$D:$D)*1.2</f>
        <v>0</v>
      </c>
      <c r="CD196" s="17">
        <f t="shared" si="161"/>
        <v>27251.051249307307</v>
      </c>
      <c r="CE196" s="17">
        <f>SUMIF('20.01'!$AQ:$AQ,$B:$B,'20.01'!$D:$D)*1.2</f>
        <v>0</v>
      </c>
      <c r="CF196" s="17">
        <f t="shared" si="162"/>
        <v>2479.4148799692371</v>
      </c>
      <c r="CG196" s="17">
        <f>SUMIF('20.01'!$AR:$AR,$B:$B,'20.01'!$D:$D)*1.2</f>
        <v>0</v>
      </c>
      <c r="CH196" s="17">
        <f t="shared" si="163"/>
        <v>1460.1954549556767</v>
      </c>
      <c r="CI196" s="17">
        <f>SUMIF('20.01'!$AT:$AT,$B:$B,'20.01'!$D:$D)*1.2</f>
        <v>0</v>
      </c>
      <c r="CJ196" s="17">
        <f>SUMIF('20.01'!$AU:$AU,$B:$B,'20.01'!$D:$D)*1.2</f>
        <v>0</v>
      </c>
      <c r="CK196" s="17">
        <f>SUMIF('20.01'!$AV:$AV,$B:$B,'20.01'!$D:$D)*1.2</f>
        <v>0</v>
      </c>
      <c r="CL196" s="17">
        <f t="shared" si="164"/>
        <v>1445.5466047470363</v>
      </c>
      <c r="CM196" s="17">
        <f>SUMIF('20.01'!$AW:$AW,$B:$B,'20.01'!$D:$D)*1.2</f>
        <v>0</v>
      </c>
      <c r="CN196" s="17">
        <f>SUMIF('20.01'!$AX:$AX,$B:$B,'20.01'!$D:$D)*1.2</f>
        <v>0</v>
      </c>
      <c r="CO196" s="110">
        <f t="shared" si="209"/>
        <v>484925.11788103986</v>
      </c>
      <c r="CP196" s="17">
        <f t="shared" si="210"/>
        <v>382528.99807722378</v>
      </c>
      <c r="CQ196" s="17">
        <f t="shared" si="165"/>
        <v>118015.45936846428</v>
      </c>
      <c r="CR196" s="17">
        <f t="shared" si="166"/>
        <v>264513.53870875947</v>
      </c>
      <c r="CS196" s="17">
        <f t="shared" si="211"/>
        <v>102396.11980381608</v>
      </c>
      <c r="CT196" s="17">
        <f t="shared" si="167"/>
        <v>3730.3804689726194</v>
      </c>
      <c r="CU196" s="17">
        <f t="shared" si="168"/>
        <v>3608.1489479891266</v>
      </c>
      <c r="CV196" s="17">
        <f t="shared" si="169"/>
        <v>3729.1007976321166</v>
      </c>
      <c r="CW196" s="17">
        <f t="shared" si="170"/>
        <v>39.103727769817567</v>
      </c>
      <c r="CX196" s="17">
        <f t="shared" si="171"/>
        <v>55061.980054861604</v>
      </c>
      <c r="CY196" s="17">
        <f t="shared" si="172"/>
        <v>36227.40580659081</v>
      </c>
      <c r="CZ196" s="110">
        <f t="shared" si="212"/>
        <v>120371.10919105192</v>
      </c>
      <c r="DA196" s="17">
        <f t="shared" si="213"/>
        <v>4546.9450895136715</v>
      </c>
      <c r="DB196" s="17">
        <f t="shared" si="173"/>
        <v>4314.8840961094647</v>
      </c>
      <c r="DC196" s="17">
        <f t="shared" si="174"/>
        <v>232.0609934042065</v>
      </c>
      <c r="DD196" s="17">
        <f t="shared" si="175"/>
        <v>8012.2388209211103</v>
      </c>
      <c r="DE196" s="17">
        <f t="shared" si="176"/>
        <v>2764.4335135267183</v>
      </c>
      <c r="DF196" s="17">
        <f t="shared" si="177"/>
        <v>3355.0251963641358</v>
      </c>
      <c r="DG196" s="17">
        <f t="shared" si="214"/>
        <v>101692.46657072629</v>
      </c>
      <c r="DH196" s="110">
        <f t="shared" si="215"/>
        <v>75120.975192521568</v>
      </c>
      <c r="DI196" s="17">
        <f t="shared" si="178"/>
        <v>67386.577600362143</v>
      </c>
      <c r="DJ196" s="17">
        <f t="shared" si="179"/>
        <v>7452.5595156700119</v>
      </c>
      <c r="DK196" s="17">
        <f t="shared" si="180"/>
        <v>281.83807648940876</v>
      </c>
      <c r="DL196" s="110">
        <f t="shared" si="216"/>
        <v>568450.94327018503</v>
      </c>
      <c r="DM196" s="17">
        <f t="shared" si="181"/>
        <v>236696.37874391073</v>
      </c>
      <c r="DN196" s="17">
        <f t="shared" si="182"/>
        <v>209900.56228233592</v>
      </c>
      <c r="DO196" s="17">
        <f t="shared" si="183"/>
        <v>121854.00224393833</v>
      </c>
      <c r="DP196" s="110">
        <f t="shared" si="217"/>
        <v>188505.04972092845</v>
      </c>
      <c r="DQ196" s="17">
        <f>SUMIF('20.01'!$BB:$BB,$B:$B,'20.01'!$D:$D)*1.2</f>
        <v>6559.4879999999994</v>
      </c>
      <c r="DR196" s="17">
        <f t="shared" si="184"/>
        <v>180606.70981195581</v>
      </c>
      <c r="DS196" s="17">
        <f t="shared" si="185"/>
        <v>1338.8519089726317</v>
      </c>
      <c r="DT196" s="110">
        <f t="shared" si="218"/>
        <v>9292.8719999999994</v>
      </c>
      <c r="DU196" s="17">
        <f>SUMIF('20.01'!$BD:$BD,$B:$B,'20.01'!$D:$D)*1.2</f>
        <v>9292.8719999999994</v>
      </c>
      <c r="DV196" s="17">
        <f t="shared" si="186"/>
        <v>0</v>
      </c>
      <c r="DW196" s="17">
        <f t="shared" si="187"/>
        <v>0</v>
      </c>
      <c r="DX196" s="110">
        <f t="shared" si="188"/>
        <v>1930789.1701346862</v>
      </c>
      <c r="DY196" s="110">
        <f t="shared" si="231"/>
        <v>163874.58240000001</v>
      </c>
      <c r="DZ196" s="110">
        <f t="shared" si="219"/>
        <v>2094663.7525346861</v>
      </c>
      <c r="EA196" s="257"/>
      <c r="EB196" s="110">
        <f t="shared" si="189"/>
        <v>886.55421686746979</v>
      </c>
      <c r="EC196" s="110">
        <f>SUMIF(еирц!$B:$B,$B:$B,еирц!$K:$K)</f>
        <v>2048432.28</v>
      </c>
      <c r="ED196" s="110">
        <f>SUMIF(еирц!$B:$B,$B:$B,еирц!$P:$P)</f>
        <v>1980334.55</v>
      </c>
      <c r="EE196" s="110">
        <f>SUMIF(еирц!$B:$B,$B:$B,еирц!$S:$S)</f>
        <v>1238597.72</v>
      </c>
      <c r="EF196" s="177">
        <f t="shared" si="220"/>
        <v>118529.66408218141</v>
      </c>
      <c r="EG196" s="182">
        <v>0.08</v>
      </c>
      <c r="EH196" s="177">
        <f t="shared" si="222"/>
        <v>-45344.918317818549</v>
      </c>
    </row>
    <row r="197" spans="1:138" ht="12" customHeight="1" x14ac:dyDescent="0.25">
      <c r="A197" s="5">
        <f t="shared" si="223"/>
        <v>193</v>
      </c>
      <c r="B197" s="6" t="s">
        <v>277</v>
      </c>
      <c r="C197" s="7">
        <f t="shared" si="226"/>
        <v>6338.79</v>
      </c>
      <c r="D197" s="8">
        <v>6313.5</v>
      </c>
      <c r="E197" s="8">
        <v>25.29</v>
      </c>
      <c r="F197" s="8">
        <v>1427.1</v>
      </c>
      <c r="G197" s="91">
        <f t="shared" ref="G197:G242" si="232">C197</f>
        <v>6338.79</v>
      </c>
      <c r="H197" s="87">
        <f t="shared" ref="H197:H243" si="233">IF(AB197&gt;0,G197,0)</f>
        <v>0</v>
      </c>
      <c r="I197" s="91">
        <v>4</v>
      </c>
      <c r="J197" s="112">
        <v>9.9540579926573891E-3</v>
      </c>
      <c r="K197" s="17">
        <v>2</v>
      </c>
      <c r="L197" s="112">
        <f t="shared" si="190"/>
        <v>4.8192771084337345E-3</v>
      </c>
      <c r="M197" s="116">
        <v>3.4064177281968346</v>
      </c>
      <c r="N197" s="120">
        <f t="shared" si="191"/>
        <v>6338.79</v>
      </c>
      <c r="O197" s="116">
        <v>3.0862307582073383</v>
      </c>
      <c r="P197" s="120">
        <f t="shared" si="192"/>
        <v>6338.79</v>
      </c>
      <c r="Q197" s="116">
        <v>1.6009279461300674</v>
      </c>
      <c r="R197" s="120">
        <f t="shared" si="193"/>
        <v>6338.79</v>
      </c>
      <c r="S197" s="5" t="s">
        <v>143</v>
      </c>
      <c r="T197" s="87">
        <v>41.1</v>
      </c>
      <c r="U197" s="88">
        <v>4.68</v>
      </c>
      <c r="V197" s="88">
        <v>7.92</v>
      </c>
      <c r="W197" s="88">
        <v>12.32</v>
      </c>
      <c r="X197" s="88">
        <v>6.34</v>
      </c>
      <c r="Y197" s="88">
        <v>2.89</v>
      </c>
      <c r="Z197" s="88">
        <v>1.66</v>
      </c>
      <c r="AA197" s="88">
        <v>5.29</v>
      </c>
      <c r="AB197" s="88">
        <v>0</v>
      </c>
      <c r="AC197" s="257"/>
      <c r="AD197" s="110">
        <f t="shared" si="194"/>
        <v>299183.25363242929</v>
      </c>
      <c r="AE197" s="110">
        <f t="shared" si="195"/>
        <v>199008.63507997285</v>
      </c>
      <c r="AF197" s="16">
        <f>SUMIF('20.01'!$I:$I,$B:$B,'20.01'!$D:$D)*1.2</f>
        <v>89956.596000000005</v>
      </c>
      <c r="AG197" s="17">
        <f t="shared" si="229"/>
        <v>16909.536140761247</v>
      </c>
      <c r="AH197" s="17">
        <f t="shared" si="196"/>
        <v>4840.293684858756</v>
      </c>
      <c r="AI197" s="16">
        <f>SUMIF('20.01'!$J:$J,$B:$B,'20.01'!$D:$D)*1.2</f>
        <v>0</v>
      </c>
      <c r="AJ197" s="17">
        <f t="shared" si="197"/>
        <v>1966.986533458565</v>
      </c>
      <c r="AK197" s="17">
        <f t="shared" si="198"/>
        <v>4785.2412605852596</v>
      </c>
      <c r="AL197" s="17">
        <f t="shared" si="199"/>
        <v>80549.981460309005</v>
      </c>
      <c r="AM197" s="110">
        <f t="shared" si="200"/>
        <v>98393.975999999995</v>
      </c>
      <c r="AN197" s="17">
        <f>SUMIF('20.01'!$K:$K,$B:$B,'20.01'!$D:$D)*1.2</f>
        <v>98393.975999999995</v>
      </c>
      <c r="AO197" s="17">
        <f>SUMIF('20.01'!$L:$L,$B:$B,'20.01'!$D:$D)*1.2</f>
        <v>0</v>
      </c>
      <c r="AP197" s="17">
        <f>SUMIF('20.01'!$M:$M,$B:$B,'20.01'!$D:$D)*1.2</f>
        <v>0</v>
      </c>
      <c r="AQ197" s="110">
        <f t="shared" si="201"/>
        <v>1780.6425524564579</v>
      </c>
      <c r="AR197" s="17">
        <f t="shared" si="202"/>
        <v>1780.6425524564579</v>
      </c>
      <c r="AS197" s="17">
        <f>(SUMIF('20.01'!$N:$N,$B:$B,'20.01'!$D:$D)+SUMIF('20.01'!$O:$O,$B:$B,'20.01'!$D:$D))*1.2</f>
        <v>0</v>
      </c>
      <c r="AT197" s="110">
        <f>SUMIF('20.01'!$P:$P,$B:$B,'20.01'!$D:$D)*1.2</f>
        <v>0</v>
      </c>
      <c r="AU197" s="110">
        <f t="shared" si="203"/>
        <v>0</v>
      </c>
      <c r="AV197" s="17">
        <f>SUMIF('20.01'!$Q:$Q,$B:$B,'20.01'!$D:$D)*1.2</f>
        <v>0</v>
      </c>
      <c r="AW197" s="17">
        <f>SUMIF('20.01'!$R:$R,$B:$B,'20.01'!$D:$D)*1.2</f>
        <v>0</v>
      </c>
      <c r="AX197" s="110">
        <f t="shared" si="204"/>
        <v>0</v>
      </c>
      <c r="AY197" s="17">
        <f>SUMIF('20.01'!$S:$S,$B:$B,'20.01'!$D:$D)*1.2</f>
        <v>0</v>
      </c>
      <c r="AZ197" s="17">
        <f>SUMIF('20.01'!$T:$T,$B:$B,'20.01'!$D:$D)*1.2</f>
        <v>0</v>
      </c>
      <c r="BA197" s="110">
        <f t="shared" si="205"/>
        <v>0</v>
      </c>
      <c r="BB197" s="17">
        <f>SUMIF('20.01'!$U:$U,$B:$B,'20.01'!$D:$D)*1.2</f>
        <v>0</v>
      </c>
      <c r="BC197" s="17">
        <f>SUMIF('20.01'!$V:$V,$B:$B,'20.01'!$D:$D)*1.2</f>
        <v>0</v>
      </c>
      <c r="BD197" s="17">
        <f>SUMIF('20.01'!$W:$W,$B:$B,'20.01'!$D:$D)*1.2</f>
        <v>0</v>
      </c>
      <c r="BE197" s="110">
        <f>SUMIF('20.01'!$X:$X,$B:$B,'20.01'!$D:$D)*1.2</f>
        <v>0</v>
      </c>
      <c r="BF197" s="110">
        <f t="shared" si="206"/>
        <v>0</v>
      </c>
      <c r="BG197" s="17">
        <f>SUMIF('20.01'!$Y:$Y,$B:$B,'20.01'!$D:$D)*1.2</f>
        <v>0</v>
      </c>
      <c r="BH197" s="17">
        <f>SUMIF('20.01'!$Z:$Z,$B:$B,'20.01'!$D:$D)*1.2</f>
        <v>0</v>
      </c>
      <c r="BI197" s="17">
        <f>SUMIF('20.01'!$AA:$AA,$B:$B,'20.01'!$D:$D)*1.2</f>
        <v>0</v>
      </c>
      <c r="BJ197" s="17">
        <f>SUMIF('20.01'!$AB:$AB,$B:$B,'20.01'!$D:$D)*1.2</f>
        <v>0</v>
      </c>
      <c r="BK197" s="17">
        <f>SUMIF('20.01'!$AC:$AC,$B:$B,'20.01'!$D:$D)*1.2</f>
        <v>0</v>
      </c>
      <c r="BL197" s="17">
        <f>SUMIF('20.01'!$AD:$AD,$B:$B,'20.01'!$D:$D)*1.2</f>
        <v>0</v>
      </c>
      <c r="BM197" s="110">
        <f t="shared" si="207"/>
        <v>0</v>
      </c>
      <c r="BN197" s="17">
        <f>SUMIF('20.01'!$AE:$AE,$B:$B,'20.01'!$D:$D)*1.2</f>
        <v>0</v>
      </c>
      <c r="BO197" s="17">
        <f>SUMIF('20.01'!$AF:$AF,$B:$B,'20.01'!$D:$D)*1.2</f>
        <v>0</v>
      </c>
      <c r="BP197" s="110">
        <f>SUMIF('20.01'!$AG:$AG,$B:$B,'20.01'!$D:$D)*1.2</f>
        <v>0</v>
      </c>
      <c r="BQ197" s="110">
        <f>SUMIF('20.01'!$AH:$AH,$B:$B,'20.01'!$D:$D)*1.2</f>
        <v>0</v>
      </c>
      <c r="BR197" s="110">
        <f>SUMIF('20.01'!$AI:$AI,$B:$B,'20.01'!$D:$D)*1.2</f>
        <v>0</v>
      </c>
      <c r="BS197" s="110">
        <f t="shared" si="208"/>
        <v>0</v>
      </c>
      <c r="BT197" s="17">
        <f>SUMIF('20.01'!$AJ:$AJ,$B:$B,'20.01'!$D:$D)*1.2</f>
        <v>0</v>
      </c>
      <c r="BU197" s="17">
        <f>SUMIF('20.01'!$AK:$AK,$B:$B,'20.01'!$D:$D)*1.2</f>
        <v>0</v>
      </c>
      <c r="BV197" s="110">
        <f>SUMIF('20.01'!$AL:$AL,$B:$B,'20.01'!$D:$D)*1.2</f>
        <v>0</v>
      </c>
      <c r="BW197" s="110">
        <f>SUMIF('20.01'!$AM:$AM,$B:$B,'20.01'!$D:$D)*1.2</f>
        <v>0</v>
      </c>
      <c r="BX197" s="110">
        <f>SUMIF('20.01'!$AN:$AN,$B:$B,'20.01'!$D:$D)*1.2</f>
        <v>0</v>
      </c>
      <c r="BY197" s="110">
        <f t="shared" ref="BY197:BY260" si="234">SUM(BZ197:CN197)</f>
        <v>479532.58747898549</v>
      </c>
      <c r="BZ197" s="17">
        <f t="shared" si="230"/>
        <v>388467.77524558839</v>
      </c>
      <c r="CA197" s="17">
        <f t="shared" ref="CA197:CA243" si="235">$CA$244/$G$244*G197</f>
        <v>39314.955618832821</v>
      </c>
      <c r="CB197" s="17">
        <f t="shared" ref="CB197:CB243" si="236">$CB$244/$G$244*G197</f>
        <v>2613.4568933585865</v>
      </c>
      <c r="CC197" s="17">
        <f>SUMIF('20.01'!$AO:$AO,$B:$B,'20.01'!$D:$D)*1.2</f>
        <v>0</v>
      </c>
      <c r="CD197" s="17">
        <f t="shared" ref="CD197:CD243" si="237">$CD$244/$G$244*G197</f>
        <v>41028.6188657538</v>
      </c>
      <c r="CE197" s="17">
        <f>SUMIF('20.01'!$AQ:$AQ,$B:$B,'20.01'!$D:$D)*1.2</f>
        <v>0</v>
      </c>
      <c r="CF197" s="17">
        <f t="shared" ref="CF197:CF243" si="238">$CF$244/$G$244*G197</f>
        <v>3732.9557377322221</v>
      </c>
      <c r="CG197" s="17">
        <f>SUMIF('20.01'!$AR:$AR,$B:$B,'20.01'!$D:$D)*1.2</f>
        <v>0</v>
      </c>
      <c r="CH197" s="17">
        <f t="shared" ref="CH197:CH243" si="239">$CH$244/$G$244*G197</f>
        <v>2198.4400617354272</v>
      </c>
      <c r="CI197" s="17">
        <f>SUMIF('20.01'!$AT:$AT,$B:$B,'20.01'!$D:$D)*1.2</f>
        <v>0</v>
      </c>
      <c r="CJ197" s="17">
        <f>SUMIF('20.01'!$AU:$AU,$B:$B,'20.01'!$D:$D)*1.2</f>
        <v>0</v>
      </c>
      <c r="CK197" s="17">
        <f>SUMIF('20.01'!$AV:$AV,$B:$B,'20.01'!$D:$D)*1.2</f>
        <v>0</v>
      </c>
      <c r="CL197" s="17">
        <f t="shared" ref="CL197:CL243" si="240">$CL$244/$G$244*G197</f>
        <v>2176.3850559841494</v>
      </c>
      <c r="CM197" s="17">
        <f>SUMIF('20.01'!$AW:$AW,$B:$B,'20.01'!$D:$D)*1.2</f>
        <v>0</v>
      </c>
      <c r="CN197" s="17">
        <f>SUMIF('20.01'!$AX:$AX,$B:$B,'20.01'!$D:$D)*1.2</f>
        <v>0</v>
      </c>
      <c r="CO197" s="110">
        <f t="shared" si="209"/>
        <v>730093.22311841638</v>
      </c>
      <c r="CP197" s="17">
        <f t="shared" si="210"/>
        <v>575927.74398411601</v>
      </c>
      <c r="CQ197" s="17">
        <f t="shared" ref="CQ197:CQ243" si="241">$CQ$244/$G$244*G197</f>
        <v>177681.63357803138</v>
      </c>
      <c r="CR197" s="17">
        <f t="shared" ref="CR197:CR243" si="242">$CR$244/$G$244*G197</f>
        <v>398246.11040608463</v>
      </c>
      <c r="CS197" s="17">
        <f t="shared" si="211"/>
        <v>154165.47913430037</v>
      </c>
      <c r="CT197" s="17">
        <f t="shared" ref="CT197:CT243" si="243">$CT$244/$G$244*G197</f>
        <v>5616.3836428005679</v>
      </c>
      <c r="CU197" s="17">
        <f t="shared" ref="CU197:CU243" si="244">$CU$244/$G$244*G197</f>
        <v>5432.3543940962418</v>
      </c>
      <c r="CV197" s="17">
        <f t="shared" ref="CV197:CV243" si="245">$CV$244/$G$244*G197</f>
        <v>5614.4569961100387</v>
      </c>
      <c r="CW197" s="17">
        <f t="shared" ref="CW197:CW243" si="246">$CW$244/$G$244*G197</f>
        <v>58.87376337229631</v>
      </c>
      <c r="CX197" s="17">
        <f t="shared" ref="CX197:CX243" si="247">$CX$244/$G$244*G197</f>
        <v>82900.177794868709</v>
      </c>
      <c r="CY197" s="17">
        <f t="shared" ref="CY197:CY243" si="248">$CY$244/$G$244*G197</f>
        <v>54543.232543052538</v>
      </c>
      <c r="CZ197" s="110">
        <f t="shared" si="212"/>
        <v>181228.25120639114</v>
      </c>
      <c r="DA197" s="17">
        <f t="shared" si="213"/>
        <v>6845.7864386391066</v>
      </c>
      <c r="DB197" s="17">
        <f t="shared" ref="DB197:DB243" si="249">$DB$244/$G$244*G197</f>
        <v>6496.4002089158985</v>
      </c>
      <c r="DC197" s="17">
        <f t="shared" ref="DC197:DC243" si="250">$DC$244/$G$244*G197</f>
        <v>349.38622972320798</v>
      </c>
      <c r="DD197" s="17">
        <f t="shared" ref="DD197:DD243" si="251">$DD$244/$G$244*G197</f>
        <v>12063.060974696338</v>
      </c>
      <c r="DE197" s="17">
        <f t="shared" ref="DE197:DE243" si="252">$DE$244/$G$244*G197</f>
        <v>4162.073894638741</v>
      </c>
      <c r="DF197" s="17">
        <f t="shared" ref="DF197:DF243" si="253">$DF$244/$G$244*G197</f>
        <v>5051.2565114391291</v>
      </c>
      <c r="DG197" s="17">
        <f t="shared" si="214"/>
        <v>153106.07338697783</v>
      </c>
      <c r="DH197" s="110">
        <f t="shared" si="215"/>
        <v>113100.58580129301</v>
      </c>
      <c r="DI197" s="17">
        <f t="shared" ref="DI197:DI243" si="254">$DI$244/$G$244*G197</f>
        <v>101455.83683136184</v>
      </c>
      <c r="DJ197" s="17">
        <f t="shared" ref="DJ197:DJ243" si="255">$DJ$244/$G$244*G197</f>
        <v>11220.419393932336</v>
      </c>
      <c r="DK197" s="17">
        <f t="shared" ref="DK197:DK243" si="256">$DK$244/$G$244*G197</f>
        <v>424.32957599883605</v>
      </c>
      <c r="DL197" s="110">
        <f t="shared" si="216"/>
        <v>855847.9774575117</v>
      </c>
      <c r="DM197" s="17">
        <f t="shared" ref="DM197:DM243" si="257">IF(M197&gt;0,$DM$246*0.53/$N$244*N197,0)</f>
        <v>356365.16997247492</v>
      </c>
      <c r="DN197" s="17">
        <f t="shared" ref="DN197:DN243" si="258">IF(O197&gt;0,$DM$246*0.47/$P$244*P197,0)</f>
        <v>316021.94318313815</v>
      </c>
      <c r="DO197" s="17">
        <f t="shared" ref="DO197:DO243" si="259">IF(Q197&gt;0,$DO$246/$R$244*R197,0)</f>
        <v>183460.86430189869</v>
      </c>
      <c r="DP197" s="110">
        <f t="shared" si="217"/>
        <v>281470.85263967654</v>
      </c>
      <c r="DQ197" s="17">
        <f>SUMIF('20.01'!$BB:$BB,$B:$B,'20.01'!$D:$D)*1.2</f>
        <v>6559.4879999999994</v>
      </c>
      <c r="DR197" s="17">
        <f t="shared" ref="DR197:DR243" si="260">$DR$244*J197</f>
        <v>272888.42106323113</v>
      </c>
      <c r="DS197" s="17">
        <f t="shared" ref="DS197:DS243" si="261">$DS$244*J197</f>
        <v>2022.9435764453997</v>
      </c>
      <c r="DT197" s="110">
        <f t="shared" si="218"/>
        <v>0</v>
      </c>
      <c r="DU197" s="17">
        <f>SUMIF('20.01'!$BD:$BD,$B:$B,'20.01'!$D:$D)*1.2</f>
        <v>0</v>
      </c>
      <c r="DV197" s="17">
        <f t="shared" ref="DV197:DV243" si="262">$DV$244/$H$244*H197</f>
        <v>0</v>
      </c>
      <c r="DW197" s="17">
        <f t="shared" ref="DW197:DW243" si="263">$DW$244/$H$244*H197</f>
        <v>0</v>
      </c>
      <c r="DX197" s="110">
        <f t="shared" ref="DX197:DX243" si="264">SUM(AD197,BY197,CO197,CZ197,DH197,DL197,DP197,DT197)</f>
        <v>2940456.7313347035</v>
      </c>
      <c r="DY197" s="110">
        <f t="shared" si="231"/>
        <v>244317.29280000002</v>
      </c>
      <c r="DZ197" s="110">
        <f t="shared" si="219"/>
        <v>3184774.0241347034</v>
      </c>
      <c r="EA197" s="257"/>
      <c r="EB197" s="110">
        <f t="shared" ref="EB197:EB243" si="265">$EB$245*L197</f>
        <v>1773.1084337349396</v>
      </c>
      <c r="EC197" s="110">
        <f>SUMIF(еирц!$B:$B,$B:$B,еирц!$K:$K)</f>
        <v>3053966.16</v>
      </c>
      <c r="ED197" s="110">
        <f>SUMIF(еирц!$B:$B,$B:$B,еирц!$P:$P)</f>
        <v>3065878.92</v>
      </c>
      <c r="EE197" s="110">
        <f>SUMIF(еирц!$B:$B,$B:$B,еирц!$S:$S)</f>
        <v>378833.11</v>
      </c>
      <c r="EF197" s="177">
        <f t="shared" si="220"/>
        <v>115282.53709903173</v>
      </c>
      <c r="EG197" s="182">
        <v>0.08</v>
      </c>
      <c r="EH197" s="177">
        <f t="shared" si="222"/>
        <v>-129034.75570096821</v>
      </c>
    </row>
    <row r="198" spans="1:138" ht="12" customHeight="1" x14ac:dyDescent="0.25">
      <c r="A198" s="5">
        <f t="shared" si="223"/>
        <v>194</v>
      </c>
      <c r="B198" s="6" t="s">
        <v>278</v>
      </c>
      <c r="C198" s="7">
        <f t="shared" si="226"/>
        <v>28921.599999999984</v>
      </c>
      <c r="D198" s="8">
        <v>23865.599999999984</v>
      </c>
      <c r="E198" s="8">
        <v>5056</v>
      </c>
      <c r="F198" s="8">
        <v>5071.5</v>
      </c>
      <c r="G198" s="91">
        <f t="shared" si="232"/>
        <v>28921.599999999984</v>
      </c>
      <c r="H198" s="87">
        <f t="shared" si="233"/>
        <v>0</v>
      </c>
      <c r="I198" s="91">
        <v>7</v>
      </c>
      <c r="J198" s="112">
        <v>5.103635726020745E-2</v>
      </c>
      <c r="K198" s="17">
        <v>0</v>
      </c>
      <c r="L198" s="112">
        <f t="shared" ref="L198:L243" si="266">K198*100/$K$244/100</f>
        <v>0</v>
      </c>
      <c r="M198" s="116">
        <v>3.406417412533695</v>
      </c>
      <c r="N198" s="120">
        <f t="shared" ref="N198:N243" si="267">IF(M198&gt;0,G198,0)</f>
        <v>28921.599999999984</v>
      </c>
      <c r="O198" s="116">
        <v>3.0862321540803648</v>
      </c>
      <c r="P198" s="120">
        <f t="shared" ref="P198:P243" si="268">IF(O198&gt;0,G198,0)</f>
        <v>28921.599999999984</v>
      </c>
      <c r="Q198" s="116">
        <v>1.6009272107152337</v>
      </c>
      <c r="R198" s="120">
        <f t="shared" ref="R198:R243" si="269">IF(Q198&gt;0,G198,0)</f>
        <v>28921.599999999984</v>
      </c>
      <c r="S198" s="5" t="s">
        <v>143</v>
      </c>
      <c r="T198" s="87">
        <v>36.54</v>
      </c>
      <c r="U198" s="88">
        <v>4.03</v>
      </c>
      <c r="V198" s="88">
        <v>7</v>
      </c>
      <c r="W198" s="88">
        <v>11</v>
      </c>
      <c r="X198" s="88">
        <v>5.4</v>
      </c>
      <c r="Y198" s="88">
        <v>2.67</v>
      </c>
      <c r="Z198" s="88">
        <v>1.54</v>
      </c>
      <c r="AA198" s="88">
        <v>4.9000000000000004</v>
      </c>
      <c r="AB198" s="88">
        <v>0</v>
      </c>
      <c r="AC198" s="257"/>
      <c r="AD198" s="110">
        <f t="shared" ref="AD198:AD243" si="270">SUM(AE198,AM198,AQ198,AT198,AU198,AX198,BA198,BE198,BF198,BM198,BP198,BQ198,BR198,BS198,BV198,BW198,BX198)</f>
        <v>1101346.7966802854</v>
      </c>
      <c r="AE198" s="110">
        <f t="shared" ref="AE198:AE243" si="271">SUM(AF198:AL198)</f>
        <v>867021.41046564106</v>
      </c>
      <c r="AF198" s="16">
        <f>SUMIF('20.01'!$I:$I,$B:$B,'20.01'!$D:$D)*1.2</f>
        <v>369456.50400000002</v>
      </c>
      <c r="AG198" s="17">
        <f t="shared" si="229"/>
        <v>77152.081146187236</v>
      </c>
      <c r="AH198" s="17">
        <f t="shared" ref="AH198:AH243" si="272">$AH$244/$G$244*G198</f>
        <v>22084.504745544644</v>
      </c>
      <c r="AI198" s="16">
        <f>SUMIF('20.01'!$J:$J,$B:$B,'20.01'!$D:$D)*1.2</f>
        <v>0</v>
      </c>
      <c r="AJ198" s="17">
        <f t="shared" ref="AJ198:AJ243" si="273">$AJ$244/$G$244*G198</f>
        <v>8974.6462220826379</v>
      </c>
      <c r="AK198" s="17">
        <f t="shared" ref="AK198:AK243" si="274">$AK$244/$G$244*G198</f>
        <v>21833.320498414141</v>
      </c>
      <c r="AL198" s="17">
        <f t="shared" ref="AL198:AL242" si="275">$AL$244/$G$244*G198</f>
        <v>367520.35385341238</v>
      </c>
      <c r="AM198" s="110">
        <f t="shared" ref="AM198:AM243" si="276">SUM(AN198:AP198)</f>
        <v>0</v>
      </c>
      <c r="AN198" s="17">
        <f>SUMIF('20.01'!$K:$K,$B:$B,'20.01'!$D:$D)*1.2</f>
        <v>0</v>
      </c>
      <c r="AO198" s="17">
        <f>SUMIF('20.01'!$L:$L,$B:$B,'20.01'!$D:$D)*1.2</f>
        <v>0</v>
      </c>
      <c r="AP198" s="17">
        <f>SUMIF('20.01'!$M:$M,$B:$B,'20.01'!$D:$D)*1.2</f>
        <v>0</v>
      </c>
      <c r="AQ198" s="110">
        <f t="shared" ref="AQ198:AQ243" si="277">SUM(AR198:AS198)</f>
        <v>8124.4262146442243</v>
      </c>
      <c r="AR198" s="17">
        <f t="shared" ref="AR198:AR243" si="278">$AR$244/$G$244*G198</f>
        <v>8124.4262146442243</v>
      </c>
      <c r="AS198" s="17">
        <f>(SUMIF('20.01'!$N:$N,$B:$B,'20.01'!$D:$D)+SUMIF('20.01'!$O:$O,$B:$B,'20.01'!$D:$D))*1.2</f>
        <v>0</v>
      </c>
      <c r="AT198" s="110">
        <f>SUMIF('20.01'!$P:$P,$B:$B,'20.01'!$D:$D)*1.2</f>
        <v>0</v>
      </c>
      <c r="AU198" s="110">
        <f t="shared" ref="AU198:AU243" si="279">SUM(AV198:AW198)</f>
        <v>0</v>
      </c>
      <c r="AV198" s="17">
        <f>SUMIF('20.01'!$Q:$Q,$B:$B,'20.01'!$D:$D)*1.2</f>
        <v>0</v>
      </c>
      <c r="AW198" s="17">
        <f>SUMIF('20.01'!$R:$R,$B:$B,'20.01'!$D:$D)*1.2</f>
        <v>0</v>
      </c>
      <c r="AX198" s="110">
        <f t="shared" ref="AX198:AX243" si="280">SUM(AY198:AZ198)</f>
        <v>0</v>
      </c>
      <c r="AY198" s="17">
        <f>SUMIF('20.01'!$S:$S,$B:$B,'20.01'!$D:$D)*1.2</f>
        <v>0</v>
      </c>
      <c r="AZ198" s="17">
        <f>SUMIF('20.01'!$T:$T,$B:$B,'20.01'!$D:$D)*1.2</f>
        <v>0</v>
      </c>
      <c r="BA198" s="110">
        <f t="shared" ref="BA198:BA243" si="281">SUM(BB198:BD198)</f>
        <v>205560.95999999999</v>
      </c>
      <c r="BB198" s="17">
        <f>SUMIF('20.01'!$U:$U,$B:$B,'20.01'!$D:$D)*1.2</f>
        <v>205560.95999999999</v>
      </c>
      <c r="BC198" s="17">
        <f>SUMIF('20.01'!$V:$V,$B:$B,'20.01'!$D:$D)*1.2</f>
        <v>0</v>
      </c>
      <c r="BD198" s="17">
        <f>SUMIF('20.01'!$W:$W,$B:$B,'20.01'!$D:$D)*1.2</f>
        <v>0</v>
      </c>
      <c r="BE198" s="110">
        <f>SUMIF('20.01'!$X:$X,$B:$B,'20.01'!$D:$D)*1.2</f>
        <v>0</v>
      </c>
      <c r="BF198" s="110">
        <f t="shared" ref="BF198:BF243" si="282">SUM(BG198:BL198)</f>
        <v>0</v>
      </c>
      <c r="BG198" s="17">
        <f>SUMIF('20.01'!$Y:$Y,$B:$B,'20.01'!$D:$D)*1.2</f>
        <v>0</v>
      </c>
      <c r="BH198" s="17">
        <f>SUMIF('20.01'!$Z:$Z,$B:$B,'20.01'!$D:$D)*1.2</f>
        <v>0</v>
      </c>
      <c r="BI198" s="17">
        <f>SUMIF('20.01'!$AA:$AA,$B:$B,'20.01'!$D:$D)*1.2</f>
        <v>0</v>
      </c>
      <c r="BJ198" s="17">
        <f>SUMIF('20.01'!$AB:$AB,$B:$B,'20.01'!$D:$D)*1.2</f>
        <v>0</v>
      </c>
      <c r="BK198" s="17">
        <f>SUMIF('20.01'!$AC:$AC,$B:$B,'20.01'!$D:$D)*1.2</f>
        <v>0</v>
      </c>
      <c r="BL198" s="17">
        <f>SUMIF('20.01'!$AD:$AD,$B:$B,'20.01'!$D:$D)*1.2</f>
        <v>0</v>
      </c>
      <c r="BM198" s="110">
        <f t="shared" ref="BM198:BM243" si="283">SUM(BN198:BO198)</f>
        <v>0</v>
      </c>
      <c r="BN198" s="17">
        <f>SUMIF('20.01'!$AE:$AE,$B:$B,'20.01'!$D:$D)*1.2</f>
        <v>0</v>
      </c>
      <c r="BO198" s="17">
        <f>SUMIF('20.01'!$AF:$AF,$B:$B,'20.01'!$D:$D)*1.2</f>
        <v>0</v>
      </c>
      <c r="BP198" s="110">
        <f>SUMIF('20.01'!$AG:$AG,$B:$B,'20.01'!$D:$D)*1.2</f>
        <v>0</v>
      </c>
      <c r="BQ198" s="110">
        <f>SUMIF('20.01'!$AH:$AH,$B:$B,'20.01'!$D:$D)*1.2</f>
        <v>0</v>
      </c>
      <c r="BR198" s="110">
        <f>SUMIF('20.01'!$AI:$AI,$B:$B,'20.01'!$D:$D)*1.2</f>
        <v>0</v>
      </c>
      <c r="BS198" s="110">
        <f t="shared" ref="BS198:BS243" si="284">SUM(BT198:BU198)</f>
        <v>0</v>
      </c>
      <c r="BT198" s="17">
        <f>SUMIF('20.01'!$AJ:$AJ,$B:$B,'20.01'!$D:$D)*1.2</f>
        <v>0</v>
      </c>
      <c r="BU198" s="17">
        <f>SUMIF('20.01'!$AK:$AK,$B:$B,'20.01'!$D:$D)*1.2</f>
        <v>0</v>
      </c>
      <c r="BV198" s="110">
        <f>SUMIF('20.01'!$AL:$AL,$B:$B,'20.01'!$D:$D)*1.2</f>
        <v>0</v>
      </c>
      <c r="BW198" s="110">
        <f>SUMIF('20.01'!$AM:$AM,$B:$B,'20.01'!$D:$D)*1.2</f>
        <v>20640</v>
      </c>
      <c r="BX198" s="110">
        <f>SUMIF('20.01'!$AN:$AN,$B:$B,'20.01'!$D:$D)*1.2</f>
        <v>0</v>
      </c>
      <c r="BY198" s="110">
        <f t="shared" si="234"/>
        <v>2195133.2935831943</v>
      </c>
      <c r="BZ198" s="17">
        <f t="shared" si="230"/>
        <v>1772437.5801285107</v>
      </c>
      <c r="CA198" s="17">
        <f t="shared" si="235"/>
        <v>179379.88487166079</v>
      </c>
      <c r="CB198" s="17">
        <f t="shared" si="236"/>
        <v>11924.25603103426</v>
      </c>
      <c r="CC198" s="17">
        <f>SUMIF('20.01'!$AO:$AO,$B:$B,'20.01'!$D:$D)*1.2</f>
        <v>0</v>
      </c>
      <c r="CD198" s="17">
        <f t="shared" si="237"/>
        <v>187198.70880527428</v>
      </c>
      <c r="CE198" s="17">
        <f>SUMIF('20.01'!$AQ:$AQ,$B:$B,'20.01'!$D:$D)*1.2</f>
        <v>0</v>
      </c>
      <c r="CF198" s="17">
        <f t="shared" si="238"/>
        <v>17032.123270276534</v>
      </c>
      <c r="CG198" s="17">
        <f>SUMIF('20.01'!$AR:$AR,$B:$B,'20.01'!$D:$D)*1.2</f>
        <v>0</v>
      </c>
      <c r="CH198" s="17">
        <f t="shared" si="239"/>
        <v>10030.684734702883</v>
      </c>
      <c r="CI198" s="17">
        <f>SUMIF('20.01'!$AT:$AT,$B:$B,'20.01'!$D:$D)*1.2</f>
        <v>0</v>
      </c>
      <c r="CJ198" s="17">
        <f>SUMIF('20.01'!$AU:$AU,$B:$B,'20.01'!$D:$D)*1.2</f>
        <v>0</v>
      </c>
      <c r="CK198" s="17">
        <f>SUMIF('20.01'!$AV:$AV,$B:$B,'20.01'!$D:$D)*1.2</f>
        <v>0</v>
      </c>
      <c r="CL198" s="17">
        <f t="shared" si="240"/>
        <v>9930.0557417348009</v>
      </c>
      <c r="CM198" s="17">
        <f>SUMIF('20.01'!$AW:$AW,$B:$B,'20.01'!$D:$D)*1.2</f>
        <v>7200</v>
      </c>
      <c r="CN198" s="17">
        <f>SUMIF('20.01'!$AX:$AX,$B:$B,'20.01'!$D:$D)*1.2</f>
        <v>0</v>
      </c>
      <c r="CO198" s="110">
        <f t="shared" ref="CO198:CO243" si="285">SUM(CP198,CS198)</f>
        <v>3331150.6078828257</v>
      </c>
      <c r="CP198" s="17">
        <f t="shared" ref="CP198:CP243" si="286">SUM(CQ198:CR198)</f>
        <v>2627749.4348938833</v>
      </c>
      <c r="CQ198" s="17">
        <f t="shared" si="241"/>
        <v>810696.85755331686</v>
      </c>
      <c r="CR198" s="17">
        <f t="shared" si="242"/>
        <v>1817052.5773405666</v>
      </c>
      <c r="CS198" s="17">
        <f t="shared" ref="CS198:CS243" si="287">SUM(CT198:CY198)</f>
        <v>703401.17298894259</v>
      </c>
      <c r="CT198" s="17">
        <f t="shared" si="243"/>
        <v>25625.521773654091</v>
      </c>
      <c r="CU198" s="17">
        <f t="shared" si="244"/>
        <v>24785.863050249933</v>
      </c>
      <c r="CV198" s="17">
        <f t="shared" si="245"/>
        <v>25616.731183505999</v>
      </c>
      <c r="CW198" s="17">
        <f t="shared" si="246"/>
        <v>268.61963162499529</v>
      </c>
      <c r="CX198" s="17">
        <f t="shared" si="247"/>
        <v>378243.44742641313</v>
      </c>
      <c r="CY198" s="17">
        <f t="shared" si="248"/>
        <v>248860.98992349446</v>
      </c>
      <c r="CZ198" s="110">
        <f t="shared" ref="CZ198:CZ243" si="288">SUM(DA198,DD198,DE198,DF198,DG198)</f>
        <v>826878.7876062718</v>
      </c>
      <c r="DA198" s="17">
        <f t="shared" ref="DA198:DA243" si="289">SUM(DB198:DC198)</f>
        <v>31234.840886627364</v>
      </c>
      <c r="DB198" s="17">
        <f t="shared" si="249"/>
        <v>29640.718225746859</v>
      </c>
      <c r="DC198" s="17">
        <f t="shared" si="250"/>
        <v>1594.1226608805034</v>
      </c>
      <c r="DD198" s="17">
        <f t="shared" si="251"/>
        <v>55039.372543620695</v>
      </c>
      <c r="DE198" s="17">
        <f t="shared" si="252"/>
        <v>18990.033800012894</v>
      </c>
      <c r="DF198" s="17">
        <f t="shared" si="253"/>
        <v>23047.051617302011</v>
      </c>
      <c r="DG198" s="17">
        <f t="shared" ref="DG198:DG243" si="290">$DG$244/$G$244*G198</f>
        <v>698567.48875870882</v>
      </c>
      <c r="DH198" s="110">
        <f t="shared" ref="DH198:DH243" si="291">SUM(DI198:DK198)</f>
        <v>516036.95694457053</v>
      </c>
      <c r="DI198" s="17">
        <f t="shared" si="254"/>
        <v>462906.19037732953</v>
      </c>
      <c r="DJ198" s="17">
        <f t="shared" si="255"/>
        <v>51194.704595601565</v>
      </c>
      <c r="DK198" s="17">
        <f t="shared" si="256"/>
        <v>1936.0619716393712</v>
      </c>
      <c r="DL198" s="110">
        <f t="shared" ref="DL198:DL243" si="292">SUM(DM198:DO198)</f>
        <v>3904923.9468155843</v>
      </c>
      <c r="DM198" s="17">
        <f t="shared" si="257"/>
        <v>1625965.0343166322</v>
      </c>
      <c r="DN198" s="17">
        <f t="shared" si="258"/>
        <v>1441893.5209977683</v>
      </c>
      <c r="DO198" s="17">
        <f t="shared" si="259"/>
        <v>837065.39150118409</v>
      </c>
      <c r="DP198" s="110">
        <f t="shared" ref="DP198:DP243" si="293">SUM(DQ198:DS198)</f>
        <v>1440411.0820980323</v>
      </c>
      <c r="DQ198" s="17">
        <f>SUMIF('20.01'!$BB:$BB,$B:$B,'20.01'!$D:$D)*1.2</f>
        <v>30887.988000000001</v>
      </c>
      <c r="DR198" s="17">
        <f t="shared" si="260"/>
        <v>1399151.0758557371</v>
      </c>
      <c r="DS198" s="17">
        <f t="shared" si="261"/>
        <v>10372.018242295442</v>
      </c>
      <c r="DT198" s="110">
        <f t="shared" ref="DT198:DT243" si="294">SUM(DU198:DW198)</f>
        <v>0</v>
      </c>
      <c r="DU198" s="17">
        <f>SUMIF('20.01'!$BD:$BD,$B:$B,'20.01'!$D:$D)*1.2</f>
        <v>0</v>
      </c>
      <c r="DV198" s="17">
        <f t="shared" si="262"/>
        <v>0</v>
      </c>
      <c r="DW198" s="17">
        <f t="shared" si="263"/>
        <v>0</v>
      </c>
      <c r="DX198" s="110">
        <f t="shared" si="264"/>
        <v>13315881.471610766</v>
      </c>
      <c r="DY198" s="110"/>
      <c r="DZ198" s="110">
        <f t="shared" ref="DZ198:DZ243" si="295">DX198+DY198</f>
        <v>13315881.471610766</v>
      </c>
      <c r="EA198" s="257"/>
      <c r="EB198" s="110">
        <f t="shared" si="265"/>
        <v>0</v>
      </c>
      <c r="EC198" s="110">
        <f>SUMIF(еирц!$B:$B,$B:$B,еирц!$K:$K)</f>
        <v>10822407.23</v>
      </c>
      <c r="ED198" s="110">
        <f>SUMIF(еирц!$B:$B,$B:$B,еирц!$P:$P)</f>
        <v>10542096.800000001</v>
      </c>
      <c r="EE198" s="110">
        <f>SUMIF(еирц!$B:$B,$B:$B,еирц!$S:$S)</f>
        <v>5262482.75</v>
      </c>
      <c r="EF198" s="177">
        <f t="shared" ref="EF198:EF243" si="296">(EB198+EC198)-DX198</f>
        <v>-2493474.2416107655</v>
      </c>
      <c r="EG198" s="181">
        <f t="shared" ref="EG198:EG243" si="297">IF(EF198&gt;0,EC198/DX198-1,0)</f>
        <v>0</v>
      </c>
      <c r="EH198" s="177">
        <f t="shared" ref="EH198:EH243" si="298">(EB198+EC198)-DZ198</f>
        <v>-2493474.2416107655</v>
      </c>
    </row>
    <row r="199" spans="1:138" ht="12" customHeight="1" x14ac:dyDescent="0.25">
      <c r="A199" s="5">
        <f t="shared" ref="A199:A243" si="299">A198+1</f>
        <v>195</v>
      </c>
      <c r="B199" s="6" t="s">
        <v>279</v>
      </c>
      <c r="C199" s="7">
        <f t="shared" si="226"/>
        <v>3534.12</v>
      </c>
      <c r="D199" s="8">
        <v>3534.12</v>
      </c>
      <c r="E199" s="8">
        <v>0</v>
      </c>
      <c r="F199" s="8">
        <v>596</v>
      </c>
      <c r="G199" s="87">
        <f t="shared" si="232"/>
        <v>3534.12</v>
      </c>
      <c r="H199" s="87">
        <f t="shared" si="233"/>
        <v>3534.12</v>
      </c>
      <c r="I199" s="91">
        <v>0</v>
      </c>
      <c r="J199" s="112">
        <v>0</v>
      </c>
      <c r="K199" s="17">
        <v>0</v>
      </c>
      <c r="L199" s="112">
        <f t="shared" si="266"/>
        <v>0</v>
      </c>
      <c r="M199" s="116">
        <v>3.4064149582470589</v>
      </c>
      <c r="N199" s="120">
        <f t="shared" si="267"/>
        <v>3534.12</v>
      </c>
      <c r="O199" s="116">
        <v>3.0862329063232385</v>
      </c>
      <c r="P199" s="120">
        <f t="shared" si="268"/>
        <v>3534.12</v>
      </c>
      <c r="Q199" s="116">
        <v>0</v>
      </c>
      <c r="R199" s="120">
        <f t="shared" si="269"/>
        <v>0</v>
      </c>
      <c r="S199" s="5" t="s">
        <v>143</v>
      </c>
      <c r="T199" s="87">
        <v>28.44</v>
      </c>
      <c r="U199" s="88">
        <v>4.68</v>
      </c>
      <c r="V199" s="88">
        <v>6.05</v>
      </c>
      <c r="W199" s="88">
        <v>8.24</v>
      </c>
      <c r="X199" s="88">
        <v>6.34</v>
      </c>
      <c r="Y199" s="88">
        <v>2.89</v>
      </c>
      <c r="Z199" s="88">
        <v>0</v>
      </c>
      <c r="AA199" s="88">
        <v>0</v>
      </c>
      <c r="AB199" s="88">
        <v>0.24</v>
      </c>
      <c r="AC199" s="257"/>
      <c r="AD199" s="110">
        <f t="shared" si="270"/>
        <v>1459112.8803629968</v>
      </c>
      <c r="AE199" s="110">
        <f t="shared" si="271"/>
        <v>171773.4554359355</v>
      </c>
      <c r="AF199" s="16">
        <f>SUMIF('20.01'!$I:$I,$B:$B,'20.01'!$D:$D)*1.2</f>
        <v>110972.73599999999</v>
      </c>
      <c r="AG199" s="17">
        <f t="shared" si="229"/>
        <v>9427.7188336870495</v>
      </c>
      <c r="AH199" s="17">
        <f t="shared" si="272"/>
        <v>2698.6504865333964</v>
      </c>
      <c r="AI199" s="16">
        <f>SUMIF('20.01'!$J:$J,$B:$B,'20.01'!$D:$D)*1.2</f>
        <v>0</v>
      </c>
      <c r="AJ199" s="17">
        <f t="shared" si="273"/>
        <v>1096.6708863405449</v>
      </c>
      <c r="AK199" s="17">
        <f t="shared" si="274"/>
        <v>2667.9566358657689</v>
      </c>
      <c r="AL199" s="17">
        <f t="shared" si="275"/>
        <v>44909.722593508741</v>
      </c>
      <c r="AM199" s="110">
        <f t="shared" si="276"/>
        <v>0</v>
      </c>
      <c r="AN199" s="17">
        <f>SUMIF('20.01'!$K:$K,$B:$B,'20.01'!$D:$D)*1.2</f>
        <v>0</v>
      </c>
      <c r="AO199" s="17">
        <f>SUMIF('20.01'!$L:$L,$B:$B,'20.01'!$D:$D)*1.2</f>
        <v>0</v>
      </c>
      <c r="AP199" s="17">
        <f>SUMIF('20.01'!$M:$M,$B:$B,'20.01'!$D:$D)*1.2</f>
        <v>0</v>
      </c>
      <c r="AQ199" s="110">
        <f t="shared" si="277"/>
        <v>992.77692706138191</v>
      </c>
      <c r="AR199" s="17">
        <f t="shared" si="278"/>
        <v>992.77692706138191</v>
      </c>
      <c r="AS199" s="17">
        <f>(SUMIF('20.01'!$N:$N,$B:$B,'20.01'!$D:$D)+SUMIF('20.01'!$O:$O,$B:$B,'20.01'!$D:$D))*1.2</f>
        <v>0</v>
      </c>
      <c r="AT199" s="110">
        <f>SUMIF('20.01'!$P:$P,$B:$B,'20.01'!$D:$D)*1.2</f>
        <v>0</v>
      </c>
      <c r="AU199" s="110">
        <f t="shared" si="279"/>
        <v>0</v>
      </c>
      <c r="AV199" s="17">
        <f>SUMIF('20.01'!$Q:$Q,$B:$B,'20.01'!$D:$D)*1.2</f>
        <v>0</v>
      </c>
      <c r="AW199" s="17">
        <f>SUMIF('20.01'!$R:$R,$B:$B,'20.01'!$D:$D)*1.2</f>
        <v>0</v>
      </c>
      <c r="AX199" s="110">
        <f t="shared" si="280"/>
        <v>0</v>
      </c>
      <c r="AY199" s="17">
        <f>SUMIF('20.01'!$S:$S,$B:$B,'20.01'!$D:$D)*1.2</f>
        <v>0</v>
      </c>
      <c r="AZ199" s="17">
        <f>SUMIF('20.01'!$T:$T,$B:$B,'20.01'!$D:$D)*1.2</f>
        <v>0</v>
      </c>
      <c r="BA199" s="110">
        <f t="shared" si="281"/>
        <v>0</v>
      </c>
      <c r="BB199" s="17">
        <f>SUMIF('20.01'!$U:$U,$B:$B,'20.01'!$D:$D)*1.2</f>
        <v>0</v>
      </c>
      <c r="BC199" s="17">
        <f>SUMIF('20.01'!$V:$V,$B:$B,'20.01'!$D:$D)*1.2</f>
        <v>0</v>
      </c>
      <c r="BD199" s="17">
        <f>SUMIF('20.01'!$W:$W,$B:$B,'20.01'!$D:$D)*1.2</f>
        <v>0</v>
      </c>
      <c r="BE199" s="110">
        <f>SUMIF('20.01'!$X:$X,$B:$B,'20.01'!$D:$D)*1.2</f>
        <v>0</v>
      </c>
      <c r="BF199" s="110">
        <f t="shared" si="282"/>
        <v>1282370.7960000001</v>
      </c>
      <c r="BG199" s="17">
        <f>SUMIF('20.01'!$Y:$Y,$B:$B,'20.01'!$D:$D)*1.2</f>
        <v>0</v>
      </c>
      <c r="BH199" s="17">
        <f>SUMIF('20.01'!$Z:$Z,$B:$B,'20.01'!$D:$D)*1.2</f>
        <v>1282370.7960000001</v>
      </c>
      <c r="BI199" s="17">
        <f>SUMIF('20.01'!$AA:$AA,$B:$B,'20.01'!$D:$D)*1.2</f>
        <v>0</v>
      </c>
      <c r="BJ199" s="17">
        <f>SUMIF('20.01'!$AB:$AB,$B:$B,'20.01'!$D:$D)*1.2</f>
        <v>0</v>
      </c>
      <c r="BK199" s="17">
        <f>SUMIF('20.01'!$AC:$AC,$B:$B,'20.01'!$D:$D)*1.2</f>
        <v>0</v>
      </c>
      <c r="BL199" s="17">
        <f>SUMIF('20.01'!$AD:$AD,$B:$B,'20.01'!$D:$D)*1.2</f>
        <v>0</v>
      </c>
      <c r="BM199" s="110">
        <f t="shared" si="283"/>
        <v>0</v>
      </c>
      <c r="BN199" s="17">
        <f>SUMIF('20.01'!$AE:$AE,$B:$B,'20.01'!$D:$D)*1.2</f>
        <v>0</v>
      </c>
      <c r="BO199" s="17">
        <f>SUMIF('20.01'!$AF:$AF,$B:$B,'20.01'!$D:$D)*1.2</f>
        <v>0</v>
      </c>
      <c r="BP199" s="110">
        <f>SUMIF('20.01'!$AG:$AG,$B:$B,'20.01'!$D:$D)*1.2</f>
        <v>0</v>
      </c>
      <c r="BQ199" s="110">
        <f>SUMIF('20.01'!$AH:$AH,$B:$B,'20.01'!$D:$D)*1.2</f>
        <v>0</v>
      </c>
      <c r="BR199" s="110">
        <f>SUMIF('20.01'!$AI:$AI,$B:$B,'20.01'!$D:$D)*1.2</f>
        <v>0</v>
      </c>
      <c r="BS199" s="110">
        <f t="shared" si="284"/>
        <v>3975.8519999999999</v>
      </c>
      <c r="BT199" s="17">
        <f>SUMIF('20.01'!$AJ:$AJ,$B:$B,'20.01'!$D:$D)*1.2</f>
        <v>3975.8519999999999</v>
      </c>
      <c r="BU199" s="17">
        <f>SUMIF('20.01'!$AK:$AK,$B:$B,'20.01'!$D:$D)*1.2</f>
        <v>0</v>
      </c>
      <c r="BV199" s="110">
        <f>SUMIF('20.01'!$AL:$AL,$B:$B,'20.01'!$D:$D)*1.2</f>
        <v>0</v>
      </c>
      <c r="BW199" s="110">
        <f>SUMIF('20.01'!$AM:$AM,$B:$B,'20.01'!$D:$D)*1.2</f>
        <v>0</v>
      </c>
      <c r="BX199" s="110">
        <f>SUMIF('20.01'!$AN:$AN,$B:$B,'20.01'!$D:$D)*1.2</f>
        <v>0</v>
      </c>
      <c r="BY199" s="110">
        <f t="shared" si="234"/>
        <v>379352.41973881947</v>
      </c>
      <c r="BZ199" s="17">
        <f t="shared" si="230"/>
        <v>216585.77328653241</v>
      </c>
      <c r="CA199" s="17">
        <f t="shared" si="235"/>
        <v>21919.604680330071</v>
      </c>
      <c r="CB199" s="17">
        <f t="shared" si="236"/>
        <v>1457.1030553081027</v>
      </c>
      <c r="CC199" s="17">
        <f>SUMIF('20.01'!$AO:$AO,$B:$B,'20.01'!$D:$D)*1.2</f>
        <v>0</v>
      </c>
      <c r="CD199" s="17">
        <f t="shared" si="237"/>
        <v>22875.038060235129</v>
      </c>
      <c r="CE199" s="17">
        <f>SUMIF('20.01'!$AQ:$AQ,$B:$B,'20.01'!$D:$D)*1.2</f>
        <v>0</v>
      </c>
      <c r="CF199" s="17">
        <f t="shared" si="238"/>
        <v>2081.2668556355711</v>
      </c>
      <c r="CG199" s="17">
        <f>SUMIF('20.01'!$AR:$AR,$B:$B,'20.01'!$D:$D)*1.2</f>
        <v>111994.5</v>
      </c>
      <c r="CH199" s="17">
        <f t="shared" si="239"/>
        <v>1225.7151587259409</v>
      </c>
      <c r="CI199" s="17">
        <f>SUMIF('20.01'!$AT:$AT,$B:$B,'20.01'!$D:$D)*1.2</f>
        <v>0</v>
      </c>
      <c r="CJ199" s="17">
        <f>SUMIF('20.01'!$AU:$AU,$B:$B,'20.01'!$D:$D)*1.2</f>
        <v>0</v>
      </c>
      <c r="CK199" s="17">
        <f>SUMIF('20.01'!$AV:$AV,$B:$B,'20.01'!$D:$D)*1.2</f>
        <v>0</v>
      </c>
      <c r="CL199" s="17">
        <f t="shared" si="240"/>
        <v>1213.4186420523006</v>
      </c>
      <c r="CM199" s="17">
        <f>SUMIF('20.01'!$AW:$AW,$B:$B,'20.01'!$D:$D)*1.2</f>
        <v>0</v>
      </c>
      <c r="CN199" s="17">
        <f>SUMIF('20.01'!$AX:$AX,$B:$B,'20.01'!$D:$D)*1.2</f>
        <v>0</v>
      </c>
      <c r="CO199" s="110">
        <f t="shared" si="285"/>
        <v>407055.14170484548</v>
      </c>
      <c r="CP199" s="17">
        <f t="shared" si="286"/>
        <v>321101.93878786708</v>
      </c>
      <c r="CQ199" s="17">
        <f t="shared" si="241"/>
        <v>99064.366363421446</v>
      </c>
      <c r="CR199" s="17">
        <f t="shared" si="242"/>
        <v>222037.57242444562</v>
      </c>
      <c r="CS199" s="17">
        <f t="shared" si="287"/>
        <v>85953.202916978422</v>
      </c>
      <c r="CT199" s="17">
        <f t="shared" si="243"/>
        <v>3131.3505826339633</v>
      </c>
      <c r="CU199" s="17">
        <f t="shared" si="244"/>
        <v>3028.7471759221253</v>
      </c>
      <c r="CV199" s="17">
        <f t="shared" si="245"/>
        <v>3130.276402766523</v>
      </c>
      <c r="CW199" s="17">
        <f t="shared" si="246"/>
        <v>32.824394657229504</v>
      </c>
      <c r="CX199" s="17">
        <f t="shared" si="247"/>
        <v>46220.047729677332</v>
      </c>
      <c r="CY199" s="17">
        <f t="shared" si="248"/>
        <v>30409.956631321249</v>
      </c>
      <c r="CZ199" s="110">
        <f t="shared" si="288"/>
        <v>101041.74253343794</v>
      </c>
      <c r="DA199" s="17">
        <f t="shared" si="289"/>
        <v>3816.7900764220362</v>
      </c>
      <c r="DB199" s="17">
        <f t="shared" si="249"/>
        <v>3621.9937726811986</v>
      </c>
      <c r="DC199" s="17">
        <f t="shared" si="250"/>
        <v>194.79630374083754</v>
      </c>
      <c r="DD199" s="17">
        <f t="shared" si="251"/>
        <v>6725.6219328758052</v>
      </c>
      <c r="DE199" s="17">
        <f t="shared" si="252"/>
        <v>2320.5167851467972</v>
      </c>
      <c r="DF199" s="17">
        <f t="shared" si="253"/>
        <v>2816.2704021125883</v>
      </c>
      <c r="DG199" s="17">
        <f t="shared" si="290"/>
        <v>85362.543336880713</v>
      </c>
      <c r="DH199" s="110">
        <f t="shared" si="291"/>
        <v>63057.940441640385</v>
      </c>
      <c r="DI199" s="17">
        <f t="shared" si="254"/>
        <v>56565.543591513917</v>
      </c>
      <c r="DJ199" s="17">
        <f t="shared" si="255"/>
        <v>6255.8167392332207</v>
      </c>
      <c r="DK199" s="17">
        <f t="shared" si="256"/>
        <v>236.58011089324719</v>
      </c>
      <c r="DL199" s="110">
        <f t="shared" si="292"/>
        <v>374881.75887598656</v>
      </c>
      <c r="DM199" s="17">
        <f t="shared" si="257"/>
        <v>198687.33220427288</v>
      </c>
      <c r="DN199" s="17">
        <f t="shared" si="258"/>
        <v>176194.42667171371</v>
      </c>
      <c r="DO199" s="17">
        <f t="shared" si="259"/>
        <v>0</v>
      </c>
      <c r="DP199" s="110">
        <f t="shared" si="293"/>
        <v>0</v>
      </c>
      <c r="DQ199" s="17">
        <f>SUMIF('20.01'!$BB:$BB,$B:$B,'20.01'!$D:$D)*1.2</f>
        <v>0</v>
      </c>
      <c r="DR199" s="17">
        <f t="shared" si="260"/>
        <v>0</v>
      </c>
      <c r="DS199" s="17">
        <f t="shared" si="261"/>
        <v>0</v>
      </c>
      <c r="DT199" s="110">
        <f t="shared" si="294"/>
        <v>7586.0159999999996</v>
      </c>
      <c r="DU199" s="17">
        <f>SUMIF('20.01'!$BD:$BD,$B:$B,'20.01'!$D:$D)*1.2</f>
        <v>7586.0159999999996</v>
      </c>
      <c r="DV199" s="17">
        <f t="shared" si="262"/>
        <v>0</v>
      </c>
      <c r="DW199" s="17">
        <f t="shared" si="263"/>
        <v>0</v>
      </c>
      <c r="DX199" s="110">
        <f t="shared" si="264"/>
        <v>2792087.8996577268</v>
      </c>
      <c r="DY199" s="110"/>
      <c r="DZ199" s="110">
        <f t="shared" si="295"/>
        <v>2792087.8996577268</v>
      </c>
      <c r="EA199" s="257"/>
      <c r="EB199" s="110">
        <f t="shared" si="265"/>
        <v>0</v>
      </c>
      <c r="EC199" s="110">
        <f>SUMIF(еирц!$B:$B,$B:$B,еирц!$K:$K)</f>
        <v>1164609.8599999999</v>
      </c>
      <c r="ED199" s="110">
        <f>SUMIF(еирц!$B:$B,$B:$B,еирц!$P:$P)</f>
        <v>1173790.5499999998</v>
      </c>
      <c r="EE199" s="110">
        <f>SUMIF(еирц!$B:$B,$B:$B,еирц!$S:$S)</f>
        <v>242083.69</v>
      </c>
      <c r="EF199" s="177">
        <f t="shared" si="296"/>
        <v>-1627478.0396577269</v>
      </c>
      <c r="EG199" s="181">
        <f t="shared" si="297"/>
        <v>0</v>
      </c>
      <c r="EH199" s="177">
        <f t="shared" si="298"/>
        <v>-1627478.0396577269</v>
      </c>
    </row>
    <row r="200" spans="1:138" ht="12" customHeight="1" x14ac:dyDescent="0.25">
      <c r="A200" s="5">
        <f t="shared" si="299"/>
        <v>196</v>
      </c>
      <c r="B200" s="6" t="s">
        <v>280</v>
      </c>
      <c r="C200" s="7">
        <f t="shared" si="226"/>
        <v>7052.6</v>
      </c>
      <c r="D200" s="8">
        <v>6966.3</v>
      </c>
      <c r="E200" s="8">
        <v>86.3</v>
      </c>
      <c r="F200" s="8">
        <v>638</v>
      </c>
      <c r="G200" s="87">
        <f t="shared" si="232"/>
        <v>7052.6</v>
      </c>
      <c r="H200" s="87">
        <f t="shared" si="233"/>
        <v>7052.6</v>
      </c>
      <c r="I200" s="91">
        <v>0</v>
      </c>
      <c r="J200" s="112">
        <v>0</v>
      </c>
      <c r="K200" s="17">
        <v>0</v>
      </c>
      <c r="L200" s="112">
        <f t="shared" si="266"/>
        <v>0</v>
      </c>
      <c r="M200" s="116">
        <v>3.4064181932245923</v>
      </c>
      <c r="N200" s="120">
        <f t="shared" si="267"/>
        <v>7052.6</v>
      </c>
      <c r="O200" s="116">
        <v>3.0862316756016885</v>
      </c>
      <c r="P200" s="120">
        <f t="shared" si="268"/>
        <v>7052.6</v>
      </c>
      <c r="Q200" s="116">
        <v>0</v>
      </c>
      <c r="R200" s="120">
        <f t="shared" si="269"/>
        <v>0</v>
      </c>
      <c r="S200" s="5" t="s">
        <v>143</v>
      </c>
      <c r="T200" s="87">
        <v>28.44</v>
      </c>
      <c r="U200" s="88">
        <v>4.68</v>
      </c>
      <c r="V200" s="88">
        <v>6.05</v>
      </c>
      <c r="W200" s="88">
        <v>8.24</v>
      </c>
      <c r="X200" s="88">
        <v>6.34</v>
      </c>
      <c r="Y200" s="88">
        <v>2.89</v>
      </c>
      <c r="Z200" s="88">
        <v>0</v>
      </c>
      <c r="AA200" s="88">
        <v>0</v>
      </c>
      <c r="AB200" s="88">
        <v>0.24</v>
      </c>
      <c r="AC200" s="257"/>
      <c r="AD200" s="110">
        <f t="shared" si="270"/>
        <v>716161.51794512686</v>
      </c>
      <c r="AE200" s="110">
        <f t="shared" si="271"/>
        <v>181645.89355561178</v>
      </c>
      <c r="AF200" s="16">
        <f>SUMIF('20.01'!$I:$I,$B:$B,'20.01'!$D:$D)*1.2</f>
        <v>60313.52399999999</v>
      </c>
      <c r="AG200" s="17">
        <f t="shared" si="229"/>
        <v>18813.715959407516</v>
      </c>
      <c r="AH200" s="17">
        <f t="shared" si="272"/>
        <v>5385.3582847570069</v>
      </c>
      <c r="AI200" s="16">
        <f>SUMIF('20.01'!$J:$J,$B:$B,'20.01'!$D:$D)*1.2</f>
        <v>0</v>
      </c>
      <c r="AJ200" s="17">
        <f t="shared" si="273"/>
        <v>2188.4885326489562</v>
      </c>
      <c r="AK200" s="17">
        <f t="shared" si="274"/>
        <v>5324.1064169034798</v>
      </c>
      <c r="AL200" s="17">
        <f t="shared" si="275"/>
        <v>89620.700361894837</v>
      </c>
      <c r="AM200" s="110">
        <f t="shared" si="276"/>
        <v>67270.8</v>
      </c>
      <c r="AN200" s="17">
        <f>SUMIF('20.01'!$K:$K,$B:$B,'20.01'!$D:$D)*1.2</f>
        <v>67270.8</v>
      </c>
      <c r="AO200" s="17">
        <f>SUMIF('20.01'!$L:$L,$B:$B,'20.01'!$D:$D)*1.2</f>
        <v>0</v>
      </c>
      <c r="AP200" s="17">
        <f>SUMIF('20.01'!$M:$M,$B:$B,'20.01'!$D:$D)*1.2</f>
        <v>0</v>
      </c>
      <c r="AQ200" s="110">
        <f t="shared" si="277"/>
        <v>1981.1603895150993</v>
      </c>
      <c r="AR200" s="17">
        <f t="shared" si="278"/>
        <v>1981.1603895150993</v>
      </c>
      <c r="AS200" s="17">
        <f>(SUMIF('20.01'!$N:$N,$B:$B,'20.01'!$D:$D)+SUMIF('20.01'!$O:$O,$B:$B,'20.01'!$D:$D))*1.2</f>
        <v>0</v>
      </c>
      <c r="AT200" s="110">
        <f>SUMIF('20.01'!$P:$P,$B:$B,'20.01'!$D:$D)*1.2</f>
        <v>0</v>
      </c>
      <c r="AU200" s="110">
        <f t="shared" si="279"/>
        <v>0</v>
      </c>
      <c r="AV200" s="17">
        <f>SUMIF('20.01'!$Q:$Q,$B:$B,'20.01'!$D:$D)*1.2</f>
        <v>0</v>
      </c>
      <c r="AW200" s="17">
        <f>SUMIF('20.01'!$R:$R,$B:$B,'20.01'!$D:$D)*1.2</f>
        <v>0</v>
      </c>
      <c r="AX200" s="110">
        <f t="shared" si="280"/>
        <v>0</v>
      </c>
      <c r="AY200" s="17">
        <f>SUMIF('20.01'!$S:$S,$B:$B,'20.01'!$D:$D)*1.2</f>
        <v>0</v>
      </c>
      <c r="AZ200" s="17">
        <f>SUMIF('20.01'!$T:$T,$B:$B,'20.01'!$D:$D)*1.2</f>
        <v>0</v>
      </c>
      <c r="BA200" s="110">
        <f t="shared" si="281"/>
        <v>0</v>
      </c>
      <c r="BB200" s="17">
        <f>SUMIF('20.01'!$U:$U,$B:$B,'20.01'!$D:$D)*1.2</f>
        <v>0</v>
      </c>
      <c r="BC200" s="17">
        <f>SUMIF('20.01'!$V:$V,$B:$B,'20.01'!$D:$D)*1.2</f>
        <v>0</v>
      </c>
      <c r="BD200" s="17">
        <f>SUMIF('20.01'!$W:$W,$B:$B,'20.01'!$D:$D)*1.2</f>
        <v>0</v>
      </c>
      <c r="BE200" s="110">
        <f>SUMIF('20.01'!$X:$X,$B:$B,'20.01'!$D:$D)*1.2</f>
        <v>0</v>
      </c>
      <c r="BF200" s="110">
        <f t="shared" si="282"/>
        <v>0</v>
      </c>
      <c r="BG200" s="17">
        <f>SUMIF('20.01'!$Y:$Y,$B:$B,'20.01'!$D:$D)*1.2</f>
        <v>0</v>
      </c>
      <c r="BH200" s="17">
        <f>SUMIF('20.01'!$Z:$Z,$B:$B,'20.01'!$D:$D)*1.2</f>
        <v>0</v>
      </c>
      <c r="BI200" s="17">
        <f>SUMIF('20.01'!$AA:$AA,$B:$B,'20.01'!$D:$D)*1.2</f>
        <v>0</v>
      </c>
      <c r="BJ200" s="17">
        <f>SUMIF('20.01'!$AB:$AB,$B:$B,'20.01'!$D:$D)*1.2</f>
        <v>0</v>
      </c>
      <c r="BK200" s="17">
        <f>SUMIF('20.01'!$AC:$AC,$B:$B,'20.01'!$D:$D)*1.2</f>
        <v>0</v>
      </c>
      <c r="BL200" s="17">
        <f>SUMIF('20.01'!$AD:$AD,$B:$B,'20.01'!$D:$D)*1.2</f>
        <v>0</v>
      </c>
      <c r="BM200" s="110">
        <f t="shared" si="283"/>
        <v>0</v>
      </c>
      <c r="BN200" s="17">
        <f>SUMIF('20.01'!$AE:$AE,$B:$B,'20.01'!$D:$D)*1.2</f>
        <v>0</v>
      </c>
      <c r="BO200" s="17">
        <f>SUMIF('20.01'!$AF:$AF,$B:$B,'20.01'!$D:$D)*1.2</f>
        <v>0</v>
      </c>
      <c r="BP200" s="110">
        <f>SUMIF('20.01'!$AG:$AG,$B:$B,'20.01'!$D:$D)*1.2</f>
        <v>0</v>
      </c>
      <c r="BQ200" s="110">
        <f>SUMIF('20.01'!$AH:$AH,$B:$B,'20.01'!$D:$D)*1.2</f>
        <v>0</v>
      </c>
      <c r="BR200" s="110">
        <f>SUMIF('20.01'!$AI:$AI,$B:$B,'20.01'!$D:$D)*1.2</f>
        <v>0</v>
      </c>
      <c r="BS200" s="110">
        <f t="shared" si="284"/>
        <v>0</v>
      </c>
      <c r="BT200" s="17">
        <f>SUMIF('20.01'!$AJ:$AJ,$B:$B,'20.01'!$D:$D)*1.2</f>
        <v>0</v>
      </c>
      <c r="BU200" s="17">
        <f>SUMIF('20.01'!$AK:$AK,$B:$B,'20.01'!$D:$D)*1.2</f>
        <v>0</v>
      </c>
      <c r="BV200" s="110">
        <f>SUMIF('20.01'!$AL:$AL,$B:$B,'20.01'!$D:$D)*1.2</f>
        <v>465263.66399999993</v>
      </c>
      <c r="BW200" s="110">
        <f>SUMIF('20.01'!$AM:$AM,$B:$B,'20.01'!$D:$D)*1.2</f>
        <v>0</v>
      </c>
      <c r="BX200" s="110">
        <f>SUMIF('20.01'!$AN:$AN,$B:$B,'20.01'!$D:$D)*1.2</f>
        <v>0</v>
      </c>
      <c r="BY200" s="110">
        <f t="shared" si="234"/>
        <v>731369.15376969625</v>
      </c>
      <c r="BZ200" s="17">
        <f t="shared" si="230"/>
        <v>432213.06143554789</v>
      </c>
      <c r="CA200" s="17">
        <f t="shared" si="235"/>
        <v>43742.205688685121</v>
      </c>
      <c r="CB200" s="17">
        <f t="shared" si="236"/>
        <v>2907.7578033190512</v>
      </c>
      <c r="CC200" s="17">
        <f>SUMIF('20.01'!$AO:$AO,$B:$B,'20.01'!$D:$D)*1.2</f>
        <v>0</v>
      </c>
      <c r="CD200" s="17">
        <f t="shared" si="237"/>
        <v>45648.844245134373</v>
      </c>
      <c r="CE200" s="17">
        <f>SUMIF('20.01'!$AQ:$AQ,$B:$B,'20.01'!$D:$D)*1.2</f>
        <v>0</v>
      </c>
      <c r="CF200" s="17">
        <f t="shared" si="238"/>
        <v>4153.3232108857164</v>
      </c>
      <c r="CG200" s="17">
        <f>SUMIF('20.01'!$AR:$AR,$B:$B,'20.01'!$D:$D)*1.2</f>
        <v>197836.48799999998</v>
      </c>
      <c r="CH200" s="17">
        <f t="shared" si="239"/>
        <v>2446.0060010499283</v>
      </c>
      <c r="CI200" s="17">
        <f>SUMIF('20.01'!$AT:$AT,$B:$B,'20.01'!$D:$D)*1.2</f>
        <v>0</v>
      </c>
      <c r="CJ200" s="17">
        <f>SUMIF('20.01'!$AU:$AU,$B:$B,'20.01'!$D:$D)*1.2</f>
        <v>0</v>
      </c>
      <c r="CK200" s="17">
        <f>SUMIF('20.01'!$AV:$AV,$B:$B,'20.01'!$D:$D)*1.2</f>
        <v>0</v>
      </c>
      <c r="CL200" s="17">
        <f t="shared" si="240"/>
        <v>2421.4673850740937</v>
      </c>
      <c r="CM200" s="17">
        <f>SUMIF('20.01'!$AW:$AW,$B:$B,'20.01'!$D:$D)*1.2</f>
        <v>0</v>
      </c>
      <c r="CN200" s="17">
        <f>SUMIF('20.01'!$AX:$AX,$B:$B,'20.01'!$D:$D)*1.2</f>
        <v>0</v>
      </c>
      <c r="CO200" s="110">
        <f t="shared" si="285"/>
        <v>812308.88945129025</v>
      </c>
      <c r="CP200" s="17">
        <f t="shared" si="286"/>
        <v>640782.86348378425</v>
      </c>
      <c r="CQ200" s="17">
        <f t="shared" si="241"/>
        <v>197690.33032683274</v>
      </c>
      <c r="CR200" s="17">
        <f t="shared" si="242"/>
        <v>443092.53315695148</v>
      </c>
      <c r="CS200" s="17">
        <f t="shared" si="287"/>
        <v>171526.02596750594</v>
      </c>
      <c r="CT200" s="17">
        <f t="shared" si="243"/>
        <v>6248.8435930540818</v>
      </c>
      <c r="CU200" s="17">
        <f t="shared" si="244"/>
        <v>6044.0908438050728</v>
      </c>
      <c r="CV200" s="17">
        <f t="shared" si="245"/>
        <v>6246.6999870268082</v>
      </c>
      <c r="CW200" s="17">
        <f t="shared" si="246"/>
        <v>65.503527259848795</v>
      </c>
      <c r="CX200" s="17">
        <f t="shared" si="247"/>
        <v>92235.551882313666</v>
      </c>
      <c r="CY200" s="17">
        <f t="shared" si="248"/>
        <v>60685.336134046454</v>
      </c>
      <c r="CZ200" s="110">
        <f t="shared" si="288"/>
        <v>201636.33192741743</v>
      </c>
      <c r="DA200" s="17">
        <f t="shared" si="289"/>
        <v>7616.6892162614886</v>
      </c>
      <c r="DB200" s="17">
        <f t="shared" si="249"/>
        <v>7227.9586661492594</v>
      </c>
      <c r="DC200" s="17">
        <f t="shared" si="250"/>
        <v>388.73055011222908</v>
      </c>
      <c r="DD200" s="17">
        <f t="shared" si="251"/>
        <v>13421.480097959296</v>
      </c>
      <c r="DE200" s="17">
        <f t="shared" si="252"/>
        <v>4630.7642861380773</v>
      </c>
      <c r="DF200" s="17">
        <f t="shared" si="253"/>
        <v>5620.077597234741</v>
      </c>
      <c r="DG200" s="17">
        <f t="shared" si="290"/>
        <v>170347.32072982384</v>
      </c>
      <c r="DH200" s="110">
        <f t="shared" si="291"/>
        <v>125836.82239389521</v>
      </c>
      <c r="DI200" s="17">
        <f t="shared" si="254"/>
        <v>112880.76034020097</v>
      </c>
      <c r="DJ200" s="17">
        <f t="shared" si="255"/>
        <v>12483.94880058295</v>
      </c>
      <c r="DK200" s="17">
        <f t="shared" si="256"/>
        <v>472.11325311130219</v>
      </c>
      <c r="DL200" s="110">
        <f t="shared" si="292"/>
        <v>748104.50484103069</v>
      </c>
      <c r="DM200" s="17">
        <f t="shared" si="257"/>
        <v>396495.38756574626</v>
      </c>
      <c r="DN200" s="17">
        <f t="shared" si="258"/>
        <v>351609.11727528443</v>
      </c>
      <c r="DO200" s="17">
        <f t="shared" si="259"/>
        <v>0</v>
      </c>
      <c r="DP200" s="110">
        <f t="shared" si="293"/>
        <v>0</v>
      </c>
      <c r="DQ200" s="17">
        <f>SUMIF('20.01'!$BB:$BB,$B:$B,'20.01'!$D:$D)*1.2</f>
        <v>0</v>
      </c>
      <c r="DR200" s="17">
        <f t="shared" si="260"/>
        <v>0</v>
      </c>
      <c r="DS200" s="17">
        <f t="shared" si="261"/>
        <v>0</v>
      </c>
      <c r="DT200" s="110">
        <f t="shared" si="294"/>
        <v>15172.044</v>
      </c>
      <c r="DU200" s="17">
        <f>SUMIF('20.01'!$BD:$BD,$B:$B,'20.01'!$D:$D)*1.2</f>
        <v>15172.044</v>
      </c>
      <c r="DV200" s="17">
        <f t="shared" si="262"/>
        <v>0</v>
      </c>
      <c r="DW200" s="17">
        <f t="shared" si="263"/>
        <v>0</v>
      </c>
      <c r="DX200" s="110">
        <f t="shared" si="264"/>
        <v>3350589.2643284565</v>
      </c>
      <c r="DY200" s="110"/>
      <c r="DZ200" s="110">
        <f t="shared" si="295"/>
        <v>3350589.2643284565</v>
      </c>
      <c r="EA200" s="257"/>
      <c r="EB200" s="110">
        <f t="shared" si="265"/>
        <v>0</v>
      </c>
      <c r="EC200" s="110">
        <f>SUMIF(еирц!$B:$B,$B:$B,еирц!$K:$K)</f>
        <v>2334802.8499999996</v>
      </c>
      <c r="ED200" s="110">
        <f>SUMIF(еирц!$B:$B,$B:$B,еирц!$P:$P)</f>
        <v>2201828.67</v>
      </c>
      <c r="EE200" s="110">
        <f>SUMIF(еирц!$B:$B,$B:$B,еирц!$S:$S)</f>
        <v>546388.43999999994</v>
      </c>
      <c r="EF200" s="177">
        <f t="shared" si="296"/>
        <v>-1015786.4143284569</v>
      </c>
      <c r="EG200" s="181">
        <f t="shared" si="297"/>
        <v>0</v>
      </c>
      <c r="EH200" s="177">
        <f t="shared" si="298"/>
        <v>-1015786.4143284569</v>
      </c>
    </row>
    <row r="201" spans="1:138" ht="12" customHeight="1" x14ac:dyDescent="0.25">
      <c r="A201" s="5">
        <f t="shared" si="299"/>
        <v>197</v>
      </c>
      <c r="B201" s="6" t="s">
        <v>281</v>
      </c>
      <c r="C201" s="7">
        <f t="shared" si="226"/>
        <v>3498.85</v>
      </c>
      <c r="D201" s="8">
        <v>3498.85</v>
      </c>
      <c r="E201" s="8">
        <v>0</v>
      </c>
      <c r="F201" s="8">
        <v>300.8</v>
      </c>
      <c r="G201" s="87">
        <f t="shared" si="232"/>
        <v>3498.85</v>
      </c>
      <c r="H201" s="87">
        <f t="shared" si="233"/>
        <v>3498.85</v>
      </c>
      <c r="I201" s="91">
        <v>0</v>
      </c>
      <c r="J201" s="112">
        <v>0</v>
      </c>
      <c r="K201" s="17">
        <v>4</v>
      </c>
      <c r="L201" s="112">
        <f t="shared" si="266"/>
        <v>9.638554216867469E-3</v>
      </c>
      <c r="M201" s="116">
        <v>3.4064172595611431</v>
      </c>
      <c r="N201" s="120">
        <f t="shared" si="267"/>
        <v>3498.85</v>
      </c>
      <c r="O201" s="116">
        <v>3.0862332665607517</v>
      </c>
      <c r="P201" s="120">
        <f t="shared" si="268"/>
        <v>3498.85</v>
      </c>
      <c r="Q201" s="116">
        <v>0</v>
      </c>
      <c r="R201" s="120">
        <f t="shared" si="269"/>
        <v>0</v>
      </c>
      <c r="S201" s="5" t="s">
        <v>143</v>
      </c>
      <c r="T201" s="87">
        <v>28.44</v>
      </c>
      <c r="U201" s="88">
        <v>4.68</v>
      </c>
      <c r="V201" s="88">
        <v>6.05</v>
      </c>
      <c r="W201" s="88">
        <v>8.24</v>
      </c>
      <c r="X201" s="88">
        <v>6.34</v>
      </c>
      <c r="Y201" s="88">
        <v>2.89</v>
      </c>
      <c r="Z201" s="88">
        <v>0</v>
      </c>
      <c r="AA201" s="88">
        <v>0</v>
      </c>
      <c r="AB201" s="88">
        <v>0.24</v>
      </c>
      <c r="AC201" s="257"/>
      <c r="AD201" s="110">
        <f t="shared" si="270"/>
        <v>346728.43431944342</v>
      </c>
      <c r="AE201" s="110">
        <f t="shared" si="271"/>
        <v>121546.66116071408</v>
      </c>
      <c r="AF201" s="16">
        <f>SUMIF('20.01'!$I:$I,$B:$B,'20.01'!$D:$D)*1.2</f>
        <v>61352.723999999995</v>
      </c>
      <c r="AG201" s="17">
        <f t="shared" si="229"/>
        <v>9333.6315804913065</v>
      </c>
      <c r="AH201" s="17">
        <f t="shared" si="272"/>
        <v>2671.7183499166335</v>
      </c>
      <c r="AI201" s="16">
        <f>SUMIF('20.01'!$J:$J,$B:$B,'20.01'!$D:$D)*1.2</f>
        <v>0</v>
      </c>
      <c r="AJ201" s="17">
        <f t="shared" si="273"/>
        <v>1085.7262715110455</v>
      </c>
      <c r="AK201" s="17">
        <f t="shared" si="274"/>
        <v>2641.3308193833109</v>
      </c>
      <c r="AL201" s="17">
        <f t="shared" si="275"/>
        <v>44461.530139411807</v>
      </c>
      <c r="AM201" s="110">
        <f t="shared" si="276"/>
        <v>0</v>
      </c>
      <c r="AN201" s="17">
        <f>SUMIF('20.01'!$K:$K,$B:$B,'20.01'!$D:$D)*1.2</f>
        <v>0</v>
      </c>
      <c r="AO201" s="17">
        <f>SUMIF('20.01'!$L:$L,$B:$B,'20.01'!$D:$D)*1.2</f>
        <v>0</v>
      </c>
      <c r="AP201" s="17">
        <f>SUMIF('20.01'!$M:$M,$B:$B,'20.01'!$D:$D)*1.2</f>
        <v>0</v>
      </c>
      <c r="AQ201" s="110">
        <f t="shared" si="277"/>
        <v>982.86915872939119</v>
      </c>
      <c r="AR201" s="17">
        <f t="shared" si="278"/>
        <v>982.86915872939119</v>
      </c>
      <c r="AS201" s="17">
        <f>(SUMIF('20.01'!$N:$N,$B:$B,'20.01'!$D:$D)+SUMIF('20.01'!$O:$O,$B:$B,'20.01'!$D:$D))*1.2</f>
        <v>0</v>
      </c>
      <c r="AT201" s="110">
        <f>SUMIF('20.01'!$P:$P,$B:$B,'20.01'!$D:$D)*1.2</f>
        <v>0</v>
      </c>
      <c r="AU201" s="110">
        <f t="shared" si="279"/>
        <v>0</v>
      </c>
      <c r="AV201" s="17">
        <f>SUMIF('20.01'!$Q:$Q,$B:$B,'20.01'!$D:$D)*1.2</f>
        <v>0</v>
      </c>
      <c r="AW201" s="17">
        <f>SUMIF('20.01'!$R:$R,$B:$B,'20.01'!$D:$D)*1.2</f>
        <v>0</v>
      </c>
      <c r="AX201" s="110">
        <f t="shared" si="280"/>
        <v>75338.891999999993</v>
      </c>
      <c r="AY201" s="17">
        <f>SUMIF('20.01'!$S:$S,$B:$B,'20.01'!$D:$D)*1.2</f>
        <v>38022</v>
      </c>
      <c r="AZ201" s="17">
        <f>SUMIF('20.01'!$T:$T,$B:$B,'20.01'!$D:$D)*1.2</f>
        <v>37316.892</v>
      </c>
      <c r="BA201" s="110">
        <f t="shared" si="281"/>
        <v>0</v>
      </c>
      <c r="BB201" s="17">
        <f>SUMIF('20.01'!$U:$U,$B:$B,'20.01'!$D:$D)*1.2</f>
        <v>0</v>
      </c>
      <c r="BC201" s="17">
        <f>SUMIF('20.01'!$V:$V,$B:$B,'20.01'!$D:$D)*1.2</f>
        <v>0</v>
      </c>
      <c r="BD201" s="17">
        <f>SUMIF('20.01'!$W:$W,$B:$B,'20.01'!$D:$D)*1.2</f>
        <v>0</v>
      </c>
      <c r="BE201" s="110">
        <f>SUMIF('20.01'!$X:$X,$B:$B,'20.01'!$D:$D)*1.2</f>
        <v>148860.01199999999</v>
      </c>
      <c r="BF201" s="110">
        <f t="shared" si="282"/>
        <v>0</v>
      </c>
      <c r="BG201" s="17">
        <f>SUMIF('20.01'!$Y:$Y,$B:$B,'20.01'!$D:$D)*1.2</f>
        <v>0</v>
      </c>
      <c r="BH201" s="17">
        <f>SUMIF('20.01'!$Z:$Z,$B:$B,'20.01'!$D:$D)*1.2</f>
        <v>0</v>
      </c>
      <c r="BI201" s="17">
        <f>SUMIF('20.01'!$AA:$AA,$B:$B,'20.01'!$D:$D)*1.2</f>
        <v>0</v>
      </c>
      <c r="BJ201" s="17">
        <f>SUMIF('20.01'!$AB:$AB,$B:$B,'20.01'!$D:$D)*1.2</f>
        <v>0</v>
      </c>
      <c r="BK201" s="17">
        <f>SUMIF('20.01'!$AC:$AC,$B:$B,'20.01'!$D:$D)*1.2</f>
        <v>0</v>
      </c>
      <c r="BL201" s="17">
        <f>SUMIF('20.01'!$AD:$AD,$B:$B,'20.01'!$D:$D)*1.2</f>
        <v>0</v>
      </c>
      <c r="BM201" s="110">
        <f t="shared" si="283"/>
        <v>0</v>
      </c>
      <c r="BN201" s="17">
        <f>SUMIF('20.01'!$AE:$AE,$B:$B,'20.01'!$D:$D)*1.2</f>
        <v>0</v>
      </c>
      <c r="BO201" s="17">
        <f>SUMIF('20.01'!$AF:$AF,$B:$B,'20.01'!$D:$D)*1.2</f>
        <v>0</v>
      </c>
      <c r="BP201" s="110">
        <f>SUMIF('20.01'!$AG:$AG,$B:$B,'20.01'!$D:$D)*1.2</f>
        <v>0</v>
      </c>
      <c r="BQ201" s="110">
        <f>SUMIF('20.01'!$AH:$AH,$B:$B,'20.01'!$D:$D)*1.2</f>
        <v>0</v>
      </c>
      <c r="BR201" s="110">
        <f>SUMIF('20.01'!$AI:$AI,$B:$B,'20.01'!$D:$D)*1.2</f>
        <v>0</v>
      </c>
      <c r="BS201" s="110">
        <f t="shared" si="284"/>
        <v>0</v>
      </c>
      <c r="BT201" s="17">
        <f>SUMIF('20.01'!$AJ:$AJ,$B:$B,'20.01'!$D:$D)*1.2</f>
        <v>0</v>
      </c>
      <c r="BU201" s="17">
        <f>SUMIF('20.01'!$AK:$AK,$B:$B,'20.01'!$D:$D)*1.2</f>
        <v>0</v>
      </c>
      <c r="BV201" s="110">
        <f>SUMIF('20.01'!$AL:$AL,$B:$B,'20.01'!$D:$D)*1.2</f>
        <v>0</v>
      </c>
      <c r="BW201" s="110">
        <f>SUMIF('20.01'!$AM:$AM,$B:$B,'20.01'!$D:$D)*1.2</f>
        <v>0</v>
      </c>
      <c r="BX201" s="110">
        <f>SUMIF('20.01'!$AN:$AN,$B:$B,'20.01'!$D:$D)*1.2</f>
        <v>0</v>
      </c>
      <c r="BY201" s="110">
        <f t="shared" si="234"/>
        <v>352101.48285652121</v>
      </c>
      <c r="BZ201" s="17">
        <f t="shared" si="230"/>
        <v>214424.27898984301</v>
      </c>
      <c r="CA201" s="17">
        <f t="shared" si="235"/>
        <v>21700.850235920927</v>
      </c>
      <c r="CB201" s="17">
        <f t="shared" si="236"/>
        <v>1442.5613802204664</v>
      </c>
      <c r="CC201" s="17">
        <f>SUMIF('20.01'!$AO:$AO,$B:$B,'20.01'!$D:$D)*1.2</f>
        <v>0</v>
      </c>
      <c r="CD201" s="17">
        <f t="shared" si="237"/>
        <v>22646.748530625355</v>
      </c>
      <c r="CE201" s="17">
        <f>SUMIF('20.01'!$AQ:$AQ,$B:$B,'20.01'!$D:$D)*1.2</f>
        <v>0</v>
      </c>
      <c r="CF201" s="17">
        <f t="shared" si="238"/>
        <v>2060.4961172344224</v>
      </c>
      <c r="CG201" s="17">
        <f>SUMIF('20.01'!$AR:$AR,$B:$B,'20.01'!$D:$D)*1.2</f>
        <v>87411.756000000008</v>
      </c>
      <c r="CH201" s="17">
        <f t="shared" si="239"/>
        <v>1213.4827009575959</v>
      </c>
      <c r="CI201" s="17">
        <f>SUMIF('20.01'!$AT:$AT,$B:$B,'20.01'!$D:$D)*1.2</f>
        <v>0</v>
      </c>
      <c r="CJ201" s="17">
        <f>SUMIF('20.01'!$AU:$AU,$B:$B,'20.01'!$D:$D)*1.2</f>
        <v>0</v>
      </c>
      <c r="CK201" s="17">
        <f>SUMIF('20.01'!$AV:$AV,$B:$B,'20.01'!$D:$D)*1.2</f>
        <v>0</v>
      </c>
      <c r="CL201" s="17">
        <f t="shared" si="240"/>
        <v>1201.3089017194357</v>
      </c>
      <c r="CM201" s="17">
        <f>SUMIF('20.01'!$AW:$AW,$B:$B,'20.01'!$D:$D)*1.2</f>
        <v>0</v>
      </c>
      <c r="CN201" s="17">
        <f>SUMIF('20.01'!$AX:$AX,$B:$B,'20.01'!$D:$D)*1.2</f>
        <v>0</v>
      </c>
      <c r="CO201" s="110">
        <f t="shared" si="285"/>
        <v>402992.79100709618</v>
      </c>
      <c r="CP201" s="17">
        <f t="shared" si="286"/>
        <v>317897.38846669858</v>
      </c>
      <c r="CQ201" s="17">
        <f t="shared" si="241"/>
        <v>98075.718495879351</v>
      </c>
      <c r="CR201" s="17">
        <f t="shared" si="242"/>
        <v>219821.6699708192</v>
      </c>
      <c r="CS201" s="17">
        <f t="shared" si="287"/>
        <v>85095.402540397597</v>
      </c>
      <c r="CT201" s="17">
        <f t="shared" si="243"/>
        <v>3100.1001624304899</v>
      </c>
      <c r="CU201" s="17">
        <f t="shared" si="244"/>
        <v>2998.5207226905504</v>
      </c>
      <c r="CV201" s="17">
        <f t="shared" si="245"/>
        <v>3099.0367027208044</v>
      </c>
      <c r="CW201" s="17">
        <f t="shared" si="246"/>
        <v>32.496812005944186</v>
      </c>
      <c r="CX201" s="17">
        <f t="shared" si="247"/>
        <v>45758.77842262898</v>
      </c>
      <c r="CY201" s="17">
        <f t="shared" si="248"/>
        <v>30106.469717920827</v>
      </c>
      <c r="CZ201" s="110">
        <f t="shared" si="288"/>
        <v>100033.36074132155</v>
      </c>
      <c r="DA201" s="17">
        <f t="shared" si="289"/>
        <v>3778.6990704586265</v>
      </c>
      <c r="DB201" s="17">
        <f t="shared" si="249"/>
        <v>3585.8468052996536</v>
      </c>
      <c r="DC201" s="17">
        <f t="shared" si="250"/>
        <v>192.85226515897295</v>
      </c>
      <c r="DD201" s="17">
        <f t="shared" si="251"/>
        <v>6658.5012110065618</v>
      </c>
      <c r="DE201" s="17">
        <f t="shared" si="252"/>
        <v>2297.3583674891829</v>
      </c>
      <c r="DF201" s="17">
        <f t="shared" si="253"/>
        <v>2788.164435964718</v>
      </c>
      <c r="DG201" s="17">
        <f t="shared" si="290"/>
        <v>84510.637656402469</v>
      </c>
      <c r="DH201" s="110">
        <f t="shared" si="291"/>
        <v>62428.631431370035</v>
      </c>
      <c r="DI201" s="17">
        <f t="shared" si="254"/>
        <v>56001.027750944639</v>
      </c>
      <c r="DJ201" s="17">
        <f t="shared" si="255"/>
        <v>6193.3846043898202</v>
      </c>
      <c r="DK201" s="17">
        <f t="shared" si="256"/>
        <v>234.21907603557261</v>
      </c>
      <c r="DL201" s="110">
        <f t="shared" si="292"/>
        <v>371140.49382682133</v>
      </c>
      <c r="DM201" s="17">
        <f t="shared" si="257"/>
        <v>196704.46172821528</v>
      </c>
      <c r="DN201" s="17">
        <f t="shared" si="258"/>
        <v>174436.03209860603</v>
      </c>
      <c r="DO201" s="17">
        <f t="shared" si="259"/>
        <v>0</v>
      </c>
      <c r="DP201" s="110">
        <f t="shared" si="293"/>
        <v>0</v>
      </c>
      <c r="DQ201" s="17">
        <f>SUMIF('20.01'!$BB:$BB,$B:$B,'20.01'!$D:$D)*1.2</f>
        <v>0</v>
      </c>
      <c r="DR201" s="17">
        <f t="shared" si="260"/>
        <v>0</v>
      </c>
      <c r="DS201" s="17">
        <f t="shared" si="261"/>
        <v>0</v>
      </c>
      <c r="DT201" s="110">
        <f t="shared" si="294"/>
        <v>7586.0159999999996</v>
      </c>
      <c r="DU201" s="17">
        <f>SUMIF('20.01'!$BD:$BD,$B:$B,'20.01'!$D:$D)*1.2</f>
        <v>7586.0159999999996</v>
      </c>
      <c r="DV201" s="17">
        <f t="shared" si="262"/>
        <v>0</v>
      </c>
      <c r="DW201" s="17">
        <f t="shared" si="263"/>
        <v>0</v>
      </c>
      <c r="DX201" s="110">
        <f t="shared" si="264"/>
        <v>1643011.2101825739</v>
      </c>
      <c r="DY201" s="110"/>
      <c r="DZ201" s="110">
        <f t="shared" si="295"/>
        <v>1643011.2101825739</v>
      </c>
      <c r="EA201" s="257"/>
      <c r="EB201" s="110">
        <f t="shared" si="265"/>
        <v>3546.2168674698792</v>
      </c>
      <c r="EC201" s="110">
        <f>SUMIF(еирц!$B:$B,$B:$B,еирц!$K:$K)</f>
        <v>1158784.07</v>
      </c>
      <c r="ED201" s="110">
        <f>SUMIF(еирц!$B:$B,$B:$B,еирц!$P:$P)</f>
        <v>1112771.42</v>
      </c>
      <c r="EE201" s="110">
        <f>SUMIF(еирц!$B:$B,$B:$B,еирц!$S:$S)</f>
        <v>441550.08000000002</v>
      </c>
      <c r="EF201" s="177">
        <f t="shared" si="296"/>
        <v>-480680.92331510386</v>
      </c>
      <c r="EG201" s="181">
        <f t="shared" si="297"/>
        <v>0</v>
      </c>
      <c r="EH201" s="177">
        <f t="shared" si="298"/>
        <v>-480680.92331510386</v>
      </c>
    </row>
    <row r="202" spans="1:138" ht="12" customHeight="1" x14ac:dyDescent="0.25">
      <c r="A202" s="5">
        <f t="shared" si="299"/>
        <v>198</v>
      </c>
      <c r="B202" s="6" t="s">
        <v>282</v>
      </c>
      <c r="C202" s="7">
        <f t="shared" si="226"/>
        <v>3501.4</v>
      </c>
      <c r="D202" s="8">
        <v>3501.4</v>
      </c>
      <c r="E202" s="8">
        <v>0</v>
      </c>
      <c r="F202" s="8">
        <v>300</v>
      </c>
      <c r="G202" s="87">
        <f t="shared" si="232"/>
        <v>3501.4</v>
      </c>
      <c r="H202" s="87">
        <f t="shared" si="233"/>
        <v>3501.4</v>
      </c>
      <c r="I202" s="91">
        <v>0</v>
      </c>
      <c r="J202" s="112">
        <v>0</v>
      </c>
      <c r="K202" s="17">
        <v>4</v>
      </c>
      <c r="L202" s="112">
        <f t="shared" si="266"/>
        <v>9.638554216867469E-3</v>
      </c>
      <c r="M202" s="116">
        <v>3.4064165914414675</v>
      </c>
      <c r="N202" s="120">
        <f t="shared" si="267"/>
        <v>3501.4</v>
      </c>
      <c r="O202" s="116">
        <v>3.0862296749128726</v>
      </c>
      <c r="P202" s="120">
        <f t="shared" si="268"/>
        <v>3501.4</v>
      </c>
      <c r="Q202" s="116">
        <v>0</v>
      </c>
      <c r="R202" s="120">
        <f t="shared" si="269"/>
        <v>0</v>
      </c>
      <c r="S202" s="5" t="s">
        <v>143</v>
      </c>
      <c r="T202" s="87">
        <v>28.44</v>
      </c>
      <c r="U202" s="88">
        <v>4.68</v>
      </c>
      <c r="V202" s="88">
        <v>6.05</v>
      </c>
      <c r="W202" s="88">
        <v>8.24</v>
      </c>
      <c r="X202" s="88">
        <v>6.34</v>
      </c>
      <c r="Y202" s="88">
        <v>2.89</v>
      </c>
      <c r="Z202" s="88">
        <v>0</v>
      </c>
      <c r="AA202" s="88">
        <v>0</v>
      </c>
      <c r="AB202" s="88">
        <v>0.24</v>
      </c>
      <c r="AC202" s="257"/>
      <c r="AD202" s="110">
        <f t="shared" si="270"/>
        <v>194546.81664241091</v>
      </c>
      <c r="AE202" s="110">
        <f t="shared" si="271"/>
        <v>140643.11115793028</v>
      </c>
      <c r="AF202" s="16">
        <f>SUMIF('20.01'!$I:$I,$B:$B,'20.01'!$D:$D)*1.2</f>
        <v>80405.303999999989</v>
      </c>
      <c r="AG202" s="17">
        <f t="shared" si="229"/>
        <v>9340.4340328771632</v>
      </c>
      <c r="AH202" s="17">
        <f t="shared" si="272"/>
        <v>2673.665527358447</v>
      </c>
      <c r="AI202" s="16">
        <f>SUMIF('20.01'!$J:$J,$B:$B,'20.01'!$D:$D)*1.2</f>
        <v>0</v>
      </c>
      <c r="AJ202" s="17">
        <f t="shared" si="273"/>
        <v>1086.5175606467196</v>
      </c>
      <c r="AK202" s="17">
        <f t="shared" si="274"/>
        <v>2643.2558500617988</v>
      </c>
      <c r="AL202" s="17">
        <f t="shared" si="275"/>
        <v>44493.93418698616</v>
      </c>
      <c r="AM202" s="110">
        <f t="shared" si="276"/>
        <v>0</v>
      </c>
      <c r="AN202" s="17">
        <f>SUMIF('20.01'!$K:$K,$B:$B,'20.01'!$D:$D)*1.2</f>
        <v>0</v>
      </c>
      <c r="AO202" s="17">
        <f>SUMIF('20.01'!$L:$L,$B:$B,'20.01'!$D:$D)*1.2</f>
        <v>0</v>
      </c>
      <c r="AP202" s="17">
        <f>SUMIF('20.01'!$M:$M,$B:$B,'20.01'!$D:$D)*1.2</f>
        <v>0</v>
      </c>
      <c r="AQ202" s="110">
        <f t="shared" si="277"/>
        <v>983.58548448064096</v>
      </c>
      <c r="AR202" s="17">
        <f t="shared" si="278"/>
        <v>983.58548448064096</v>
      </c>
      <c r="AS202" s="17">
        <f>(SUMIF('20.01'!$N:$N,$B:$B,'20.01'!$D:$D)+SUMIF('20.01'!$O:$O,$B:$B,'20.01'!$D:$D))*1.2</f>
        <v>0</v>
      </c>
      <c r="AT202" s="110">
        <f>SUMIF('20.01'!$P:$P,$B:$B,'20.01'!$D:$D)*1.2</f>
        <v>0</v>
      </c>
      <c r="AU202" s="110">
        <f t="shared" si="279"/>
        <v>0</v>
      </c>
      <c r="AV202" s="17">
        <f>SUMIF('20.01'!$Q:$Q,$B:$B,'20.01'!$D:$D)*1.2</f>
        <v>0</v>
      </c>
      <c r="AW202" s="17">
        <f>SUMIF('20.01'!$R:$R,$B:$B,'20.01'!$D:$D)*1.2</f>
        <v>0</v>
      </c>
      <c r="AX202" s="110">
        <f t="shared" si="280"/>
        <v>37575.011999999995</v>
      </c>
      <c r="AY202" s="17">
        <f>SUMIF('20.01'!$S:$S,$B:$B,'20.01'!$D:$D)*1.2</f>
        <v>0</v>
      </c>
      <c r="AZ202" s="17">
        <f>SUMIF('20.01'!$T:$T,$B:$B,'20.01'!$D:$D)*1.2</f>
        <v>37575.011999999995</v>
      </c>
      <c r="BA202" s="110">
        <f t="shared" si="281"/>
        <v>0</v>
      </c>
      <c r="BB202" s="17">
        <f>SUMIF('20.01'!$U:$U,$B:$B,'20.01'!$D:$D)*1.2</f>
        <v>0</v>
      </c>
      <c r="BC202" s="17">
        <f>SUMIF('20.01'!$V:$V,$B:$B,'20.01'!$D:$D)*1.2</f>
        <v>0</v>
      </c>
      <c r="BD202" s="17">
        <f>SUMIF('20.01'!$W:$W,$B:$B,'20.01'!$D:$D)*1.2</f>
        <v>0</v>
      </c>
      <c r="BE202" s="110">
        <f>SUMIF('20.01'!$X:$X,$B:$B,'20.01'!$D:$D)*1.2</f>
        <v>0</v>
      </c>
      <c r="BF202" s="110">
        <f t="shared" si="282"/>
        <v>0</v>
      </c>
      <c r="BG202" s="17">
        <f>SUMIF('20.01'!$Y:$Y,$B:$B,'20.01'!$D:$D)*1.2</f>
        <v>0</v>
      </c>
      <c r="BH202" s="17">
        <f>SUMIF('20.01'!$Z:$Z,$B:$B,'20.01'!$D:$D)*1.2</f>
        <v>0</v>
      </c>
      <c r="BI202" s="17">
        <f>SUMIF('20.01'!$AA:$AA,$B:$B,'20.01'!$D:$D)*1.2</f>
        <v>0</v>
      </c>
      <c r="BJ202" s="17">
        <f>SUMIF('20.01'!$AB:$AB,$B:$B,'20.01'!$D:$D)*1.2</f>
        <v>0</v>
      </c>
      <c r="BK202" s="17">
        <f>SUMIF('20.01'!$AC:$AC,$B:$B,'20.01'!$D:$D)*1.2</f>
        <v>0</v>
      </c>
      <c r="BL202" s="17">
        <f>SUMIF('20.01'!$AD:$AD,$B:$B,'20.01'!$D:$D)*1.2</f>
        <v>0</v>
      </c>
      <c r="BM202" s="110">
        <f t="shared" si="283"/>
        <v>0</v>
      </c>
      <c r="BN202" s="17">
        <f>SUMIF('20.01'!$AE:$AE,$B:$B,'20.01'!$D:$D)*1.2</f>
        <v>0</v>
      </c>
      <c r="BO202" s="17">
        <f>SUMIF('20.01'!$AF:$AF,$B:$B,'20.01'!$D:$D)*1.2</f>
        <v>0</v>
      </c>
      <c r="BP202" s="110">
        <f>SUMIF('20.01'!$AG:$AG,$B:$B,'20.01'!$D:$D)*1.2</f>
        <v>15345.108</v>
      </c>
      <c r="BQ202" s="110">
        <f>SUMIF('20.01'!$AH:$AH,$B:$B,'20.01'!$D:$D)*1.2</f>
        <v>0</v>
      </c>
      <c r="BR202" s="110">
        <f>SUMIF('20.01'!$AI:$AI,$B:$B,'20.01'!$D:$D)*1.2</f>
        <v>0</v>
      </c>
      <c r="BS202" s="110">
        <f t="shared" si="284"/>
        <v>0</v>
      </c>
      <c r="BT202" s="17">
        <f>SUMIF('20.01'!$AJ:$AJ,$B:$B,'20.01'!$D:$D)*1.2</f>
        <v>0</v>
      </c>
      <c r="BU202" s="17">
        <f>SUMIF('20.01'!$AK:$AK,$B:$B,'20.01'!$D:$D)*1.2</f>
        <v>0</v>
      </c>
      <c r="BV202" s="110">
        <f>SUMIF('20.01'!$AL:$AL,$B:$B,'20.01'!$D:$D)*1.2</f>
        <v>0</v>
      </c>
      <c r="BW202" s="110">
        <f>SUMIF('20.01'!$AM:$AM,$B:$B,'20.01'!$D:$D)*1.2</f>
        <v>0</v>
      </c>
      <c r="BX202" s="110">
        <f>SUMIF('20.01'!$AN:$AN,$B:$B,'20.01'!$D:$D)*1.2</f>
        <v>0</v>
      </c>
      <c r="BY202" s="110">
        <f t="shared" si="234"/>
        <v>364102.46361325105</v>
      </c>
      <c r="BZ202" s="17">
        <f t="shared" si="230"/>
        <v>214580.55374052512</v>
      </c>
      <c r="CA202" s="17">
        <f t="shared" si="235"/>
        <v>21716.666052003813</v>
      </c>
      <c r="CB202" s="17">
        <f t="shared" si="236"/>
        <v>1443.6127346710896</v>
      </c>
      <c r="CC202" s="17">
        <f>SUMIF('20.01'!$AO:$AO,$B:$B,'20.01'!$D:$D)*1.2</f>
        <v>0</v>
      </c>
      <c r="CD202" s="17">
        <f t="shared" si="237"/>
        <v>22663.25372769099</v>
      </c>
      <c r="CE202" s="17">
        <f>SUMIF('20.01'!$AQ:$AQ,$B:$B,'20.01'!$D:$D)*1.2</f>
        <v>0</v>
      </c>
      <c r="CF202" s="17">
        <f t="shared" si="238"/>
        <v>2061.9978292537858</v>
      </c>
      <c r="CG202" s="17">
        <f>SUMIF('20.01'!$AR:$AR,$B:$B,'20.01'!$D:$D)*1.2</f>
        <v>99219.827999999994</v>
      </c>
      <c r="CH202" s="17">
        <f t="shared" si="239"/>
        <v>1214.367100370958</v>
      </c>
      <c r="CI202" s="17">
        <f>SUMIF('20.01'!$AT:$AT,$B:$B,'20.01'!$D:$D)*1.2</f>
        <v>0</v>
      </c>
      <c r="CJ202" s="17">
        <f>SUMIF('20.01'!$AU:$AU,$B:$B,'20.01'!$D:$D)*1.2</f>
        <v>0</v>
      </c>
      <c r="CK202" s="17">
        <f>SUMIF('20.01'!$AV:$AV,$B:$B,'20.01'!$D:$D)*1.2</f>
        <v>0</v>
      </c>
      <c r="CL202" s="17">
        <f t="shared" si="240"/>
        <v>1202.1844287352794</v>
      </c>
      <c r="CM202" s="17">
        <f>SUMIF('20.01'!$AW:$AW,$B:$B,'20.01'!$D:$D)*1.2</f>
        <v>0</v>
      </c>
      <c r="CN202" s="17">
        <f>SUMIF('20.01'!$AX:$AX,$B:$B,'20.01'!$D:$D)*1.2</f>
        <v>0</v>
      </c>
      <c r="CO202" s="110">
        <f t="shared" si="285"/>
        <v>403286.49654379202</v>
      </c>
      <c r="CP202" s="17">
        <f t="shared" si="286"/>
        <v>318129.07554690784</v>
      </c>
      <c r="CQ202" s="17">
        <f t="shared" si="241"/>
        <v>98147.197148054925</v>
      </c>
      <c r="CR202" s="17">
        <f t="shared" si="242"/>
        <v>219981.87839885289</v>
      </c>
      <c r="CS202" s="17">
        <f t="shared" si="287"/>
        <v>85157.420996884175</v>
      </c>
      <c r="CT202" s="17">
        <f t="shared" si="243"/>
        <v>3102.3595492044865</v>
      </c>
      <c r="CU202" s="17">
        <f t="shared" si="244"/>
        <v>3000.7060772621562</v>
      </c>
      <c r="CV202" s="17">
        <f t="shared" si="245"/>
        <v>3101.2953144337785</v>
      </c>
      <c r="CW202" s="17">
        <f t="shared" si="246"/>
        <v>32.520496036587154</v>
      </c>
      <c r="CX202" s="17">
        <f t="shared" si="247"/>
        <v>45792.127918885672</v>
      </c>
      <c r="CY202" s="17">
        <f t="shared" si="248"/>
        <v>30128.411641061488</v>
      </c>
      <c r="CZ202" s="110">
        <f t="shared" si="288"/>
        <v>100106.26614449413</v>
      </c>
      <c r="DA202" s="17">
        <f t="shared" si="289"/>
        <v>3781.4530275101351</v>
      </c>
      <c r="DB202" s="17">
        <f t="shared" si="249"/>
        <v>3588.4602095191872</v>
      </c>
      <c r="DC202" s="17">
        <f t="shared" si="250"/>
        <v>192.99281799094786</v>
      </c>
      <c r="DD202" s="17">
        <f t="shared" si="251"/>
        <v>6663.35399923357</v>
      </c>
      <c r="DE202" s="17">
        <f t="shared" si="252"/>
        <v>2299.0327072971477</v>
      </c>
      <c r="DF202" s="17">
        <f t="shared" si="253"/>
        <v>2790.1964805827242</v>
      </c>
      <c r="DG202" s="17">
        <f t="shared" si="290"/>
        <v>84572.229929870562</v>
      </c>
      <c r="DH202" s="110">
        <f t="shared" si="291"/>
        <v>62474.130098117676</v>
      </c>
      <c r="DI202" s="17">
        <f t="shared" si="254"/>
        <v>56041.84191010119</v>
      </c>
      <c r="DJ202" s="17">
        <f t="shared" si="255"/>
        <v>6197.8984105664777</v>
      </c>
      <c r="DK202" s="17">
        <f t="shared" si="256"/>
        <v>234.38977745000616</v>
      </c>
      <c r="DL202" s="110">
        <f t="shared" si="292"/>
        <v>371410.9850623011</v>
      </c>
      <c r="DM202" s="17">
        <f t="shared" si="257"/>
        <v>196847.82208301956</v>
      </c>
      <c r="DN202" s="17">
        <f t="shared" si="258"/>
        <v>174563.16297928154</v>
      </c>
      <c r="DO202" s="17">
        <f t="shared" si="259"/>
        <v>0</v>
      </c>
      <c r="DP202" s="110">
        <f t="shared" si="293"/>
        <v>0</v>
      </c>
      <c r="DQ202" s="17">
        <f>SUMIF('20.01'!$BB:$BB,$B:$B,'20.01'!$D:$D)*1.2</f>
        <v>0</v>
      </c>
      <c r="DR202" s="17">
        <f t="shared" si="260"/>
        <v>0</v>
      </c>
      <c r="DS202" s="17">
        <f t="shared" si="261"/>
        <v>0</v>
      </c>
      <c r="DT202" s="110">
        <f t="shared" si="294"/>
        <v>7586.0159999999996</v>
      </c>
      <c r="DU202" s="17">
        <f>SUMIF('20.01'!$BD:$BD,$B:$B,'20.01'!$D:$D)*1.2</f>
        <v>7586.0159999999996</v>
      </c>
      <c r="DV202" s="17">
        <f t="shared" si="262"/>
        <v>0</v>
      </c>
      <c r="DW202" s="17">
        <f t="shared" si="263"/>
        <v>0</v>
      </c>
      <c r="DX202" s="110">
        <f t="shared" si="264"/>
        <v>1503513.1741043669</v>
      </c>
      <c r="DY202" s="110"/>
      <c r="DZ202" s="110">
        <f t="shared" si="295"/>
        <v>1503513.1741043669</v>
      </c>
      <c r="EA202" s="257"/>
      <c r="EB202" s="110">
        <f t="shared" si="265"/>
        <v>3546.2168674698792</v>
      </c>
      <c r="EC202" s="110">
        <f>SUMIF(еирц!$B:$B,$B:$B,еирц!$K:$K)</f>
        <v>1172059.8600000001</v>
      </c>
      <c r="ED202" s="110">
        <f>SUMIF(еирц!$B:$B,$B:$B,еирц!$P:$P)</f>
        <v>1200049.45</v>
      </c>
      <c r="EE202" s="110">
        <f>SUMIF(еирц!$B:$B,$B:$B,еирц!$S:$S)</f>
        <v>306863.88</v>
      </c>
      <c r="EF202" s="177">
        <f t="shared" si="296"/>
        <v>-327907.09723689687</v>
      </c>
      <c r="EG202" s="181">
        <f t="shared" si="297"/>
        <v>0</v>
      </c>
      <c r="EH202" s="177">
        <f t="shared" si="298"/>
        <v>-327907.09723689687</v>
      </c>
    </row>
    <row r="203" spans="1:138" ht="12" customHeight="1" x14ac:dyDescent="0.25">
      <c r="A203" s="5">
        <f t="shared" si="299"/>
        <v>199</v>
      </c>
      <c r="B203" s="6" t="s">
        <v>283</v>
      </c>
      <c r="C203" s="7">
        <f t="shared" si="226"/>
        <v>3514.1</v>
      </c>
      <c r="D203" s="8">
        <v>3514.1</v>
      </c>
      <c r="E203" s="8">
        <v>0</v>
      </c>
      <c r="F203" s="8">
        <v>299.7</v>
      </c>
      <c r="G203" s="87">
        <f t="shared" si="232"/>
        <v>3514.1</v>
      </c>
      <c r="H203" s="87">
        <f t="shared" si="233"/>
        <v>3514.1</v>
      </c>
      <c r="I203" s="91">
        <v>0</v>
      </c>
      <c r="J203" s="112">
        <v>0</v>
      </c>
      <c r="K203" s="17">
        <v>4</v>
      </c>
      <c r="L203" s="112">
        <f t="shared" si="266"/>
        <v>9.638554216867469E-3</v>
      </c>
      <c r="M203" s="116">
        <v>3.4064161333447118</v>
      </c>
      <c r="N203" s="120">
        <f t="shared" si="267"/>
        <v>3514.1</v>
      </c>
      <c r="O203" s="116">
        <v>3.0862327502346627</v>
      </c>
      <c r="P203" s="120">
        <f t="shared" si="268"/>
        <v>3514.1</v>
      </c>
      <c r="Q203" s="116">
        <v>0</v>
      </c>
      <c r="R203" s="120">
        <f t="shared" si="269"/>
        <v>0</v>
      </c>
      <c r="S203" s="5" t="s">
        <v>143</v>
      </c>
      <c r="T203" s="87">
        <v>28.44</v>
      </c>
      <c r="U203" s="88">
        <v>4.68</v>
      </c>
      <c r="V203" s="88">
        <v>6.05</v>
      </c>
      <c r="W203" s="88">
        <v>8.24</v>
      </c>
      <c r="X203" s="88">
        <v>6.34</v>
      </c>
      <c r="Y203" s="88">
        <v>2.89</v>
      </c>
      <c r="Z203" s="88">
        <v>0</v>
      </c>
      <c r="AA203" s="88">
        <v>0</v>
      </c>
      <c r="AB203" s="88">
        <v>0.24</v>
      </c>
      <c r="AC203" s="257"/>
      <c r="AD203" s="110">
        <f t="shared" si="270"/>
        <v>151090.74601562126</v>
      </c>
      <c r="AE203" s="110">
        <f t="shared" si="271"/>
        <v>141596.43294798734</v>
      </c>
      <c r="AF203" s="16">
        <f>SUMIF('20.01'!$I:$I,$B:$B,'20.01'!$D:$D)*1.2</f>
        <v>81140.135999999999</v>
      </c>
      <c r="AG203" s="17">
        <f t="shared" si="229"/>
        <v>9374.3129133871134</v>
      </c>
      <c r="AH203" s="17">
        <f t="shared" si="272"/>
        <v>2683.3632346176723</v>
      </c>
      <c r="AI203" s="16">
        <f>SUMIF('20.01'!$J:$J,$B:$B,'20.01'!$D:$D)*1.2</f>
        <v>0</v>
      </c>
      <c r="AJ203" s="17">
        <f t="shared" si="273"/>
        <v>1090.4584908518414</v>
      </c>
      <c r="AK203" s="17">
        <f t="shared" si="274"/>
        <v>2652.84325775466</v>
      </c>
      <c r="AL203" s="17">
        <f t="shared" si="275"/>
        <v>44655.319051376035</v>
      </c>
      <c r="AM203" s="110">
        <f t="shared" si="276"/>
        <v>0</v>
      </c>
      <c r="AN203" s="17">
        <f>SUMIF('20.01'!$K:$K,$B:$B,'20.01'!$D:$D)*1.2</f>
        <v>0</v>
      </c>
      <c r="AO203" s="17">
        <f>SUMIF('20.01'!$L:$L,$B:$B,'20.01'!$D:$D)*1.2</f>
        <v>0</v>
      </c>
      <c r="AP203" s="17">
        <f>SUMIF('20.01'!$M:$M,$B:$B,'20.01'!$D:$D)*1.2</f>
        <v>0</v>
      </c>
      <c r="AQ203" s="110">
        <f t="shared" si="277"/>
        <v>987.15306763392357</v>
      </c>
      <c r="AR203" s="17">
        <f t="shared" si="278"/>
        <v>987.15306763392357</v>
      </c>
      <c r="AS203" s="17">
        <f>(SUMIF('20.01'!$N:$N,$B:$B,'20.01'!$D:$D)+SUMIF('20.01'!$O:$O,$B:$B,'20.01'!$D:$D))*1.2</f>
        <v>0</v>
      </c>
      <c r="AT203" s="110">
        <f>SUMIF('20.01'!$P:$P,$B:$B,'20.01'!$D:$D)*1.2</f>
        <v>0</v>
      </c>
      <c r="AU203" s="110">
        <f t="shared" si="279"/>
        <v>0</v>
      </c>
      <c r="AV203" s="17">
        <f>SUMIF('20.01'!$Q:$Q,$B:$B,'20.01'!$D:$D)*1.2</f>
        <v>0</v>
      </c>
      <c r="AW203" s="17">
        <f>SUMIF('20.01'!$R:$R,$B:$B,'20.01'!$D:$D)*1.2</f>
        <v>0</v>
      </c>
      <c r="AX203" s="110">
        <f t="shared" si="280"/>
        <v>8507.16</v>
      </c>
      <c r="AY203" s="17">
        <f>SUMIF('20.01'!$S:$S,$B:$B,'20.01'!$D:$D)*1.2</f>
        <v>0</v>
      </c>
      <c r="AZ203" s="17">
        <f>SUMIF('20.01'!$T:$T,$B:$B,'20.01'!$D:$D)*1.2</f>
        <v>8507.16</v>
      </c>
      <c r="BA203" s="110">
        <f t="shared" si="281"/>
        <v>0</v>
      </c>
      <c r="BB203" s="17">
        <f>SUMIF('20.01'!$U:$U,$B:$B,'20.01'!$D:$D)*1.2</f>
        <v>0</v>
      </c>
      <c r="BC203" s="17">
        <f>SUMIF('20.01'!$V:$V,$B:$B,'20.01'!$D:$D)*1.2</f>
        <v>0</v>
      </c>
      <c r="BD203" s="17">
        <f>SUMIF('20.01'!$W:$W,$B:$B,'20.01'!$D:$D)*1.2</f>
        <v>0</v>
      </c>
      <c r="BE203" s="110">
        <f>SUMIF('20.01'!$X:$X,$B:$B,'20.01'!$D:$D)*1.2</f>
        <v>0</v>
      </c>
      <c r="BF203" s="110">
        <f t="shared" si="282"/>
        <v>0</v>
      </c>
      <c r="BG203" s="17">
        <f>SUMIF('20.01'!$Y:$Y,$B:$B,'20.01'!$D:$D)*1.2</f>
        <v>0</v>
      </c>
      <c r="BH203" s="17">
        <f>SUMIF('20.01'!$Z:$Z,$B:$B,'20.01'!$D:$D)*1.2</f>
        <v>0</v>
      </c>
      <c r="BI203" s="17">
        <f>SUMIF('20.01'!$AA:$AA,$B:$B,'20.01'!$D:$D)*1.2</f>
        <v>0</v>
      </c>
      <c r="BJ203" s="17">
        <f>SUMIF('20.01'!$AB:$AB,$B:$B,'20.01'!$D:$D)*1.2</f>
        <v>0</v>
      </c>
      <c r="BK203" s="17">
        <f>SUMIF('20.01'!$AC:$AC,$B:$B,'20.01'!$D:$D)*1.2</f>
        <v>0</v>
      </c>
      <c r="BL203" s="17">
        <f>SUMIF('20.01'!$AD:$AD,$B:$B,'20.01'!$D:$D)*1.2</f>
        <v>0</v>
      </c>
      <c r="BM203" s="110">
        <f t="shared" si="283"/>
        <v>0</v>
      </c>
      <c r="BN203" s="17">
        <f>SUMIF('20.01'!$AE:$AE,$B:$B,'20.01'!$D:$D)*1.2</f>
        <v>0</v>
      </c>
      <c r="BO203" s="17">
        <f>SUMIF('20.01'!$AF:$AF,$B:$B,'20.01'!$D:$D)*1.2</f>
        <v>0</v>
      </c>
      <c r="BP203" s="110">
        <f>SUMIF('20.01'!$AG:$AG,$B:$B,'20.01'!$D:$D)*1.2</f>
        <v>0</v>
      </c>
      <c r="BQ203" s="110">
        <f>SUMIF('20.01'!$AH:$AH,$B:$B,'20.01'!$D:$D)*1.2</f>
        <v>0</v>
      </c>
      <c r="BR203" s="110">
        <f>SUMIF('20.01'!$AI:$AI,$B:$B,'20.01'!$D:$D)*1.2</f>
        <v>0</v>
      </c>
      <c r="BS203" s="110">
        <f t="shared" si="284"/>
        <v>0</v>
      </c>
      <c r="BT203" s="17">
        <f>SUMIF('20.01'!$AJ:$AJ,$B:$B,'20.01'!$D:$D)*1.2</f>
        <v>0</v>
      </c>
      <c r="BU203" s="17">
        <f>SUMIF('20.01'!$AK:$AK,$B:$B,'20.01'!$D:$D)*1.2</f>
        <v>0</v>
      </c>
      <c r="BV203" s="110">
        <f>SUMIF('20.01'!$AL:$AL,$B:$B,'20.01'!$D:$D)*1.2</f>
        <v>0</v>
      </c>
      <c r="BW203" s="110">
        <f>SUMIF('20.01'!$AM:$AM,$B:$B,'20.01'!$D:$D)*1.2</f>
        <v>0</v>
      </c>
      <c r="BX203" s="110">
        <f>SUMIF('20.01'!$AN:$AN,$B:$B,'20.01'!$D:$D)*1.2</f>
        <v>0</v>
      </c>
      <c r="BY203" s="110">
        <f t="shared" si="234"/>
        <v>373501.5048722584</v>
      </c>
      <c r="BZ203" s="17">
        <f t="shared" si="230"/>
        <v>215358.86328313797</v>
      </c>
      <c r="CA203" s="17">
        <f t="shared" si="235"/>
        <v>21795.435018377389</v>
      </c>
      <c r="CB203" s="17">
        <f t="shared" si="236"/>
        <v>1448.8488921310548</v>
      </c>
      <c r="CC203" s="17">
        <f>SUMIF('20.01'!$AO:$AO,$B:$B,'20.01'!$D:$D)*1.2</f>
        <v>0</v>
      </c>
      <c r="CD203" s="17">
        <f t="shared" si="237"/>
        <v>22745.456081704149</v>
      </c>
      <c r="CE203" s="17">
        <f>SUMIF('20.01'!$AQ:$AQ,$B:$B,'20.01'!$D:$D)*1.2</f>
        <v>0</v>
      </c>
      <c r="CF203" s="17">
        <f t="shared" si="238"/>
        <v>2069.4769440168866</v>
      </c>
      <c r="CG203" s="17">
        <f>SUMIF('20.01'!$AR:$AR,$B:$B,'20.01'!$D:$D)*1.2</f>
        <v>107658.10799999999</v>
      </c>
      <c r="CH203" s="17">
        <f t="shared" si="239"/>
        <v>1218.7717562728003</v>
      </c>
      <c r="CI203" s="17">
        <f>SUMIF('20.01'!$AT:$AT,$B:$B,'20.01'!$D:$D)*1.2</f>
        <v>0</v>
      </c>
      <c r="CJ203" s="17">
        <f>SUMIF('20.01'!$AU:$AU,$B:$B,'20.01'!$D:$D)*1.2</f>
        <v>0</v>
      </c>
      <c r="CK203" s="17">
        <f>SUMIF('20.01'!$AV:$AV,$B:$B,'20.01'!$D:$D)*1.2</f>
        <v>0</v>
      </c>
      <c r="CL203" s="17">
        <f t="shared" si="240"/>
        <v>1206.5448966181084</v>
      </c>
      <c r="CM203" s="17">
        <f>SUMIF('20.01'!$AW:$AW,$B:$B,'20.01'!$D:$D)*1.2</f>
        <v>0</v>
      </c>
      <c r="CN203" s="17">
        <f>SUMIF('20.01'!$AX:$AX,$B:$B,'20.01'!$D:$D)*1.2</f>
        <v>0</v>
      </c>
      <c r="CO203" s="110">
        <f t="shared" si="285"/>
        <v>404749.26529517886</v>
      </c>
      <c r="CP203" s="17">
        <f t="shared" si="286"/>
        <v>319282.9680640283</v>
      </c>
      <c r="CQ203" s="17">
        <f t="shared" si="241"/>
        <v>98503.188866733239</v>
      </c>
      <c r="CR203" s="17">
        <f t="shared" si="242"/>
        <v>220779.77919729505</v>
      </c>
      <c r="CS203" s="17">
        <f t="shared" si="287"/>
        <v>85466.297231150573</v>
      </c>
      <c r="CT203" s="17">
        <f t="shared" si="243"/>
        <v>3113.6121813730183</v>
      </c>
      <c r="CU203" s="17">
        <f t="shared" si="244"/>
        <v>3011.5900000305428</v>
      </c>
      <c r="CV203" s="17">
        <f t="shared" si="245"/>
        <v>3112.5440864944708</v>
      </c>
      <c r="CW203" s="17">
        <f t="shared" si="246"/>
        <v>32.638451797044304</v>
      </c>
      <c r="CX203" s="17">
        <f t="shared" si="247"/>
        <v>45958.221488477786</v>
      </c>
      <c r="CY203" s="17">
        <f t="shared" si="248"/>
        <v>30237.691022977717</v>
      </c>
      <c r="CZ203" s="110">
        <f t="shared" si="288"/>
        <v>100469.36364264775</v>
      </c>
      <c r="DA203" s="17">
        <f t="shared" si="289"/>
        <v>3795.1688136098028</v>
      </c>
      <c r="DB203" s="17">
        <f t="shared" si="249"/>
        <v>3601.4759873968624</v>
      </c>
      <c r="DC203" s="17">
        <f t="shared" si="250"/>
        <v>193.6928262129405</v>
      </c>
      <c r="DD203" s="17">
        <f t="shared" si="251"/>
        <v>6687.5227876582758</v>
      </c>
      <c r="DE203" s="17">
        <f t="shared" si="252"/>
        <v>2307.3715761446583</v>
      </c>
      <c r="DF203" s="17">
        <f t="shared" si="253"/>
        <v>2800.3168596606361</v>
      </c>
      <c r="DG203" s="17">
        <f t="shared" si="290"/>
        <v>84878.98360557438</v>
      </c>
      <c r="DH203" s="110">
        <f t="shared" si="291"/>
        <v>62700.731301135347</v>
      </c>
      <c r="DI203" s="17">
        <f t="shared" si="254"/>
        <v>56245.112428253437</v>
      </c>
      <c r="DJ203" s="17">
        <f t="shared" si="255"/>
        <v>6220.3789354462951</v>
      </c>
      <c r="DK203" s="17">
        <f t="shared" si="256"/>
        <v>235.23993743561621</v>
      </c>
      <c r="DL203" s="110">
        <f t="shared" si="292"/>
        <v>372758.13748998463</v>
      </c>
      <c r="DM203" s="17">
        <f t="shared" si="257"/>
        <v>197561.81286969184</v>
      </c>
      <c r="DN203" s="17">
        <f t="shared" si="258"/>
        <v>175196.32462029278</v>
      </c>
      <c r="DO203" s="17">
        <f t="shared" si="259"/>
        <v>0</v>
      </c>
      <c r="DP203" s="110">
        <f t="shared" si="293"/>
        <v>0</v>
      </c>
      <c r="DQ203" s="17">
        <f>SUMIF('20.01'!$BB:$BB,$B:$B,'20.01'!$D:$D)*1.2</f>
        <v>0</v>
      </c>
      <c r="DR203" s="17">
        <f t="shared" si="260"/>
        <v>0</v>
      </c>
      <c r="DS203" s="17">
        <f t="shared" si="261"/>
        <v>0</v>
      </c>
      <c r="DT203" s="110">
        <f t="shared" si="294"/>
        <v>7586.0159999999996</v>
      </c>
      <c r="DU203" s="17">
        <f>SUMIF('20.01'!$BD:$BD,$B:$B,'20.01'!$D:$D)*1.2</f>
        <v>7586.0159999999996</v>
      </c>
      <c r="DV203" s="17">
        <f t="shared" si="262"/>
        <v>0</v>
      </c>
      <c r="DW203" s="17">
        <f t="shared" si="263"/>
        <v>0</v>
      </c>
      <c r="DX203" s="110">
        <f t="shared" si="264"/>
        <v>1472855.7646168263</v>
      </c>
      <c r="DY203" s="110"/>
      <c r="DZ203" s="110">
        <f t="shared" si="295"/>
        <v>1472855.7646168263</v>
      </c>
      <c r="EA203" s="257"/>
      <c r="EB203" s="110">
        <f t="shared" si="265"/>
        <v>3546.2168674698792</v>
      </c>
      <c r="EC203" s="110">
        <f>SUMIF(еирц!$B:$B,$B:$B,еирц!$K:$K)</f>
        <v>1176311.3400000001</v>
      </c>
      <c r="ED203" s="110">
        <f>SUMIF(еирц!$B:$B,$B:$B,еирц!$P:$P)</f>
        <v>1118481.18</v>
      </c>
      <c r="EE203" s="110">
        <f>SUMIF(еирц!$B:$B,$B:$B,еирц!$S:$S)</f>
        <v>347854.52999999997</v>
      </c>
      <c r="EF203" s="177">
        <f t="shared" si="296"/>
        <v>-292998.20774935628</v>
      </c>
      <c r="EG203" s="181">
        <f t="shared" si="297"/>
        <v>0</v>
      </c>
      <c r="EH203" s="177">
        <f t="shared" si="298"/>
        <v>-292998.20774935628</v>
      </c>
    </row>
    <row r="204" spans="1:138" ht="12" customHeight="1" x14ac:dyDescent="0.25">
      <c r="A204" s="5">
        <f t="shared" si="299"/>
        <v>200</v>
      </c>
      <c r="B204" s="6" t="s">
        <v>284</v>
      </c>
      <c r="C204" s="7">
        <f t="shared" si="226"/>
        <v>3480.8300000000008</v>
      </c>
      <c r="D204" s="8">
        <v>3480.8300000000008</v>
      </c>
      <c r="E204" s="8">
        <v>0</v>
      </c>
      <c r="F204" s="8">
        <v>304.2</v>
      </c>
      <c r="G204" s="87">
        <f t="shared" si="232"/>
        <v>3480.8300000000008</v>
      </c>
      <c r="H204" s="87">
        <f t="shared" si="233"/>
        <v>3480.8300000000008</v>
      </c>
      <c r="I204" s="91">
        <v>0</v>
      </c>
      <c r="J204" s="112">
        <v>0</v>
      </c>
      <c r="K204" s="17">
        <v>4</v>
      </c>
      <c r="L204" s="112">
        <f t="shared" si="266"/>
        <v>9.638554216867469E-3</v>
      </c>
      <c r="M204" s="116">
        <v>3.4064176125882644</v>
      </c>
      <c r="N204" s="120">
        <f t="shared" si="267"/>
        <v>3480.8300000000008</v>
      </c>
      <c r="O204" s="116">
        <v>3.0862333645065623</v>
      </c>
      <c r="P204" s="120">
        <f t="shared" si="268"/>
        <v>3480.8300000000008</v>
      </c>
      <c r="Q204" s="116">
        <v>0</v>
      </c>
      <c r="R204" s="120">
        <f t="shared" si="269"/>
        <v>0</v>
      </c>
      <c r="S204" s="5" t="s">
        <v>143</v>
      </c>
      <c r="T204" s="87">
        <v>28.44</v>
      </c>
      <c r="U204" s="88">
        <v>4.68</v>
      </c>
      <c r="V204" s="88">
        <v>6.05</v>
      </c>
      <c r="W204" s="88">
        <v>8.24</v>
      </c>
      <c r="X204" s="88">
        <v>6.34</v>
      </c>
      <c r="Y204" s="88">
        <v>2.89</v>
      </c>
      <c r="Z204" s="88">
        <v>0</v>
      </c>
      <c r="AA204" s="88">
        <v>0</v>
      </c>
      <c r="AB204" s="88">
        <v>0.24</v>
      </c>
      <c r="AC204" s="257"/>
      <c r="AD204" s="110">
        <f t="shared" si="270"/>
        <v>193829.04963714036</v>
      </c>
      <c r="AE204" s="110">
        <f t="shared" si="271"/>
        <v>119115.47851371979</v>
      </c>
      <c r="AF204" s="16">
        <f>SUMIF('20.01'!$I:$I,$B:$B,'20.01'!$D:$D)*1.2</f>
        <v>59231.555999999997</v>
      </c>
      <c r="AG204" s="17">
        <f t="shared" si="229"/>
        <v>9285.5609169645923</v>
      </c>
      <c r="AH204" s="17">
        <f t="shared" si="272"/>
        <v>2657.9582959944892</v>
      </c>
      <c r="AI204" s="16">
        <f>SUMIF('20.01'!$J:$J,$B:$B,'20.01'!$D:$D)*1.2</f>
        <v>0</v>
      </c>
      <c r="AJ204" s="17">
        <f t="shared" si="273"/>
        <v>1080.1344949522825</v>
      </c>
      <c r="AK204" s="17">
        <f t="shared" si="274"/>
        <v>2627.7272692553302</v>
      </c>
      <c r="AL204" s="17">
        <f t="shared" si="275"/>
        <v>44232.541536553108</v>
      </c>
      <c r="AM204" s="110">
        <f t="shared" si="276"/>
        <v>3593.28</v>
      </c>
      <c r="AN204" s="17">
        <f>SUMIF('20.01'!$K:$K,$B:$B,'20.01'!$D:$D)*1.2</f>
        <v>3593.28</v>
      </c>
      <c r="AO204" s="17">
        <f>SUMIF('20.01'!$L:$L,$B:$B,'20.01'!$D:$D)*1.2</f>
        <v>0</v>
      </c>
      <c r="AP204" s="17">
        <f>SUMIF('20.01'!$M:$M,$B:$B,'20.01'!$D:$D)*1.2</f>
        <v>0</v>
      </c>
      <c r="AQ204" s="110">
        <f t="shared" si="277"/>
        <v>977.8071234205604</v>
      </c>
      <c r="AR204" s="17">
        <f t="shared" si="278"/>
        <v>977.8071234205604</v>
      </c>
      <c r="AS204" s="17">
        <f>(SUMIF('20.01'!$N:$N,$B:$B,'20.01'!$D:$D)+SUMIF('20.01'!$O:$O,$B:$B,'20.01'!$D:$D))*1.2</f>
        <v>0</v>
      </c>
      <c r="AT204" s="110">
        <f>SUMIF('20.01'!$P:$P,$B:$B,'20.01'!$D:$D)*1.2</f>
        <v>0</v>
      </c>
      <c r="AU204" s="110">
        <f t="shared" si="279"/>
        <v>0</v>
      </c>
      <c r="AV204" s="17">
        <f>SUMIF('20.01'!$Q:$Q,$B:$B,'20.01'!$D:$D)*1.2</f>
        <v>0</v>
      </c>
      <c r="AW204" s="17">
        <f>SUMIF('20.01'!$R:$R,$B:$B,'20.01'!$D:$D)*1.2</f>
        <v>0</v>
      </c>
      <c r="AX204" s="110">
        <f t="shared" si="280"/>
        <v>62745.467999999993</v>
      </c>
      <c r="AY204" s="17">
        <f>SUMIF('20.01'!$S:$S,$B:$B,'20.01'!$D:$D)*1.2</f>
        <v>62745.467999999993</v>
      </c>
      <c r="AZ204" s="17">
        <f>SUMIF('20.01'!$T:$T,$B:$B,'20.01'!$D:$D)*1.2</f>
        <v>0</v>
      </c>
      <c r="BA204" s="110">
        <f t="shared" si="281"/>
        <v>0</v>
      </c>
      <c r="BB204" s="17">
        <f>SUMIF('20.01'!$U:$U,$B:$B,'20.01'!$D:$D)*1.2</f>
        <v>0</v>
      </c>
      <c r="BC204" s="17">
        <f>SUMIF('20.01'!$V:$V,$B:$B,'20.01'!$D:$D)*1.2</f>
        <v>0</v>
      </c>
      <c r="BD204" s="17">
        <f>SUMIF('20.01'!$W:$W,$B:$B,'20.01'!$D:$D)*1.2</f>
        <v>0</v>
      </c>
      <c r="BE204" s="110">
        <f>SUMIF('20.01'!$X:$X,$B:$B,'20.01'!$D:$D)*1.2</f>
        <v>0</v>
      </c>
      <c r="BF204" s="110">
        <f t="shared" si="282"/>
        <v>0</v>
      </c>
      <c r="BG204" s="17">
        <f>SUMIF('20.01'!$Y:$Y,$B:$B,'20.01'!$D:$D)*1.2</f>
        <v>0</v>
      </c>
      <c r="BH204" s="17">
        <f>SUMIF('20.01'!$Z:$Z,$B:$B,'20.01'!$D:$D)*1.2</f>
        <v>0</v>
      </c>
      <c r="BI204" s="17">
        <f>SUMIF('20.01'!$AA:$AA,$B:$B,'20.01'!$D:$D)*1.2</f>
        <v>0</v>
      </c>
      <c r="BJ204" s="17">
        <f>SUMIF('20.01'!$AB:$AB,$B:$B,'20.01'!$D:$D)*1.2</f>
        <v>0</v>
      </c>
      <c r="BK204" s="17">
        <f>SUMIF('20.01'!$AC:$AC,$B:$B,'20.01'!$D:$D)*1.2</f>
        <v>0</v>
      </c>
      <c r="BL204" s="17">
        <f>SUMIF('20.01'!$AD:$AD,$B:$B,'20.01'!$D:$D)*1.2</f>
        <v>0</v>
      </c>
      <c r="BM204" s="110">
        <f t="shared" si="283"/>
        <v>0</v>
      </c>
      <c r="BN204" s="17">
        <f>SUMIF('20.01'!$AE:$AE,$B:$B,'20.01'!$D:$D)*1.2</f>
        <v>0</v>
      </c>
      <c r="BO204" s="17">
        <f>SUMIF('20.01'!$AF:$AF,$B:$B,'20.01'!$D:$D)*1.2</f>
        <v>0</v>
      </c>
      <c r="BP204" s="110">
        <f>SUMIF('20.01'!$AG:$AG,$B:$B,'20.01'!$D:$D)*1.2</f>
        <v>0</v>
      </c>
      <c r="BQ204" s="110">
        <f>SUMIF('20.01'!$AH:$AH,$B:$B,'20.01'!$D:$D)*1.2</f>
        <v>0</v>
      </c>
      <c r="BR204" s="110">
        <f>SUMIF('20.01'!$AI:$AI,$B:$B,'20.01'!$D:$D)*1.2</f>
        <v>0</v>
      </c>
      <c r="BS204" s="110">
        <f t="shared" si="284"/>
        <v>7397.0159999999996</v>
      </c>
      <c r="BT204" s="17">
        <f>SUMIF('20.01'!$AJ:$AJ,$B:$B,'20.01'!$D:$D)*1.2</f>
        <v>7397.0159999999996</v>
      </c>
      <c r="BU204" s="17">
        <f>SUMIF('20.01'!$AK:$AK,$B:$B,'20.01'!$D:$D)*1.2</f>
        <v>0</v>
      </c>
      <c r="BV204" s="110">
        <f>SUMIF('20.01'!$AL:$AL,$B:$B,'20.01'!$D:$D)*1.2</f>
        <v>0</v>
      </c>
      <c r="BW204" s="110">
        <f>SUMIF('20.01'!$AM:$AM,$B:$B,'20.01'!$D:$D)*1.2</f>
        <v>0</v>
      </c>
      <c r="BX204" s="110">
        <f>SUMIF('20.01'!$AN:$AN,$B:$B,'20.01'!$D:$D)*1.2</f>
        <v>0</v>
      </c>
      <c r="BY204" s="110">
        <f t="shared" si="234"/>
        <v>404320.58897563058</v>
      </c>
      <c r="BZ204" s="17">
        <f t="shared" si="230"/>
        <v>213319.93741835613</v>
      </c>
      <c r="CA204" s="17">
        <f t="shared" si="235"/>
        <v>21589.085135601887</v>
      </c>
      <c r="CB204" s="17">
        <f t="shared" si="236"/>
        <v>1435.1318087693978</v>
      </c>
      <c r="CC204" s="17">
        <f>SUMIF('20.01'!$AO:$AO,$B:$B,'20.01'!$D:$D)*1.2</f>
        <v>0</v>
      </c>
      <c r="CD204" s="17">
        <f t="shared" si="237"/>
        <v>22530.11180469488</v>
      </c>
      <c r="CE204" s="17">
        <f>SUMIF('20.01'!$AQ:$AQ,$B:$B,'20.01'!$D:$D)*1.2</f>
        <v>0</v>
      </c>
      <c r="CF204" s="17">
        <f t="shared" si="238"/>
        <v>2049.8840189642588</v>
      </c>
      <c r="CG204" s="17">
        <f>SUMIF('20.01'!$AR:$AR,$B:$B,'20.01'!$D:$D)*1.2</f>
        <v>140994.084</v>
      </c>
      <c r="CH204" s="17">
        <f t="shared" si="239"/>
        <v>1207.2329451031708</v>
      </c>
      <c r="CI204" s="17">
        <f>SUMIF('20.01'!$AT:$AT,$B:$B,'20.01'!$D:$D)*1.2</f>
        <v>0</v>
      </c>
      <c r="CJ204" s="17">
        <f>SUMIF('20.01'!$AU:$AU,$B:$B,'20.01'!$D:$D)*1.2</f>
        <v>0</v>
      </c>
      <c r="CK204" s="17">
        <f>SUMIF('20.01'!$AV:$AV,$B:$B,'20.01'!$D:$D)*1.2</f>
        <v>0</v>
      </c>
      <c r="CL204" s="17">
        <f t="shared" si="240"/>
        <v>1195.1218441408075</v>
      </c>
      <c r="CM204" s="17">
        <f>SUMIF('20.01'!$AW:$AW,$B:$B,'20.01'!$D:$D)*1.2</f>
        <v>0</v>
      </c>
      <c r="CN204" s="17">
        <f>SUMIF('20.01'!$AX:$AX,$B:$B,'20.01'!$D:$D)*1.2</f>
        <v>0</v>
      </c>
      <c r="CO204" s="110">
        <f t="shared" si="285"/>
        <v>400917.2718811126</v>
      </c>
      <c r="CP204" s="17">
        <f t="shared" si="286"/>
        <v>316260.13309988671</v>
      </c>
      <c r="CQ204" s="17">
        <f t="shared" si="241"/>
        <v>97570.60268717201</v>
      </c>
      <c r="CR204" s="17">
        <f t="shared" si="242"/>
        <v>218689.5304127147</v>
      </c>
      <c r="CS204" s="17">
        <f t="shared" si="287"/>
        <v>84657.138781225905</v>
      </c>
      <c r="CT204" s="17">
        <f t="shared" si="243"/>
        <v>3084.1338292275818</v>
      </c>
      <c r="CU204" s="17">
        <f t="shared" si="244"/>
        <v>2983.0775503845412</v>
      </c>
      <c r="CV204" s="17">
        <f t="shared" si="245"/>
        <v>3083.0758466157913</v>
      </c>
      <c r="CW204" s="17">
        <f t="shared" si="246"/>
        <v>32.329444856067198</v>
      </c>
      <c r="CX204" s="17">
        <f t="shared" si="247"/>
        <v>45523.108649081747</v>
      </c>
      <c r="CY204" s="17">
        <f t="shared" si="248"/>
        <v>29951.413461060172</v>
      </c>
      <c r="CZ204" s="110">
        <f t="shared" si="288"/>
        <v>99518.162558902055</v>
      </c>
      <c r="DA204" s="17">
        <f t="shared" si="289"/>
        <v>3759.2377739613025</v>
      </c>
      <c r="DB204" s="17">
        <f t="shared" si="249"/>
        <v>3567.3787488149524</v>
      </c>
      <c r="DC204" s="17">
        <f t="shared" si="250"/>
        <v>191.85902514635038</v>
      </c>
      <c r="DD204" s="17">
        <f t="shared" si="251"/>
        <v>6624.2081742023738</v>
      </c>
      <c r="DE204" s="17">
        <f t="shared" si="252"/>
        <v>2285.5263661795661</v>
      </c>
      <c r="DF204" s="17">
        <f t="shared" si="253"/>
        <v>2773.8046539974771</v>
      </c>
      <c r="DG204" s="17">
        <f t="shared" si="290"/>
        <v>84075.385590561331</v>
      </c>
      <c r="DH204" s="110">
        <f t="shared" si="291"/>
        <v>62107.107519686695</v>
      </c>
      <c r="DI204" s="17">
        <f t="shared" si="254"/>
        <v>55712.607692905003</v>
      </c>
      <c r="DJ204" s="17">
        <f t="shared" si="255"/>
        <v>6161.487040741451</v>
      </c>
      <c r="DK204" s="17">
        <f t="shared" si="256"/>
        <v>233.0127860402425</v>
      </c>
      <c r="DL204" s="110">
        <f t="shared" si="292"/>
        <v>369229.02242943103</v>
      </c>
      <c r="DM204" s="17">
        <f t="shared" si="257"/>
        <v>195691.38188759843</v>
      </c>
      <c r="DN204" s="17">
        <f t="shared" si="258"/>
        <v>173537.6405418326</v>
      </c>
      <c r="DO204" s="17">
        <f t="shared" si="259"/>
        <v>0</v>
      </c>
      <c r="DP204" s="110">
        <f t="shared" si="293"/>
        <v>0</v>
      </c>
      <c r="DQ204" s="17">
        <f>SUMIF('20.01'!$BB:$BB,$B:$B,'20.01'!$D:$D)*1.2</f>
        <v>0</v>
      </c>
      <c r="DR204" s="17">
        <f t="shared" si="260"/>
        <v>0</v>
      </c>
      <c r="DS204" s="17">
        <f t="shared" si="261"/>
        <v>0</v>
      </c>
      <c r="DT204" s="110">
        <f t="shared" si="294"/>
        <v>7586.0159999999996</v>
      </c>
      <c r="DU204" s="17">
        <f>SUMIF('20.01'!$BD:$BD,$B:$B,'20.01'!$D:$D)*1.2</f>
        <v>7586.0159999999996</v>
      </c>
      <c r="DV204" s="17">
        <f t="shared" si="262"/>
        <v>0</v>
      </c>
      <c r="DW204" s="17">
        <f t="shared" si="263"/>
        <v>0</v>
      </c>
      <c r="DX204" s="110">
        <f t="shared" si="264"/>
        <v>1537507.2190019034</v>
      </c>
      <c r="DY204" s="110"/>
      <c r="DZ204" s="110">
        <f t="shared" si="295"/>
        <v>1537507.2190019034</v>
      </c>
      <c r="EA204" s="257"/>
      <c r="EB204" s="110">
        <f t="shared" si="265"/>
        <v>3546.2168674698792</v>
      </c>
      <c r="EC204" s="110">
        <f>SUMIF(еирц!$B:$B,$B:$B,еирц!$K:$K)</f>
        <v>1076907.4100000001</v>
      </c>
      <c r="ED204" s="110">
        <f>SUMIF(еирц!$B:$B,$B:$B,еирц!$P:$P)</f>
        <v>1164307.8600000001</v>
      </c>
      <c r="EE204" s="110">
        <f>SUMIF(еирц!$B:$B,$B:$B,еирц!$S:$S)</f>
        <v>221089.67</v>
      </c>
      <c r="EF204" s="177">
        <f t="shared" si="296"/>
        <v>-457053.59213443333</v>
      </c>
      <c r="EG204" s="181">
        <f t="shared" si="297"/>
        <v>0</v>
      </c>
      <c r="EH204" s="177">
        <f t="shared" si="298"/>
        <v>-457053.59213443333</v>
      </c>
    </row>
    <row r="205" spans="1:138" ht="12" customHeight="1" x14ac:dyDescent="0.25">
      <c r="A205" s="5">
        <f t="shared" si="299"/>
        <v>201</v>
      </c>
      <c r="B205" s="6" t="s">
        <v>285</v>
      </c>
      <c r="C205" s="7">
        <f t="shared" ref="C205:C243" si="300">SUM(D205:E205)</f>
        <v>6969.63</v>
      </c>
      <c r="D205" s="8">
        <v>6969.63</v>
      </c>
      <c r="E205" s="8">
        <v>0</v>
      </c>
      <c r="F205" s="8">
        <v>608.5</v>
      </c>
      <c r="G205" s="87">
        <f t="shared" si="232"/>
        <v>6969.63</v>
      </c>
      <c r="H205" s="87">
        <f t="shared" si="233"/>
        <v>6969.63</v>
      </c>
      <c r="I205" s="91">
        <v>0</v>
      </c>
      <c r="J205" s="112">
        <v>0</v>
      </c>
      <c r="K205" s="17">
        <v>8</v>
      </c>
      <c r="L205" s="112">
        <f t="shared" si="266"/>
        <v>1.9277108433734938E-2</v>
      </c>
      <c r="M205" s="116">
        <v>3.4064175003196691</v>
      </c>
      <c r="N205" s="120">
        <f t="shared" si="267"/>
        <v>6969.63</v>
      </c>
      <c r="O205" s="116">
        <v>3.0862321872669836</v>
      </c>
      <c r="P205" s="120">
        <f t="shared" si="268"/>
        <v>6969.63</v>
      </c>
      <c r="Q205" s="116">
        <v>0</v>
      </c>
      <c r="R205" s="120">
        <f t="shared" si="269"/>
        <v>0</v>
      </c>
      <c r="S205" s="5" t="s">
        <v>143</v>
      </c>
      <c r="T205" s="87">
        <v>28.44</v>
      </c>
      <c r="U205" s="88">
        <v>4.68</v>
      </c>
      <c r="V205" s="88">
        <v>6.05</v>
      </c>
      <c r="W205" s="88">
        <v>8.24</v>
      </c>
      <c r="X205" s="88">
        <v>6.34</v>
      </c>
      <c r="Y205" s="88">
        <v>2.89</v>
      </c>
      <c r="Z205" s="88">
        <v>0</v>
      </c>
      <c r="AA205" s="88">
        <v>0</v>
      </c>
      <c r="AB205" s="88">
        <v>0.24</v>
      </c>
      <c r="AC205" s="257"/>
      <c r="AD205" s="110">
        <f t="shared" si="270"/>
        <v>874033.1453895946</v>
      </c>
      <c r="AE205" s="110">
        <f t="shared" si="271"/>
        <v>205561.50027364073</v>
      </c>
      <c r="AF205" s="16">
        <f>SUMIF('20.01'!$I:$I,$B:$B,'20.01'!$D:$D)*1.2</f>
        <v>85656.54</v>
      </c>
      <c r="AG205" s="17">
        <f t="shared" si="229"/>
        <v>18592.382832170464</v>
      </c>
      <c r="AH205" s="17">
        <f t="shared" si="272"/>
        <v>5322.0024759933885</v>
      </c>
      <c r="AI205" s="16">
        <f>SUMIF('20.01'!$J:$J,$B:$B,'20.01'!$D:$D)*1.2</f>
        <v>0</v>
      </c>
      <c r="AJ205" s="17">
        <f t="shared" si="273"/>
        <v>2162.7421563403768</v>
      </c>
      <c r="AK205" s="17">
        <f t="shared" si="274"/>
        <v>5261.4712030234232</v>
      </c>
      <c r="AL205" s="17">
        <f t="shared" si="275"/>
        <v>88566.361606113074</v>
      </c>
      <c r="AM205" s="110">
        <f t="shared" si="276"/>
        <v>44800.044000000002</v>
      </c>
      <c r="AN205" s="17">
        <f>SUMIF('20.01'!$K:$K,$B:$B,'20.01'!$D:$D)*1.2</f>
        <v>44800.044000000002</v>
      </c>
      <c r="AO205" s="17">
        <f>SUMIF('20.01'!$L:$L,$B:$B,'20.01'!$D:$D)*1.2</f>
        <v>0</v>
      </c>
      <c r="AP205" s="17">
        <f>SUMIF('20.01'!$M:$M,$B:$B,'20.01'!$D:$D)*1.2</f>
        <v>0</v>
      </c>
      <c r="AQ205" s="110">
        <f t="shared" si="277"/>
        <v>1957.8531159538497</v>
      </c>
      <c r="AR205" s="17">
        <f t="shared" si="278"/>
        <v>1957.8531159538497</v>
      </c>
      <c r="AS205" s="17">
        <f>(SUMIF('20.01'!$N:$N,$B:$B,'20.01'!$D:$D)+SUMIF('20.01'!$O:$O,$B:$B,'20.01'!$D:$D))*1.2</f>
        <v>0</v>
      </c>
      <c r="AT205" s="110">
        <f>SUMIF('20.01'!$P:$P,$B:$B,'20.01'!$D:$D)*1.2</f>
        <v>0</v>
      </c>
      <c r="AU205" s="110">
        <f t="shared" si="279"/>
        <v>0</v>
      </c>
      <c r="AV205" s="17">
        <f>SUMIF('20.01'!$Q:$Q,$B:$B,'20.01'!$D:$D)*1.2</f>
        <v>0</v>
      </c>
      <c r="AW205" s="17">
        <f>SUMIF('20.01'!$R:$R,$B:$B,'20.01'!$D:$D)*1.2</f>
        <v>0</v>
      </c>
      <c r="AX205" s="110">
        <f t="shared" si="280"/>
        <v>0</v>
      </c>
      <c r="AY205" s="17">
        <f>SUMIF('20.01'!$S:$S,$B:$B,'20.01'!$D:$D)*1.2</f>
        <v>0</v>
      </c>
      <c r="AZ205" s="17">
        <f>SUMIF('20.01'!$T:$T,$B:$B,'20.01'!$D:$D)*1.2</f>
        <v>0</v>
      </c>
      <c r="BA205" s="110">
        <f t="shared" si="281"/>
        <v>0</v>
      </c>
      <c r="BB205" s="17">
        <f>SUMIF('20.01'!$U:$U,$B:$B,'20.01'!$D:$D)*1.2</f>
        <v>0</v>
      </c>
      <c r="BC205" s="17">
        <f>SUMIF('20.01'!$V:$V,$B:$B,'20.01'!$D:$D)*1.2</f>
        <v>0</v>
      </c>
      <c r="BD205" s="17">
        <f>SUMIF('20.01'!$W:$W,$B:$B,'20.01'!$D:$D)*1.2</f>
        <v>0</v>
      </c>
      <c r="BE205" s="110">
        <f>SUMIF('20.01'!$X:$X,$B:$B,'20.01'!$D:$D)*1.2</f>
        <v>0</v>
      </c>
      <c r="BF205" s="110">
        <f t="shared" si="282"/>
        <v>0</v>
      </c>
      <c r="BG205" s="17">
        <f>SUMIF('20.01'!$Y:$Y,$B:$B,'20.01'!$D:$D)*1.2</f>
        <v>0</v>
      </c>
      <c r="BH205" s="17">
        <f>SUMIF('20.01'!$Z:$Z,$B:$B,'20.01'!$D:$D)*1.2</f>
        <v>0</v>
      </c>
      <c r="BI205" s="17">
        <f>SUMIF('20.01'!$AA:$AA,$B:$B,'20.01'!$D:$D)*1.2</f>
        <v>0</v>
      </c>
      <c r="BJ205" s="17">
        <f>SUMIF('20.01'!$AB:$AB,$B:$B,'20.01'!$D:$D)*1.2</f>
        <v>0</v>
      </c>
      <c r="BK205" s="17">
        <f>SUMIF('20.01'!$AC:$AC,$B:$B,'20.01'!$D:$D)*1.2</f>
        <v>0</v>
      </c>
      <c r="BL205" s="17">
        <f>SUMIF('20.01'!$AD:$AD,$B:$B,'20.01'!$D:$D)*1.2</f>
        <v>0</v>
      </c>
      <c r="BM205" s="110">
        <f t="shared" si="283"/>
        <v>201600</v>
      </c>
      <c r="BN205" s="17">
        <f>SUMIF('20.01'!$AE:$AE,$B:$B,'20.01'!$D:$D)*1.2</f>
        <v>201600</v>
      </c>
      <c r="BO205" s="17">
        <f>SUMIF('20.01'!$AF:$AF,$B:$B,'20.01'!$D:$D)*1.2</f>
        <v>0</v>
      </c>
      <c r="BP205" s="110">
        <f>SUMIF('20.01'!$AG:$AG,$B:$B,'20.01'!$D:$D)*1.2</f>
        <v>0</v>
      </c>
      <c r="BQ205" s="110">
        <f>SUMIF('20.01'!$AH:$AH,$B:$B,'20.01'!$D:$D)*1.2</f>
        <v>0</v>
      </c>
      <c r="BR205" s="110">
        <f>SUMIF('20.01'!$AI:$AI,$B:$B,'20.01'!$D:$D)*1.2</f>
        <v>0</v>
      </c>
      <c r="BS205" s="110">
        <f t="shared" si="284"/>
        <v>25160.892</v>
      </c>
      <c r="BT205" s="17">
        <f>SUMIF('20.01'!$AJ:$AJ,$B:$B,'20.01'!$D:$D)*1.2</f>
        <v>25160.892</v>
      </c>
      <c r="BU205" s="17">
        <f>SUMIF('20.01'!$AK:$AK,$B:$B,'20.01'!$D:$D)*1.2</f>
        <v>0</v>
      </c>
      <c r="BV205" s="110">
        <f>SUMIF('20.01'!$AL:$AL,$B:$B,'20.01'!$D:$D)*1.2</f>
        <v>394952.85599999997</v>
      </c>
      <c r="BW205" s="110">
        <f>SUMIF('20.01'!$AM:$AM,$B:$B,'20.01'!$D:$D)*1.2</f>
        <v>0</v>
      </c>
      <c r="BX205" s="110">
        <f>SUMIF('20.01'!$AN:$AN,$B:$B,'20.01'!$D:$D)*1.2</f>
        <v>0</v>
      </c>
      <c r="BY205" s="110">
        <f t="shared" si="234"/>
        <v>818519.56037915766</v>
      </c>
      <c r="BZ205" s="17">
        <f t="shared" si="230"/>
        <v>427128.31003786373</v>
      </c>
      <c r="CA205" s="17">
        <f t="shared" si="235"/>
        <v>43227.602449313796</v>
      </c>
      <c r="CB205" s="17">
        <f t="shared" si="236"/>
        <v>2873.5496155668206</v>
      </c>
      <c r="CC205" s="17">
        <f>SUMIF('20.01'!$AO:$AO,$B:$B,'20.01'!$D:$D)*1.2</f>
        <v>0</v>
      </c>
      <c r="CD205" s="17">
        <f t="shared" si="237"/>
        <v>45111.81044100273</v>
      </c>
      <c r="CE205" s="17">
        <f>SUMIF('20.01'!$AQ:$AQ,$B:$B,'20.01'!$D:$D)*1.2</f>
        <v>0</v>
      </c>
      <c r="CF205" s="17">
        <f t="shared" si="238"/>
        <v>4104.4616241223684</v>
      </c>
      <c r="CG205" s="17">
        <f>SUMIF('20.01'!$AR:$AR,$B:$B,'20.01'!$D:$D)*1.2</f>
        <v>291263.61599999998</v>
      </c>
      <c r="CH205" s="17">
        <f t="shared" si="239"/>
        <v>2417.2300719022219</v>
      </c>
      <c r="CI205" s="17">
        <f>SUMIF('20.01'!$AT:$AT,$B:$B,'20.01'!$D:$D)*1.2</f>
        <v>0</v>
      </c>
      <c r="CJ205" s="17">
        <f>SUMIF('20.01'!$AU:$AU,$B:$B,'20.01'!$D:$D)*1.2</f>
        <v>0</v>
      </c>
      <c r="CK205" s="17">
        <f>SUMIF('20.01'!$AV:$AV,$B:$B,'20.01'!$D:$D)*1.2</f>
        <v>0</v>
      </c>
      <c r="CL205" s="17">
        <f t="shared" si="240"/>
        <v>2392.9801393860357</v>
      </c>
      <c r="CM205" s="17">
        <f>SUMIF('20.01'!$AW:$AW,$B:$B,'20.01'!$D:$D)*1.2</f>
        <v>0</v>
      </c>
      <c r="CN205" s="17">
        <f>SUMIF('20.01'!$AX:$AX,$B:$B,'20.01'!$D:$D)*1.2</f>
        <v>0</v>
      </c>
      <c r="CO205" s="110">
        <f t="shared" si="285"/>
        <v>802752.51753770176</v>
      </c>
      <c r="CP205" s="17">
        <f t="shared" si="286"/>
        <v>633244.4018975253</v>
      </c>
      <c r="CQ205" s="17">
        <f t="shared" si="241"/>
        <v>195364.61120094763</v>
      </c>
      <c r="CR205" s="17">
        <f t="shared" si="242"/>
        <v>437879.79069657769</v>
      </c>
      <c r="CS205" s="17">
        <f t="shared" si="287"/>
        <v>169508.11564017643</v>
      </c>
      <c r="CT205" s="17">
        <f t="shared" si="243"/>
        <v>6175.3293496664382</v>
      </c>
      <c r="CU205" s="17">
        <f t="shared" si="244"/>
        <v>5972.9854050575887</v>
      </c>
      <c r="CV205" s="17">
        <f t="shared" si="245"/>
        <v>6173.210961997228</v>
      </c>
      <c r="CW205" s="17">
        <f t="shared" si="246"/>
        <v>64.732913917712608</v>
      </c>
      <c r="CX205" s="17">
        <f t="shared" si="247"/>
        <v>91150.450821757899</v>
      </c>
      <c r="CY205" s="17">
        <f t="shared" si="248"/>
        <v>59971.406187779568</v>
      </c>
      <c r="CZ205" s="110">
        <f t="shared" si="288"/>
        <v>199264.19024066106</v>
      </c>
      <c r="DA205" s="17">
        <f t="shared" si="289"/>
        <v>7527.0830136875138</v>
      </c>
      <c r="DB205" s="17">
        <f t="shared" si="249"/>
        <v>7142.9256668964445</v>
      </c>
      <c r="DC205" s="17">
        <f t="shared" si="250"/>
        <v>384.15734679106924</v>
      </c>
      <c r="DD205" s="17">
        <f t="shared" si="251"/>
        <v>13263.583690431904</v>
      </c>
      <c r="DE205" s="17">
        <f t="shared" si="252"/>
        <v>4576.2858650138287</v>
      </c>
      <c r="DF205" s="17">
        <f t="shared" si="253"/>
        <v>5553.9604435265237</v>
      </c>
      <c r="DG205" s="17">
        <f t="shared" si="290"/>
        <v>168343.2772280013</v>
      </c>
      <c r="DH205" s="110">
        <f t="shared" si="291"/>
        <v>124356.42067622776</v>
      </c>
      <c r="DI205" s="17">
        <f t="shared" si="254"/>
        <v>111552.77964011497</v>
      </c>
      <c r="DJ205" s="17">
        <f t="shared" si="255"/>
        <v>12337.081938435036</v>
      </c>
      <c r="DK205" s="17">
        <f t="shared" si="256"/>
        <v>466.55909767775358</v>
      </c>
      <c r="DL205" s="110">
        <f t="shared" si="292"/>
        <v>739303.46256347909</v>
      </c>
      <c r="DM205" s="17">
        <f t="shared" si="257"/>
        <v>391830.83515864389</v>
      </c>
      <c r="DN205" s="17">
        <f t="shared" si="258"/>
        <v>347472.62740483519</v>
      </c>
      <c r="DO205" s="17">
        <f t="shared" si="259"/>
        <v>0</v>
      </c>
      <c r="DP205" s="110">
        <f t="shared" si="293"/>
        <v>0</v>
      </c>
      <c r="DQ205" s="17">
        <f>SUMIF('20.01'!$BB:$BB,$B:$B,'20.01'!$D:$D)*1.2</f>
        <v>0</v>
      </c>
      <c r="DR205" s="17">
        <f t="shared" si="260"/>
        <v>0</v>
      </c>
      <c r="DS205" s="17">
        <f t="shared" si="261"/>
        <v>0</v>
      </c>
      <c r="DT205" s="110">
        <f t="shared" si="294"/>
        <v>15172.044</v>
      </c>
      <c r="DU205" s="17">
        <f>SUMIF('20.01'!$BD:$BD,$B:$B,'20.01'!$D:$D)*1.2</f>
        <v>15172.044</v>
      </c>
      <c r="DV205" s="17">
        <f t="shared" si="262"/>
        <v>0</v>
      </c>
      <c r="DW205" s="17">
        <f t="shared" si="263"/>
        <v>0</v>
      </c>
      <c r="DX205" s="110">
        <f t="shared" si="264"/>
        <v>3573401.3407868226</v>
      </c>
      <c r="DY205" s="110"/>
      <c r="DZ205" s="110">
        <f t="shared" si="295"/>
        <v>3573401.3407868226</v>
      </c>
      <c r="EA205" s="257"/>
      <c r="EB205" s="110">
        <f t="shared" si="265"/>
        <v>7092.4337349397583</v>
      </c>
      <c r="EC205" s="110">
        <f>SUMIF(еирц!$B:$B,$B:$B,еирц!$K:$K)</f>
        <v>2332874.23</v>
      </c>
      <c r="ED205" s="110">
        <f>SUMIF(еирц!$B:$B,$B:$B,еирц!$P:$P)</f>
        <v>2286732.56</v>
      </c>
      <c r="EE205" s="110">
        <f>SUMIF(еирц!$B:$B,$B:$B,еирц!$S:$S)</f>
        <v>500444.50999999995</v>
      </c>
      <c r="EF205" s="177">
        <f t="shared" si="296"/>
        <v>-1233434.6770518827</v>
      </c>
      <c r="EG205" s="181">
        <f t="shared" si="297"/>
        <v>0</v>
      </c>
      <c r="EH205" s="177">
        <f t="shared" si="298"/>
        <v>-1233434.6770518827</v>
      </c>
    </row>
    <row r="206" spans="1:138" ht="12" customHeight="1" x14ac:dyDescent="0.25">
      <c r="A206" s="5">
        <f t="shared" si="299"/>
        <v>202</v>
      </c>
      <c r="B206" s="6" t="s">
        <v>286</v>
      </c>
      <c r="C206" s="7">
        <f t="shared" si="300"/>
        <v>3030.3</v>
      </c>
      <c r="D206" s="8">
        <v>3030.3</v>
      </c>
      <c r="E206" s="8">
        <v>0</v>
      </c>
      <c r="F206" s="8">
        <v>352.32</v>
      </c>
      <c r="G206" s="87">
        <f t="shared" si="232"/>
        <v>3030.3</v>
      </c>
      <c r="H206" s="87">
        <f t="shared" si="233"/>
        <v>3030.3</v>
      </c>
      <c r="I206" s="91">
        <v>1</v>
      </c>
      <c r="J206" s="112">
        <v>4.7759434227820727E-3</v>
      </c>
      <c r="K206" s="17">
        <v>1</v>
      </c>
      <c r="L206" s="112">
        <f t="shared" si="266"/>
        <v>2.4096385542168672E-3</v>
      </c>
      <c r="M206" s="117">
        <f>3.40641586372456/2</f>
        <v>1.7032079318622799</v>
      </c>
      <c r="N206" s="120">
        <f t="shared" si="267"/>
        <v>3030.3</v>
      </c>
      <c r="O206" s="117">
        <f>3.08623205487059/2</f>
        <v>1.5431160274352951</v>
      </c>
      <c r="P206" s="120">
        <f t="shared" si="268"/>
        <v>3030.3</v>
      </c>
      <c r="Q206" s="117">
        <f>1.60092735807001/2</f>
        <v>0.80046367903500504</v>
      </c>
      <c r="R206" s="120">
        <f t="shared" si="269"/>
        <v>3030.3</v>
      </c>
      <c r="S206" s="5" t="s">
        <v>143</v>
      </c>
      <c r="T206" s="87">
        <v>41.34</v>
      </c>
      <c r="U206" s="88">
        <v>4.68</v>
      </c>
      <c r="V206" s="88">
        <v>7.92</v>
      </c>
      <c r="W206" s="88">
        <v>12.32</v>
      </c>
      <c r="X206" s="88">
        <v>6.34</v>
      </c>
      <c r="Y206" s="88">
        <v>2.89</v>
      </c>
      <c r="Z206" s="88">
        <v>1.66</v>
      </c>
      <c r="AA206" s="88">
        <v>5.29</v>
      </c>
      <c r="AB206" s="88">
        <v>0.24</v>
      </c>
      <c r="AC206" s="257"/>
      <c r="AD206" s="110">
        <f t="shared" si="270"/>
        <v>343429.41261104384</v>
      </c>
      <c r="AE206" s="110">
        <f t="shared" si="271"/>
        <v>132968.76887285031</v>
      </c>
      <c r="AF206" s="131">
        <f>SUMIF('20.01'!$I:$I,$B:$B,'20.01'!$D:$D)*1.2/(G206+G207)*G206</f>
        <v>80835.728651602738</v>
      </c>
      <c r="AG206" s="17">
        <f t="shared" si="229"/>
        <v>8083.7142999450698</v>
      </c>
      <c r="AH206" s="17">
        <f t="shared" si="272"/>
        <v>2313.9340399709549</v>
      </c>
      <c r="AI206" s="16">
        <f>SUMIF('20.01'!$J:$J,$B:$B,'20.01'!$D:$D)*1.2</f>
        <v>0</v>
      </c>
      <c r="AJ206" s="17">
        <f t="shared" si="273"/>
        <v>940.33077169925014</v>
      </c>
      <c r="AK206" s="17">
        <f t="shared" si="274"/>
        <v>2287.6158686360509</v>
      </c>
      <c r="AL206" s="17">
        <f t="shared" si="275"/>
        <v>38507.445240996218</v>
      </c>
      <c r="AM206" s="110">
        <f t="shared" si="276"/>
        <v>0</v>
      </c>
      <c r="AN206" s="17">
        <f>SUMIF('20.01'!$K:$K,$B:$B,'20.01'!$D:$D)*1.2</f>
        <v>0</v>
      </c>
      <c r="AO206" s="17">
        <f>SUMIF('20.01'!$L:$L,$B:$B,'20.01'!$D:$D)*1.2</f>
        <v>0</v>
      </c>
      <c r="AP206" s="17">
        <f>SUMIF('20.01'!$M:$M,$B:$B,'20.01'!$D:$D)*1.2</f>
        <v>0</v>
      </c>
      <c r="AQ206" s="110">
        <f t="shared" si="277"/>
        <v>851.24781333800377</v>
      </c>
      <c r="AR206" s="17">
        <f t="shared" si="278"/>
        <v>851.24781333800377</v>
      </c>
      <c r="AS206" s="17">
        <f>(SUMIF('20.01'!$N:$N,$B:$B,'20.01'!$D:$D)+SUMIF('20.01'!$O:$O,$B:$B,'20.01'!$D:$D))*1.2</f>
        <v>0</v>
      </c>
      <c r="AT206" s="110">
        <f>SUMIF('20.01'!$P:$P,$B:$B,'20.01'!$D:$D)*1.2</f>
        <v>0</v>
      </c>
      <c r="AU206" s="110">
        <f t="shared" si="279"/>
        <v>0</v>
      </c>
      <c r="AV206" s="17">
        <f>SUMIF('20.01'!$Q:$Q,$B:$B,'20.01'!$D:$D)*1.2</f>
        <v>0</v>
      </c>
      <c r="AW206" s="17">
        <f>SUMIF('20.01'!$R:$R,$B:$B,'20.01'!$D:$D)*1.2</f>
        <v>0</v>
      </c>
      <c r="AX206" s="110">
        <f t="shared" si="280"/>
        <v>195915.76800000001</v>
      </c>
      <c r="AY206" s="17">
        <f>SUMIF('20.01'!$S:$S,$B:$B,'20.01'!$D:$D)*1.2</f>
        <v>195915.76800000001</v>
      </c>
      <c r="AZ206" s="17">
        <f>SUMIF('20.01'!$T:$T,$B:$B,'20.01'!$D:$D)*1.2</f>
        <v>0</v>
      </c>
      <c r="BA206" s="110">
        <f t="shared" si="281"/>
        <v>0</v>
      </c>
      <c r="BB206" s="17">
        <f>SUMIF('20.01'!$U:$U,$B:$B,'20.01'!$D:$D)*1.2</f>
        <v>0</v>
      </c>
      <c r="BC206" s="17">
        <f>SUMIF('20.01'!$V:$V,$B:$B,'20.01'!$D:$D)*1.2</f>
        <v>0</v>
      </c>
      <c r="BD206" s="17">
        <f>SUMIF('20.01'!$W:$W,$B:$B,'20.01'!$D:$D)*1.2</f>
        <v>0</v>
      </c>
      <c r="BE206" s="110">
        <f>SUMIF('20.01'!$X:$X,$B:$B,'20.01'!$D:$D)*1.2</f>
        <v>0</v>
      </c>
      <c r="BF206" s="110">
        <f t="shared" si="282"/>
        <v>0</v>
      </c>
      <c r="BG206" s="17">
        <f>SUMIF('20.01'!$Y:$Y,$B:$B,'20.01'!$D:$D)*1.2</f>
        <v>0</v>
      </c>
      <c r="BH206" s="17">
        <f>SUMIF('20.01'!$Z:$Z,$B:$B,'20.01'!$D:$D)*1.2</f>
        <v>0</v>
      </c>
      <c r="BI206" s="17">
        <f>SUMIF('20.01'!$AA:$AA,$B:$B,'20.01'!$D:$D)*1.2</f>
        <v>0</v>
      </c>
      <c r="BJ206" s="17">
        <f>SUMIF('20.01'!$AB:$AB,$B:$B,'20.01'!$D:$D)*1.2</f>
        <v>0</v>
      </c>
      <c r="BK206" s="17">
        <f>SUMIF('20.01'!$AC:$AC,$B:$B,'20.01'!$D:$D)*1.2</f>
        <v>0</v>
      </c>
      <c r="BL206" s="17">
        <f>SUMIF('20.01'!$AD:$AD,$B:$B,'20.01'!$D:$D)*1.2</f>
        <v>0</v>
      </c>
      <c r="BM206" s="110">
        <f t="shared" si="283"/>
        <v>0</v>
      </c>
      <c r="BN206" s="17">
        <f>SUMIF('20.01'!$AE:$AE,$B:$B,'20.01'!$D:$D)*1.2</f>
        <v>0</v>
      </c>
      <c r="BO206" s="17">
        <f>SUMIF('20.01'!$AF:$AF,$B:$B,'20.01'!$D:$D)*1.2</f>
        <v>0</v>
      </c>
      <c r="BP206" s="110">
        <f>SUMIF('20.01'!$AG:$AG,$B:$B,'20.01'!$D:$D)*1.2</f>
        <v>0</v>
      </c>
      <c r="BQ206" s="110">
        <f>SUMIF('20.01'!$AH:$AH,$B:$B,'20.01'!$D:$D)*1.2</f>
        <v>0</v>
      </c>
      <c r="BR206" s="110">
        <f>SUMIF('20.01'!$AI:$AI,$B:$B,'20.01'!$D:$D)*1.2</f>
        <v>0</v>
      </c>
      <c r="BS206" s="110">
        <f t="shared" si="284"/>
        <v>0</v>
      </c>
      <c r="BT206" s="17">
        <f>SUMIF('20.01'!$AJ:$AJ,$B:$B,'20.01'!$D:$D)*1.2</f>
        <v>0</v>
      </c>
      <c r="BU206" s="17">
        <f>SUMIF('20.01'!$AK:$AK,$B:$B,'20.01'!$D:$D)*1.2</f>
        <v>0</v>
      </c>
      <c r="BV206" s="110">
        <f>SUMIF('20.01'!$AL:$AL,$B:$B,'20.01'!$D:$D)*1.2</f>
        <v>0</v>
      </c>
      <c r="BW206" s="141">
        <f>SUMIF('20.01'!$AM:$AM,$B:$B,'20.01'!$D:$D)*1.2/(G206+G207)*G206</f>
        <v>13693.627924855491</v>
      </c>
      <c r="BX206" s="110">
        <f>SUMIF('20.01'!$AN:$AN,$B:$B,'20.01'!$D:$D)*1.2</f>
        <v>0</v>
      </c>
      <c r="BY206" s="110">
        <f t="shared" si="234"/>
        <v>229243.68843857729</v>
      </c>
      <c r="BZ206" s="17">
        <f t="shared" si="230"/>
        <v>185709.55960470476</v>
      </c>
      <c r="CA206" s="17">
        <f t="shared" si="235"/>
        <v>18794.771559201221</v>
      </c>
      <c r="CB206" s="17">
        <f t="shared" si="236"/>
        <v>1249.3801536167828</v>
      </c>
      <c r="CC206" s="17">
        <f>SUMIF('20.01'!$AO:$AO,$B:$B,'20.01'!$D:$D)*1.2</f>
        <v>0</v>
      </c>
      <c r="CD206" s="17">
        <f t="shared" si="237"/>
        <v>19613.999477643803</v>
      </c>
      <c r="CE206" s="17">
        <f>SUMIF('20.01'!$AQ:$AQ,$B:$B,'20.01'!$D:$D)*1.2</f>
        <v>0</v>
      </c>
      <c r="CF206" s="17">
        <f t="shared" si="238"/>
        <v>1784.5638950099237</v>
      </c>
      <c r="CG206" s="17">
        <f>SUMIF('20.01'!$AR:$AR,$B:$B,'20.01'!$D:$D)*1.2</f>
        <v>0</v>
      </c>
      <c r="CH206" s="17">
        <f t="shared" si="239"/>
        <v>1050.978644043558</v>
      </c>
      <c r="CI206" s="17">
        <f>SUMIF('20.01'!$AT:$AT,$B:$B,'20.01'!$D:$D)*1.2</f>
        <v>0</v>
      </c>
      <c r="CJ206" s="17">
        <f>SUMIF('20.01'!$AU:$AU,$B:$B,'20.01'!$D:$D)*1.2</f>
        <v>0</v>
      </c>
      <c r="CK206" s="17">
        <f>SUMIF('20.01'!$AV:$AV,$B:$B,'20.01'!$D:$D)*1.2</f>
        <v>0</v>
      </c>
      <c r="CL206" s="17">
        <f t="shared" si="240"/>
        <v>1040.4351043572619</v>
      </c>
      <c r="CM206" s="17">
        <f>SUMIF('20.01'!$AW:$AW,$B:$B,'20.01'!$D:$D)*1.2</f>
        <v>0</v>
      </c>
      <c r="CN206" s="17">
        <f>SUMIF('20.01'!$AX:$AX,$B:$B,'20.01'!$D:$D)*1.2</f>
        <v>0</v>
      </c>
      <c r="CO206" s="110">
        <f t="shared" si="285"/>
        <v>349025.83837226621</v>
      </c>
      <c r="CP206" s="17">
        <f t="shared" si="286"/>
        <v>275326.02319923311</v>
      </c>
      <c r="CQ206" s="17">
        <f t="shared" si="241"/>
        <v>84941.866544168282</v>
      </c>
      <c r="CR206" s="17">
        <f t="shared" si="242"/>
        <v>190384.15665506481</v>
      </c>
      <c r="CS206" s="17">
        <f t="shared" si="287"/>
        <v>73699.815173033101</v>
      </c>
      <c r="CT206" s="17">
        <f t="shared" si="243"/>
        <v>2684.9489181339909</v>
      </c>
      <c r="CU206" s="17">
        <f t="shared" si="244"/>
        <v>2596.9725326805024</v>
      </c>
      <c r="CV206" s="17">
        <f t="shared" si="245"/>
        <v>2684.0278720879301</v>
      </c>
      <c r="CW206" s="17">
        <f t="shared" si="246"/>
        <v>28.144987473487767</v>
      </c>
      <c r="CX206" s="17">
        <f t="shared" si="247"/>
        <v>39630.971963385862</v>
      </c>
      <c r="CY206" s="17">
        <f t="shared" si="248"/>
        <v>26074.74889927133</v>
      </c>
      <c r="CZ206" s="110">
        <f t="shared" si="288"/>
        <v>86637.350287787922</v>
      </c>
      <c r="DA206" s="17">
        <f t="shared" si="289"/>
        <v>3272.6729620334613</v>
      </c>
      <c r="DB206" s="17">
        <f t="shared" si="249"/>
        <v>3105.646590765406</v>
      </c>
      <c r="DC206" s="17">
        <f t="shared" si="250"/>
        <v>167.02637126805544</v>
      </c>
      <c r="DD206" s="17">
        <f t="shared" si="251"/>
        <v>5766.8251624714367</v>
      </c>
      <c r="DE206" s="17">
        <f t="shared" si="252"/>
        <v>1989.7066353237412</v>
      </c>
      <c r="DF206" s="17">
        <f t="shared" si="253"/>
        <v>2414.7861984091592</v>
      </c>
      <c r="DG206" s="17">
        <f t="shared" si="290"/>
        <v>73193.35932955012</v>
      </c>
      <c r="DH206" s="110">
        <f t="shared" si="291"/>
        <v>54068.474449170622</v>
      </c>
      <c r="DI206" s="17">
        <f t="shared" si="254"/>
        <v>48501.62607533548</v>
      </c>
      <c r="DJ206" s="17">
        <f t="shared" si="255"/>
        <v>5363.994845930084</v>
      </c>
      <c r="DK206" s="17">
        <f t="shared" si="256"/>
        <v>202.85352790505331</v>
      </c>
      <c r="DL206" s="110">
        <f t="shared" si="292"/>
        <v>409143.72081887838</v>
      </c>
      <c r="DM206" s="17">
        <f t="shared" si="257"/>
        <v>170362.69927976644</v>
      </c>
      <c r="DN206" s="17">
        <f t="shared" si="258"/>
        <v>151076.35596507593</v>
      </c>
      <c r="DO206" s="17">
        <f t="shared" si="259"/>
        <v>87704.665574036</v>
      </c>
      <c r="DP206" s="110">
        <f t="shared" si="293"/>
        <v>134361.52109119768</v>
      </c>
      <c r="DQ206" s="108">
        <f>SUMIF('20.01'!$BB:$BB,$B:$B,'20.01'!$D:$D)*1.2/2</f>
        <v>2459.424</v>
      </c>
      <c r="DR206" s="17">
        <f t="shared" si="260"/>
        <v>130931.49152754611</v>
      </c>
      <c r="DS206" s="17">
        <f t="shared" si="261"/>
        <v>970.60556365157083</v>
      </c>
      <c r="DT206" s="110">
        <f t="shared" si="294"/>
        <v>6700.531922687861</v>
      </c>
      <c r="DU206" s="108">
        <f>(SUMIF('20.01'!$BD:$BD,$B:$B,'20.01'!$D:$D)/(G206+G207)*G206)*1.2</f>
        <v>6700.531922687861</v>
      </c>
      <c r="DV206" s="17">
        <f t="shared" si="262"/>
        <v>0</v>
      </c>
      <c r="DW206" s="17">
        <f t="shared" si="263"/>
        <v>0</v>
      </c>
      <c r="DX206" s="110">
        <f t="shared" si="264"/>
        <v>1612610.5379916097</v>
      </c>
      <c r="DY206" s="110"/>
      <c r="DZ206" s="110">
        <f t="shared" si="295"/>
        <v>1612610.5379916097</v>
      </c>
      <c r="EA206" s="257"/>
      <c r="EB206" s="110">
        <f t="shared" si="265"/>
        <v>886.55421686746979</v>
      </c>
      <c r="EC206" s="110">
        <f>SUMIF(еирц!$B:$B,$B:$B,еирц!$K:$K)</f>
        <v>1473969.2998472806</v>
      </c>
      <c r="ED206" s="110">
        <f>SUMIF(еирц!$B:$B,$B:$B,еирц!$P:$P)</f>
        <v>1422404.7614104375</v>
      </c>
      <c r="EE206" s="110">
        <f>SUMIF(еирц!$B:$B,$B:$B,еирц!$S:$S)</f>
        <v>293729.25411357061</v>
      </c>
      <c r="EF206" s="177">
        <f t="shared" si="296"/>
        <v>-137754.6839274615</v>
      </c>
      <c r="EG206" s="181">
        <f t="shared" si="297"/>
        <v>0</v>
      </c>
      <c r="EH206" s="177">
        <f t="shared" si="298"/>
        <v>-137754.6839274615</v>
      </c>
    </row>
    <row r="207" spans="1:138" ht="12" customHeight="1" x14ac:dyDescent="0.25">
      <c r="A207" s="5">
        <f t="shared" si="299"/>
        <v>203</v>
      </c>
      <c r="B207" s="6" t="s">
        <v>287</v>
      </c>
      <c r="C207" s="7">
        <f t="shared" si="300"/>
        <v>3059.3</v>
      </c>
      <c r="D207" s="8">
        <v>3059.3</v>
      </c>
      <c r="E207" s="8">
        <v>0</v>
      </c>
      <c r="F207" s="8">
        <v>361.28</v>
      </c>
      <c r="G207" s="87">
        <f t="shared" si="232"/>
        <v>3059.3</v>
      </c>
      <c r="H207" s="87">
        <f t="shared" si="233"/>
        <v>3059.3</v>
      </c>
      <c r="I207" s="91">
        <v>1</v>
      </c>
      <c r="J207" s="112">
        <v>4.7762111185672747E-3</v>
      </c>
      <c r="K207" s="17">
        <v>1</v>
      </c>
      <c r="L207" s="112">
        <f t="shared" si="266"/>
        <v>2.4096385542168672E-3</v>
      </c>
      <c r="M207" s="117">
        <f>M206</f>
        <v>1.7032079318622799</v>
      </c>
      <c r="N207" s="120">
        <f t="shared" si="267"/>
        <v>3059.3</v>
      </c>
      <c r="O207" s="117">
        <f>O206</f>
        <v>1.5431160274352951</v>
      </c>
      <c r="P207" s="120">
        <f t="shared" si="268"/>
        <v>3059.3</v>
      </c>
      <c r="Q207" s="117">
        <f>Q206</f>
        <v>0.80046367903500504</v>
      </c>
      <c r="R207" s="120">
        <f t="shared" si="269"/>
        <v>3059.3</v>
      </c>
      <c r="S207" s="5" t="s">
        <v>143</v>
      </c>
      <c r="T207" s="87">
        <v>41.34</v>
      </c>
      <c r="U207" s="88">
        <v>4.68</v>
      </c>
      <c r="V207" s="88">
        <v>7.92</v>
      </c>
      <c r="W207" s="88">
        <v>12.32</v>
      </c>
      <c r="X207" s="88">
        <v>6.34</v>
      </c>
      <c r="Y207" s="88">
        <v>2.89</v>
      </c>
      <c r="Z207" s="88">
        <v>1.66</v>
      </c>
      <c r="AA207" s="88">
        <v>5.29</v>
      </c>
      <c r="AB207" s="88">
        <v>0.24</v>
      </c>
      <c r="AC207" s="257"/>
      <c r="AD207" s="110">
        <f t="shared" si="270"/>
        <v>148925.35160167844</v>
      </c>
      <c r="AE207" s="110">
        <f t="shared" si="271"/>
        <v>134241.28126347586</v>
      </c>
      <c r="AF207" s="131">
        <f>162445.056/(G206+G207)*G207</f>
        <v>81609.327348397273</v>
      </c>
      <c r="AG207" s="17">
        <f t="shared" si="229"/>
        <v>8161.0755231567673</v>
      </c>
      <c r="AH207" s="17">
        <f t="shared" si="272"/>
        <v>2336.078410877848</v>
      </c>
      <c r="AI207" s="16">
        <f>SUMIF('20.01'!$J:$J,$B:$B,'20.01'!$D:$D)*1.2</f>
        <v>0</v>
      </c>
      <c r="AJ207" s="17">
        <f t="shared" si="273"/>
        <v>949.32974618338642</v>
      </c>
      <c r="AK207" s="17">
        <f t="shared" si="274"/>
        <v>2309.5083743914038</v>
      </c>
      <c r="AL207" s="17">
        <f t="shared" si="275"/>
        <v>38875.961860469171</v>
      </c>
      <c r="AM207" s="110">
        <f t="shared" si="276"/>
        <v>0</v>
      </c>
      <c r="AN207" s="17">
        <f>SUMIF('20.01'!$K:$K,$B:$B,'20.01'!$D:$D)*1.2</f>
        <v>0</v>
      </c>
      <c r="AO207" s="17">
        <f>SUMIF('20.01'!$L:$L,$B:$B,'20.01'!$D:$D)*1.2</f>
        <v>0</v>
      </c>
      <c r="AP207" s="17">
        <f>SUMIF('20.01'!$M:$M,$B:$B,'20.01'!$D:$D)*1.2</f>
        <v>0</v>
      </c>
      <c r="AQ207" s="110">
        <f t="shared" si="277"/>
        <v>859.39426305809809</v>
      </c>
      <c r="AR207" s="17">
        <f t="shared" si="278"/>
        <v>859.39426305809809</v>
      </c>
      <c r="AS207" s="17">
        <f>(SUMIF('20.01'!$N:$N,$B:$B,'20.01'!$D:$D)+SUMIF('20.01'!$O:$O,$B:$B,'20.01'!$D:$D))*1.2</f>
        <v>0</v>
      </c>
      <c r="AT207" s="110">
        <f>SUMIF('20.01'!$P:$P,$B:$B,'20.01'!$D:$D)*1.2</f>
        <v>0</v>
      </c>
      <c r="AU207" s="110">
        <f t="shared" si="279"/>
        <v>0</v>
      </c>
      <c r="AV207" s="17">
        <f>SUMIF('20.01'!$Q:$Q,$B:$B,'20.01'!$D:$D)*1.2</f>
        <v>0</v>
      </c>
      <c r="AW207" s="17">
        <f>SUMIF('20.01'!$R:$R,$B:$B,'20.01'!$D:$D)*1.2</f>
        <v>0</v>
      </c>
      <c r="AX207" s="110">
        <f t="shared" si="280"/>
        <v>0</v>
      </c>
      <c r="AY207" s="17">
        <f>SUMIF('20.01'!$S:$S,$B:$B,'20.01'!$D:$D)*1.2</f>
        <v>0</v>
      </c>
      <c r="AZ207" s="17">
        <f>SUMIF('20.01'!$T:$T,$B:$B,'20.01'!$D:$D)*1.2</f>
        <v>0</v>
      </c>
      <c r="BA207" s="110">
        <f t="shared" si="281"/>
        <v>0</v>
      </c>
      <c r="BB207" s="17">
        <f>SUMIF('20.01'!$U:$U,$B:$B,'20.01'!$D:$D)*1.2</f>
        <v>0</v>
      </c>
      <c r="BC207" s="17">
        <f>SUMIF('20.01'!$V:$V,$B:$B,'20.01'!$D:$D)*1.2</f>
        <v>0</v>
      </c>
      <c r="BD207" s="17">
        <f>SUMIF('20.01'!$W:$W,$B:$B,'20.01'!$D:$D)*1.2</f>
        <v>0</v>
      </c>
      <c r="BE207" s="110">
        <f>SUMIF('20.01'!$X:$X,$B:$B,'20.01'!$D:$D)*1.2</f>
        <v>0</v>
      </c>
      <c r="BF207" s="110">
        <f t="shared" si="282"/>
        <v>0</v>
      </c>
      <c r="BG207" s="17">
        <f>SUMIF('20.01'!$Y:$Y,$B:$B,'20.01'!$D:$D)*1.2</f>
        <v>0</v>
      </c>
      <c r="BH207" s="17">
        <f>SUMIF('20.01'!$Z:$Z,$B:$B,'20.01'!$D:$D)*1.2</f>
        <v>0</v>
      </c>
      <c r="BI207" s="17">
        <f>SUMIF('20.01'!$AA:$AA,$B:$B,'20.01'!$D:$D)*1.2</f>
        <v>0</v>
      </c>
      <c r="BJ207" s="17">
        <f>SUMIF('20.01'!$AB:$AB,$B:$B,'20.01'!$D:$D)*1.2</f>
        <v>0</v>
      </c>
      <c r="BK207" s="17">
        <f>SUMIF('20.01'!$AC:$AC,$B:$B,'20.01'!$D:$D)*1.2</f>
        <v>0</v>
      </c>
      <c r="BL207" s="17">
        <f>SUMIF('20.01'!$AD:$AD,$B:$B,'20.01'!$D:$D)*1.2</f>
        <v>0</v>
      </c>
      <c r="BM207" s="110">
        <f t="shared" si="283"/>
        <v>0</v>
      </c>
      <c r="BN207" s="17">
        <f>SUMIF('20.01'!$AE:$AE,$B:$B,'20.01'!$D:$D)*1.2</f>
        <v>0</v>
      </c>
      <c r="BO207" s="17">
        <f>SUMIF('20.01'!$AF:$AF,$B:$B,'20.01'!$D:$D)*1.2</f>
        <v>0</v>
      </c>
      <c r="BP207" s="110">
        <f>SUMIF('20.01'!$AG:$AG,$B:$B,'20.01'!$D:$D)*1.2</f>
        <v>0</v>
      </c>
      <c r="BQ207" s="110">
        <f>SUMIF('20.01'!$AH:$AH,$B:$B,'20.01'!$D:$D)*1.2</f>
        <v>0</v>
      </c>
      <c r="BR207" s="110">
        <f>SUMIF('20.01'!$AI:$AI,$B:$B,'20.01'!$D:$D)*1.2</f>
        <v>0</v>
      </c>
      <c r="BS207" s="110">
        <f t="shared" si="284"/>
        <v>0</v>
      </c>
      <c r="BT207" s="17">
        <f>SUMIF('20.01'!$AJ:$AJ,$B:$B,'20.01'!$D:$D)*1.2</f>
        <v>0</v>
      </c>
      <c r="BU207" s="17">
        <f>SUMIF('20.01'!$AK:$AK,$B:$B,'20.01'!$D:$D)*1.2</f>
        <v>0</v>
      </c>
      <c r="BV207" s="110">
        <f>SUMIF('20.01'!$AL:$AL,$B:$B,'20.01'!$D:$D)*1.2</f>
        <v>0</v>
      </c>
      <c r="BW207" s="141">
        <f>27518.304/(G206+G207)*G207</f>
        <v>13824.676075144507</v>
      </c>
      <c r="BX207" s="110">
        <f>SUMIF('20.01'!$AN:$AN,$B:$B,'20.01'!$D:$D)*1.2</f>
        <v>0</v>
      </c>
      <c r="BY207" s="110">
        <f t="shared" si="234"/>
        <v>231437.55273079881</v>
      </c>
      <c r="BZ207" s="17">
        <f t="shared" si="230"/>
        <v>187486.80186736406</v>
      </c>
      <c r="CA207" s="17">
        <f t="shared" si="235"/>
        <v>18974.637702888918</v>
      </c>
      <c r="CB207" s="17">
        <f t="shared" si="236"/>
        <v>1261.3367336434753</v>
      </c>
      <c r="CC207" s="17">
        <f>SUMIF('20.01'!$AO:$AO,$B:$B,'20.01'!$D:$D)*1.2</f>
        <v>0</v>
      </c>
      <c r="CD207" s="17">
        <f t="shared" si="237"/>
        <v>19801.705640351018</v>
      </c>
      <c r="CE207" s="17">
        <f>SUMIF('20.01'!$AQ:$AQ,$B:$B,'20.01'!$D:$D)*1.2</f>
        <v>0</v>
      </c>
      <c r="CF207" s="17">
        <f t="shared" si="238"/>
        <v>1801.6421885634622</v>
      </c>
      <c r="CG207" s="17">
        <f>SUMIF('20.01'!$AR:$AR,$B:$B,'20.01'!$D:$D)*1.2</f>
        <v>0</v>
      </c>
      <c r="CH207" s="17">
        <f t="shared" si="239"/>
        <v>1061.0365197249305</v>
      </c>
      <c r="CI207" s="17">
        <f>SUMIF('20.01'!$AT:$AT,$B:$B,'20.01'!$D:$D)*1.2</f>
        <v>0</v>
      </c>
      <c r="CJ207" s="17">
        <f>SUMIF('20.01'!$AU:$AU,$B:$B,'20.01'!$D:$D)*1.2</f>
        <v>0</v>
      </c>
      <c r="CK207" s="17">
        <f>SUMIF('20.01'!$AV:$AV,$B:$B,'20.01'!$D:$D)*1.2</f>
        <v>0</v>
      </c>
      <c r="CL207" s="17">
        <f t="shared" si="240"/>
        <v>1050.3920782629348</v>
      </c>
      <c r="CM207" s="17">
        <f>SUMIF('20.01'!$AW:$AW,$B:$B,'20.01'!$D:$D)*1.2</f>
        <v>0</v>
      </c>
      <c r="CN207" s="17">
        <f>SUMIF('20.01'!$AX:$AX,$B:$B,'20.01'!$D:$D)*1.2</f>
        <v>0</v>
      </c>
      <c r="CO207" s="110">
        <f t="shared" si="285"/>
        <v>352366.01898566936</v>
      </c>
      <c r="CP207" s="17">
        <f t="shared" si="286"/>
        <v>277960.89587612241</v>
      </c>
      <c r="CQ207" s="17">
        <f t="shared" si="241"/>
        <v>85754.761019890459</v>
      </c>
      <c r="CR207" s="17">
        <f t="shared" si="242"/>
        <v>192206.13485623198</v>
      </c>
      <c r="CS207" s="17">
        <f t="shared" si="287"/>
        <v>74405.123109546956</v>
      </c>
      <c r="CT207" s="17">
        <f t="shared" si="243"/>
        <v>2710.6439049755204</v>
      </c>
      <c r="CU207" s="17">
        <f t="shared" si="244"/>
        <v>2621.8255846713068</v>
      </c>
      <c r="CV207" s="17">
        <f t="shared" si="245"/>
        <v>2709.714044509984</v>
      </c>
      <c r="CW207" s="17">
        <f t="shared" si="246"/>
        <v>28.414335272956844</v>
      </c>
      <c r="CX207" s="17">
        <f t="shared" si="247"/>
        <v>40010.240744344243</v>
      </c>
      <c r="CY207" s="17">
        <f t="shared" si="248"/>
        <v>26324.284495772954</v>
      </c>
      <c r="CZ207" s="110">
        <f t="shared" si="288"/>
        <v>87466.470559162321</v>
      </c>
      <c r="DA207" s="17">
        <f t="shared" si="289"/>
        <v>3303.9924735996333</v>
      </c>
      <c r="DB207" s="17">
        <f t="shared" si="249"/>
        <v>3135.3676583600986</v>
      </c>
      <c r="DC207" s="17">
        <f t="shared" si="250"/>
        <v>168.62481523953471</v>
      </c>
      <c r="DD207" s="17">
        <f t="shared" si="251"/>
        <v>5822.0137344648601</v>
      </c>
      <c r="DE207" s="17">
        <f t="shared" si="252"/>
        <v>2008.7481468653009</v>
      </c>
      <c r="DF207" s="17">
        <f t="shared" si="253"/>
        <v>2437.8957254374618</v>
      </c>
      <c r="DG207" s="17">
        <f t="shared" si="290"/>
        <v>73893.820478795067</v>
      </c>
      <c r="DH207" s="110">
        <f t="shared" si="291"/>
        <v>54585.910267084997</v>
      </c>
      <c r="DI207" s="17">
        <f t="shared" si="254"/>
        <v>48965.787101037466</v>
      </c>
      <c r="DJ207" s="17">
        <f t="shared" si="255"/>
        <v>5415.3283279391171</v>
      </c>
      <c r="DK207" s="17">
        <f t="shared" si="256"/>
        <v>204.79483810841487</v>
      </c>
      <c r="DL207" s="110">
        <f t="shared" si="292"/>
        <v>413059.23014262435</v>
      </c>
      <c r="DM207" s="17">
        <f t="shared" si="257"/>
        <v>171993.07194224649</v>
      </c>
      <c r="DN207" s="17">
        <f t="shared" si="258"/>
        <v>152522.15813746388</v>
      </c>
      <c r="DO207" s="17">
        <f t="shared" si="259"/>
        <v>88544.000062914012</v>
      </c>
      <c r="DP207" s="110">
        <f t="shared" si="293"/>
        <v>134368.91431852995</v>
      </c>
      <c r="DQ207" s="108">
        <f>DQ206</f>
        <v>2459.424</v>
      </c>
      <c r="DR207" s="17">
        <f t="shared" si="260"/>
        <v>130938.83035159184</v>
      </c>
      <c r="DS207" s="17">
        <f t="shared" si="261"/>
        <v>970.65996693810143</v>
      </c>
      <c r="DT207" s="110">
        <f t="shared" si="294"/>
        <v>6764.6560773121391</v>
      </c>
      <c r="DU207" s="108">
        <f>(11220.99/(G206+G207)*G207)*1.2</f>
        <v>6764.6560773121391</v>
      </c>
      <c r="DV207" s="17">
        <f t="shared" si="262"/>
        <v>0</v>
      </c>
      <c r="DW207" s="17">
        <f t="shared" si="263"/>
        <v>0</v>
      </c>
      <c r="DX207" s="110">
        <f t="shared" si="264"/>
        <v>1428974.1046828602</v>
      </c>
      <c r="DY207" s="110">
        <f>EC207*EG207</f>
        <v>119046.01601221756</v>
      </c>
      <c r="DZ207" s="110">
        <f t="shared" si="295"/>
        <v>1548020.1206950778</v>
      </c>
      <c r="EA207" s="257"/>
      <c r="EB207" s="110">
        <f t="shared" si="265"/>
        <v>886.55421686746979</v>
      </c>
      <c r="EC207" s="110">
        <f>SUMIF(еирц!$B:$B,$B:$B,еирц!$K:$K)</f>
        <v>1488075.2001527194</v>
      </c>
      <c r="ED207" s="110">
        <f>SUMIF(еирц!$B:$B,$B:$B,еирц!$P:$P)</f>
        <v>1436017.1885895624</v>
      </c>
      <c r="EE207" s="110">
        <f>SUMIF(еирц!$B:$B,$B:$B,еирц!$S:$S)</f>
        <v>296540.24588642927</v>
      </c>
      <c r="EF207" s="177">
        <f t="shared" si="296"/>
        <v>59987.649686726741</v>
      </c>
      <c r="EG207" s="182">
        <v>0.08</v>
      </c>
      <c r="EH207" s="177">
        <f t="shared" si="298"/>
        <v>-59058.366325490875</v>
      </c>
    </row>
    <row r="208" spans="1:138" ht="12" customHeight="1" x14ac:dyDescent="0.25">
      <c r="A208" s="5">
        <f t="shared" si="299"/>
        <v>204</v>
      </c>
      <c r="B208" s="6" t="s">
        <v>288</v>
      </c>
      <c r="C208" s="7">
        <f t="shared" si="300"/>
        <v>6991.3</v>
      </c>
      <c r="D208" s="8">
        <v>6991.3</v>
      </c>
      <c r="E208" s="8">
        <v>0</v>
      </c>
      <c r="F208" s="8">
        <v>619.5</v>
      </c>
      <c r="G208" s="87">
        <f t="shared" si="232"/>
        <v>6991.3</v>
      </c>
      <c r="H208" s="87">
        <f t="shared" si="233"/>
        <v>6991.3</v>
      </c>
      <c r="I208" s="91">
        <v>0</v>
      </c>
      <c r="J208" s="112">
        <v>0</v>
      </c>
      <c r="K208" s="17">
        <v>6</v>
      </c>
      <c r="L208" s="112">
        <f t="shared" si="266"/>
        <v>1.4457831325301205E-2</v>
      </c>
      <c r="M208" s="116">
        <v>3.4064182502981373</v>
      </c>
      <c r="N208" s="120">
        <f t="shared" si="267"/>
        <v>6991.3</v>
      </c>
      <c r="O208" s="116">
        <v>3.0862324527913385</v>
      </c>
      <c r="P208" s="120">
        <f t="shared" si="268"/>
        <v>6991.3</v>
      </c>
      <c r="Q208" s="116">
        <v>0</v>
      </c>
      <c r="R208" s="120">
        <f t="shared" si="269"/>
        <v>0</v>
      </c>
      <c r="S208" s="5" t="s">
        <v>143</v>
      </c>
      <c r="T208" s="87">
        <v>28.44</v>
      </c>
      <c r="U208" s="88">
        <v>4.68</v>
      </c>
      <c r="V208" s="88">
        <v>6.05</v>
      </c>
      <c r="W208" s="88">
        <v>8.24</v>
      </c>
      <c r="X208" s="88">
        <v>6.34</v>
      </c>
      <c r="Y208" s="88">
        <v>2.89</v>
      </c>
      <c r="Z208" s="88">
        <v>0</v>
      </c>
      <c r="AA208" s="88">
        <v>0</v>
      </c>
      <c r="AB208" s="88">
        <v>0.24</v>
      </c>
      <c r="AC208" s="257"/>
      <c r="AD208" s="110">
        <f t="shared" si="270"/>
        <v>857616.22971065494</v>
      </c>
      <c r="AE208" s="110">
        <f t="shared" si="271"/>
        <v>139792.70923037583</v>
      </c>
      <c r="AF208" s="16">
        <f>SUMIF('20.01'!$I:$I,$B:$B,'20.01'!$D:$D)*1.2</f>
        <v>19514.939999999999</v>
      </c>
      <c r="AG208" s="17">
        <f t="shared" si="229"/>
        <v>18650.190339308308</v>
      </c>
      <c r="AH208" s="17">
        <f t="shared" si="272"/>
        <v>5338.5496662538153</v>
      </c>
      <c r="AI208" s="16">
        <f>SUMIF('20.01'!$J:$J,$B:$B,'20.01'!$D:$D)*1.2</f>
        <v>0</v>
      </c>
      <c r="AJ208" s="17">
        <f t="shared" si="273"/>
        <v>2169.4665624462818</v>
      </c>
      <c r="AK208" s="17">
        <f t="shared" si="274"/>
        <v>5277.8301892206127</v>
      </c>
      <c r="AL208" s="17">
        <f t="shared" si="275"/>
        <v>88841.732473146825</v>
      </c>
      <c r="AM208" s="110">
        <f t="shared" si="276"/>
        <v>46947.6</v>
      </c>
      <c r="AN208" s="17">
        <f>SUMIF('20.01'!$K:$K,$B:$B,'20.01'!$D:$D)*1.2</f>
        <v>46947.6</v>
      </c>
      <c r="AO208" s="17">
        <f>SUMIF('20.01'!$L:$L,$B:$B,'20.01'!$D:$D)*1.2</f>
        <v>0</v>
      </c>
      <c r="AP208" s="17">
        <f>SUMIF('20.01'!$M:$M,$B:$B,'20.01'!$D:$D)*1.2</f>
        <v>0</v>
      </c>
      <c r="AQ208" s="110">
        <f t="shared" si="277"/>
        <v>1963.9404802791755</v>
      </c>
      <c r="AR208" s="17">
        <f t="shared" si="278"/>
        <v>1963.9404802791755</v>
      </c>
      <c r="AS208" s="17">
        <f>(SUMIF('20.01'!$N:$N,$B:$B,'20.01'!$D:$D)+SUMIF('20.01'!$O:$O,$B:$B,'20.01'!$D:$D))*1.2</f>
        <v>0</v>
      </c>
      <c r="AT208" s="110">
        <f>SUMIF('20.01'!$P:$P,$B:$B,'20.01'!$D:$D)*1.2</f>
        <v>0</v>
      </c>
      <c r="AU208" s="110">
        <f t="shared" si="279"/>
        <v>0</v>
      </c>
      <c r="AV208" s="17">
        <f>SUMIF('20.01'!$Q:$Q,$B:$B,'20.01'!$D:$D)*1.2</f>
        <v>0</v>
      </c>
      <c r="AW208" s="17">
        <f>SUMIF('20.01'!$R:$R,$B:$B,'20.01'!$D:$D)*1.2</f>
        <v>0</v>
      </c>
      <c r="AX208" s="110">
        <f t="shared" si="280"/>
        <v>47036.4</v>
      </c>
      <c r="AY208" s="17">
        <f>SUMIF('20.01'!$S:$S,$B:$B,'20.01'!$D:$D)*1.2</f>
        <v>47036.4</v>
      </c>
      <c r="AZ208" s="17">
        <f>SUMIF('20.01'!$T:$T,$B:$B,'20.01'!$D:$D)*1.2</f>
        <v>0</v>
      </c>
      <c r="BA208" s="110">
        <f t="shared" si="281"/>
        <v>0</v>
      </c>
      <c r="BB208" s="17">
        <f>SUMIF('20.01'!$U:$U,$B:$B,'20.01'!$D:$D)*1.2</f>
        <v>0</v>
      </c>
      <c r="BC208" s="17">
        <f>SUMIF('20.01'!$V:$V,$B:$B,'20.01'!$D:$D)*1.2</f>
        <v>0</v>
      </c>
      <c r="BD208" s="17">
        <f>SUMIF('20.01'!$W:$W,$B:$B,'20.01'!$D:$D)*1.2</f>
        <v>0</v>
      </c>
      <c r="BE208" s="110">
        <f>SUMIF('20.01'!$X:$X,$B:$B,'20.01'!$D:$D)*1.2</f>
        <v>0</v>
      </c>
      <c r="BF208" s="110">
        <f t="shared" si="282"/>
        <v>139055.66399999999</v>
      </c>
      <c r="BG208" s="17">
        <f>SUMIF('20.01'!$Y:$Y,$B:$B,'20.01'!$D:$D)*1.2</f>
        <v>0</v>
      </c>
      <c r="BH208" s="17">
        <f>SUMIF('20.01'!$Z:$Z,$B:$B,'20.01'!$D:$D)*1.2</f>
        <v>139055.66399999999</v>
      </c>
      <c r="BI208" s="17">
        <f>SUMIF('20.01'!$AA:$AA,$B:$B,'20.01'!$D:$D)*1.2</f>
        <v>0</v>
      </c>
      <c r="BJ208" s="17">
        <f>SUMIF('20.01'!$AB:$AB,$B:$B,'20.01'!$D:$D)*1.2</f>
        <v>0</v>
      </c>
      <c r="BK208" s="17">
        <f>SUMIF('20.01'!$AC:$AC,$B:$B,'20.01'!$D:$D)*1.2</f>
        <v>0</v>
      </c>
      <c r="BL208" s="17">
        <f>SUMIF('20.01'!$AD:$AD,$B:$B,'20.01'!$D:$D)*1.2</f>
        <v>0</v>
      </c>
      <c r="BM208" s="110">
        <f t="shared" si="283"/>
        <v>0</v>
      </c>
      <c r="BN208" s="17">
        <f>SUMIF('20.01'!$AE:$AE,$B:$B,'20.01'!$D:$D)*1.2</f>
        <v>0</v>
      </c>
      <c r="BO208" s="17">
        <f>SUMIF('20.01'!$AF:$AF,$B:$B,'20.01'!$D:$D)*1.2</f>
        <v>0</v>
      </c>
      <c r="BP208" s="110">
        <f>SUMIF('20.01'!$AG:$AG,$B:$B,'20.01'!$D:$D)*1.2</f>
        <v>0</v>
      </c>
      <c r="BQ208" s="110">
        <f>SUMIF('20.01'!$AH:$AH,$B:$B,'20.01'!$D:$D)*1.2</f>
        <v>0</v>
      </c>
      <c r="BR208" s="110">
        <f>SUMIF('20.01'!$AI:$AI,$B:$B,'20.01'!$D:$D)*1.2</f>
        <v>0</v>
      </c>
      <c r="BS208" s="110">
        <f t="shared" si="284"/>
        <v>3517.5</v>
      </c>
      <c r="BT208" s="17">
        <f>SUMIF('20.01'!$AJ:$AJ,$B:$B,'20.01'!$D:$D)*1.2</f>
        <v>3517.5</v>
      </c>
      <c r="BU208" s="17">
        <f>SUMIF('20.01'!$AK:$AK,$B:$B,'20.01'!$D:$D)*1.2</f>
        <v>0</v>
      </c>
      <c r="BV208" s="110">
        <f>SUMIF('20.01'!$AL:$AL,$B:$B,'20.01'!$D:$D)*1.2</f>
        <v>479302.41599999997</v>
      </c>
      <c r="BW208" s="110">
        <f>SUMIF('20.01'!$AM:$AM,$B:$B,'20.01'!$D:$D)*1.2</f>
        <v>0</v>
      </c>
      <c r="BX208" s="110">
        <f>SUMIF('20.01'!$AN:$AN,$B:$B,'20.01'!$D:$D)*1.2</f>
        <v>0</v>
      </c>
      <c r="BY208" s="110">
        <f t="shared" si="234"/>
        <v>784454.27455889701</v>
      </c>
      <c r="BZ208" s="17">
        <f t="shared" si="230"/>
        <v>428456.33899758192</v>
      </c>
      <c r="CA208" s="17">
        <f t="shared" si="235"/>
        <v>43362.005874614224</v>
      </c>
      <c r="CB208" s="17">
        <f t="shared" si="236"/>
        <v>2882.4840669178011</v>
      </c>
      <c r="CC208" s="17">
        <f>SUMIF('20.01'!$AO:$AO,$B:$B,'20.01'!$D:$D)*1.2</f>
        <v>0</v>
      </c>
      <c r="CD208" s="17">
        <f t="shared" si="237"/>
        <v>45252.072252929123</v>
      </c>
      <c r="CE208" s="17">
        <f>SUMIF('20.01'!$AQ:$AQ,$B:$B,'20.01'!$D:$D)*1.2</f>
        <v>0</v>
      </c>
      <c r="CF208" s="17">
        <f t="shared" si="238"/>
        <v>4117.2232317535818</v>
      </c>
      <c r="CG208" s="17">
        <f>SUMIF('20.01'!$AR:$AR,$B:$B,'20.01'!$D:$D)*1.2</f>
        <v>255558.984</v>
      </c>
      <c r="CH208" s="17">
        <f t="shared" si="239"/>
        <v>2424.7457327993025</v>
      </c>
      <c r="CI208" s="17">
        <f>SUMIF('20.01'!$AT:$AT,$B:$B,'20.01'!$D:$D)*1.2</f>
        <v>0</v>
      </c>
      <c r="CJ208" s="17">
        <f>SUMIF('20.01'!$AU:$AU,$B:$B,'20.01'!$D:$D)*1.2</f>
        <v>0</v>
      </c>
      <c r="CK208" s="17">
        <f>SUMIF('20.01'!$AV:$AV,$B:$B,'20.01'!$D:$D)*1.2</f>
        <v>0</v>
      </c>
      <c r="CL208" s="17">
        <f t="shared" si="240"/>
        <v>2400.4204023010675</v>
      </c>
      <c r="CM208" s="17">
        <f>SUMIF('20.01'!$AW:$AW,$B:$B,'20.01'!$D:$D)*1.2</f>
        <v>0</v>
      </c>
      <c r="CN208" s="17">
        <f>SUMIF('20.01'!$AX:$AX,$B:$B,'20.01'!$D:$D)*1.2</f>
        <v>0</v>
      </c>
      <c r="CO208" s="110">
        <f t="shared" si="285"/>
        <v>805248.43870640686</v>
      </c>
      <c r="CP208" s="17">
        <f t="shared" si="286"/>
        <v>635213.28779091127</v>
      </c>
      <c r="CQ208" s="17">
        <f t="shared" si="241"/>
        <v>195972.03959022003</v>
      </c>
      <c r="CR208" s="17">
        <f t="shared" si="242"/>
        <v>439241.24820069119</v>
      </c>
      <c r="CS208" s="17">
        <f t="shared" si="287"/>
        <v>170035.15091549559</v>
      </c>
      <c r="CT208" s="17">
        <f t="shared" si="243"/>
        <v>6194.5297070752631</v>
      </c>
      <c r="CU208" s="17">
        <f t="shared" si="244"/>
        <v>5991.5566339072684</v>
      </c>
      <c r="CV208" s="17">
        <f t="shared" si="245"/>
        <v>6192.4047329070872</v>
      </c>
      <c r="CW208" s="17">
        <f t="shared" si="246"/>
        <v>64.934181738902097</v>
      </c>
      <c r="CX208" s="17">
        <f t="shared" si="247"/>
        <v>91433.856148770603</v>
      </c>
      <c r="CY208" s="17">
        <f t="shared" si="248"/>
        <v>60157.869511096469</v>
      </c>
      <c r="CZ208" s="110">
        <f t="shared" si="288"/>
        <v>199883.74321585707</v>
      </c>
      <c r="DA208" s="17">
        <f t="shared" si="289"/>
        <v>7550.4862487095461</v>
      </c>
      <c r="DB208" s="17">
        <f t="shared" si="249"/>
        <v>7165.1344784404782</v>
      </c>
      <c r="DC208" s="17">
        <f t="shared" si="250"/>
        <v>385.35177026906774</v>
      </c>
      <c r="DD208" s="17">
        <f t="shared" si="251"/>
        <v>13304.822875090438</v>
      </c>
      <c r="DE208" s="17">
        <f t="shared" si="252"/>
        <v>4590.5144703622982</v>
      </c>
      <c r="DF208" s="17">
        <f t="shared" si="253"/>
        <v>5571.2288383783625</v>
      </c>
      <c r="DG208" s="17">
        <f t="shared" si="290"/>
        <v>168866.69078331642</v>
      </c>
      <c r="DH208" s="110">
        <f t="shared" si="291"/>
        <v>124743.07013051069</v>
      </c>
      <c r="DI208" s="17">
        <f t="shared" si="254"/>
        <v>111899.61996518263</v>
      </c>
      <c r="DJ208" s="17">
        <f t="shared" si="255"/>
        <v>12375.44044033627</v>
      </c>
      <c r="DK208" s="17">
        <f t="shared" si="256"/>
        <v>468.00972499178272</v>
      </c>
      <c r="DL208" s="110">
        <f t="shared" si="292"/>
        <v>741602.10769008566</v>
      </c>
      <c r="DM208" s="17">
        <f t="shared" si="257"/>
        <v>393049.11707574537</v>
      </c>
      <c r="DN208" s="17">
        <f t="shared" si="258"/>
        <v>348552.99061434023</v>
      </c>
      <c r="DO208" s="17">
        <f t="shared" si="259"/>
        <v>0</v>
      </c>
      <c r="DP208" s="110">
        <f t="shared" si="293"/>
        <v>0</v>
      </c>
      <c r="DQ208" s="17">
        <f>SUMIF('20.01'!$BB:$BB,$B:$B,'20.01'!$D:$D)*1.2</f>
        <v>0</v>
      </c>
      <c r="DR208" s="17">
        <f t="shared" si="260"/>
        <v>0</v>
      </c>
      <c r="DS208" s="17">
        <f t="shared" si="261"/>
        <v>0</v>
      </c>
      <c r="DT208" s="110">
        <f t="shared" si="294"/>
        <v>15172.044</v>
      </c>
      <c r="DU208" s="17">
        <f>SUMIF('20.01'!$BD:$BD,$B:$B,'20.01'!$D:$D)*1.2</f>
        <v>15172.044</v>
      </c>
      <c r="DV208" s="17">
        <f t="shared" si="262"/>
        <v>0</v>
      </c>
      <c r="DW208" s="17">
        <f t="shared" si="263"/>
        <v>0</v>
      </c>
      <c r="DX208" s="110">
        <f t="shared" si="264"/>
        <v>3528719.9080124125</v>
      </c>
      <c r="DY208" s="110"/>
      <c r="DZ208" s="110">
        <f t="shared" si="295"/>
        <v>3528719.9080124125</v>
      </c>
      <c r="EA208" s="257"/>
      <c r="EB208" s="110">
        <f t="shared" si="265"/>
        <v>5319.3253012048199</v>
      </c>
      <c r="EC208" s="110">
        <f>SUMIF(еирц!$B:$B,$B:$B,еирц!$K:$K)</f>
        <v>2340248.1100000003</v>
      </c>
      <c r="ED208" s="110">
        <f>SUMIF(еирц!$B:$B,$B:$B,еирц!$P:$P)</f>
        <v>2312241.9700000002</v>
      </c>
      <c r="EE208" s="110">
        <f>SUMIF(еирц!$B:$B,$B:$B,еирц!$S:$S)</f>
        <v>464462.25</v>
      </c>
      <c r="EF208" s="177">
        <f t="shared" si="296"/>
        <v>-1183152.4727112073</v>
      </c>
      <c r="EG208" s="181">
        <f t="shared" si="297"/>
        <v>0</v>
      </c>
      <c r="EH208" s="177">
        <f t="shared" si="298"/>
        <v>-1183152.4727112073</v>
      </c>
    </row>
    <row r="209" spans="1:138" ht="12" customHeight="1" x14ac:dyDescent="0.25">
      <c r="A209" s="5">
        <f t="shared" si="299"/>
        <v>205</v>
      </c>
      <c r="B209" s="6" t="s">
        <v>289</v>
      </c>
      <c r="C209" s="7">
        <f t="shared" si="300"/>
        <v>8371.2500000000018</v>
      </c>
      <c r="D209" s="8">
        <v>7665.5500000000011</v>
      </c>
      <c r="E209" s="8">
        <v>705.7</v>
      </c>
      <c r="F209" s="8">
        <v>5042</v>
      </c>
      <c r="G209" s="91">
        <f t="shared" si="232"/>
        <v>8371.2500000000018</v>
      </c>
      <c r="H209" s="87">
        <f t="shared" si="233"/>
        <v>0</v>
      </c>
      <c r="I209" s="91">
        <v>4</v>
      </c>
      <c r="J209" s="112">
        <v>1.3121003951166508E-2</v>
      </c>
      <c r="K209" s="17">
        <v>0</v>
      </c>
      <c r="L209" s="112">
        <f t="shared" si="266"/>
        <v>0</v>
      </c>
      <c r="M209" s="116">
        <v>3.4064177088032723</v>
      </c>
      <c r="N209" s="120">
        <f t="shared" si="267"/>
        <v>8371.2500000000018</v>
      </c>
      <c r="O209" s="116">
        <v>3.0862323630785893</v>
      </c>
      <c r="P209" s="120">
        <f t="shared" si="268"/>
        <v>8371.2500000000018</v>
      </c>
      <c r="Q209" s="116">
        <v>1.6009267286234174</v>
      </c>
      <c r="R209" s="120">
        <f t="shared" si="269"/>
        <v>8371.2500000000018</v>
      </c>
      <c r="S209" s="5" t="s">
        <v>73</v>
      </c>
      <c r="T209" s="87">
        <v>41.1</v>
      </c>
      <c r="U209" s="88">
        <v>4.68</v>
      </c>
      <c r="V209" s="88">
        <v>7.92</v>
      </c>
      <c r="W209" s="88">
        <v>12.32</v>
      </c>
      <c r="X209" s="88">
        <v>6.34</v>
      </c>
      <c r="Y209" s="88">
        <v>2.89</v>
      </c>
      <c r="Z209" s="88">
        <v>1.66</v>
      </c>
      <c r="AA209" s="88">
        <v>5.29</v>
      </c>
      <c r="AB209" s="88">
        <v>0</v>
      </c>
      <c r="AC209" s="257"/>
      <c r="AD209" s="110">
        <f t="shared" si="270"/>
        <v>246528.68830195608</v>
      </c>
      <c r="AE209" s="110">
        <f t="shared" si="271"/>
        <v>244177.1032254271</v>
      </c>
      <c r="AF209" s="16">
        <f>SUMIF('20.01'!$I:$I,$B:$B,'20.01'!$D:$D)*1.2</f>
        <v>68928.288</v>
      </c>
      <c r="AG209" s="17">
        <f>IF(S209=$S$249,$AG$249,0)/$G$249*G209</f>
        <v>53561.880064319819</v>
      </c>
      <c r="AH209" s="17">
        <f t="shared" si="272"/>
        <v>6392.2781018733658</v>
      </c>
      <c r="AI209" s="16">
        <f>SUMIF('20.01'!$J:$J,$B:$B,'20.01'!$D:$D)*1.2</f>
        <v>0</v>
      </c>
      <c r="AJ209" s="17">
        <f t="shared" si="273"/>
        <v>2597.6781086319338</v>
      </c>
      <c r="AK209" s="17">
        <f t="shared" si="274"/>
        <v>6319.5737518792021</v>
      </c>
      <c r="AL209" s="17">
        <f t="shared" si="275"/>
        <v>106377.40519872277</v>
      </c>
      <c r="AM209" s="110">
        <f t="shared" si="276"/>
        <v>0</v>
      </c>
      <c r="AN209" s="17">
        <f>SUMIF('20.01'!$K:$K,$B:$B,'20.01'!$D:$D)*1.2</f>
        <v>0</v>
      </c>
      <c r="AO209" s="17">
        <f>SUMIF('20.01'!$L:$L,$B:$B,'20.01'!$D:$D)*1.2</f>
        <v>0</v>
      </c>
      <c r="AP209" s="17">
        <f>SUMIF('20.01'!$M:$M,$B:$B,'20.01'!$D:$D)*1.2</f>
        <v>0</v>
      </c>
      <c r="AQ209" s="110">
        <f t="shared" si="277"/>
        <v>2351.5850765289788</v>
      </c>
      <c r="AR209" s="17">
        <f t="shared" si="278"/>
        <v>2351.5850765289788</v>
      </c>
      <c r="AS209" s="17">
        <f>(SUMIF('20.01'!$N:$N,$B:$B,'20.01'!$D:$D)+SUMIF('20.01'!$O:$O,$B:$B,'20.01'!$D:$D))*1.2</f>
        <v>0</v>
      </c>
      <c r="AT209" s="110">
        <f>SUMIF('20.01'!$P:$P,$B:$B,'20.01'!$D:$D)*1.2</f>
        <v>0</v>
      </c>
      <c r="AU209" s="110">
        <f t="shared" si="279"/>
        <v>0</v>
      </c>
      <c r="AV209" s="17">
        <f>SUMIF('20.01'!$Q:$Q,$B:$B,'20.01'!$D:$D)*1.2</f>
        <v>0</v>
      </c>
      <c r="AW209" s="17">
        <f>SUMIF('20.01'!$R:$R,$B:$B,'20.01'!$D:$D)*1.2</f>
        <v>0</v>
      </c>
      <c r="AX209" s="110">
        <f t="shared" si="280"/>
        <v>0</v>
      </c>
      <c r="AY209" s="17">
        <f>SUMIF('20.01'!$S:$S,$B:$B,'20.01'!$D:$D)*1.2</f>
        <v>0</v>
      </c>
      <c r="AZ209" s="17">
        <f>SUMIF('20.01'!$T:$T,$B:$B,'20.01'!$D:$D)*1.2</f>
        <v>0</v>
      </c>
      <c r="BA209" s="110">
        <f t="shared" si="281"/>
        <v>0</v>
      </c>
      <c r="BB209" s="17">
        <f>SUMIF('20.01'!$U:$U,$B:$B,'20.01'!$D:$D)*1.2</f>
        <v>0</v>
      </c>
      <c r="BC209" s="17">
        <f>SUMIF('20.01'!$V:$V,$B:$B,'20.01'!$D:$D)*1.2</f>
        <v>0</v>
      </c>
      <c r="BD209" s="17">
        <f>SUMIF('20.01'!$W:$W,$B:$B,'20.01'!$D:$D)*1.2</f>
        <v>0</v>
      </c>
      <c r="BE209" s="110">
        <f>SUMIF('20.01'!$X:$X,$B:$B,'20.01'!$D:$D)*1.2</f>
        <v>0</v>
      </c>
      <c r="BF209" s="110">
        <f t="shared" si="282"/>
        <v>0</v>
      </c>
      <c r="BG209" s="17">
        <f>SUMIF('20.01'!$Y:$Y,$B:$B,'20.01'!$D:$D)*1.2</f>
        <v>0</v>
      </c>
      <c r="BH209" s="17">
        <f>SUMIF('20.01'!$Z:$Z,$B:$B,'20.01'!$D:$D)*1.2</f>
        <v>0</v>
      </c>
      <c r="BI209" s="17">
        <f>SUMIF('20.01'!$AA:$AA,$B:$B,'20.01'!$D:$D)*1.2</f>
        <v>0</v>
      </c>
      <c r="BJ209" s="17">
        <f>SUMIF('20.01'!$AB:$AB,$B:$B,'20.01'!$D:$D)*1.2</f>
        <v>0</v>
      </c>
      <c r="BK209" s="17">
        <f>SUMIF('20.01'!$AC:$AC,$B:$B,'20.01'!$D:$D)*1.2</f>
        <v>0</v>
      </c>
      <c r="BL209" s="17">
        <f>SUMIF('20.01'!$AD:$AD,$B:$B,'20.01'!$D:$D)*1.2</f>
        <v>0</v>
      </c>
      <c r="BM209" s="110">
        <f t="shared" si="283"/>
        <v>0</v>
      </c>
      <c r="BN209" s="17">
        <f>SUMIF('20.01'!$AE:$AE,$B:$B,'20.01'!$D:$D)*1.2</f>
        <v>0</v>
      </c>
      <c r="BO209" s="17">
        <f>SUMIF('20.01'!$AF:$AF,$B:$B,'20.01'!$D:$D)*1.2</f>
        <v>0</v>
      </c>
      <c r="BP209" s="110">
        <f>SUMIF('20.01'!$AG:$AG,$B:$B,'20.01'!$D:$D)*1.2</f>
        <v>0</v>
      </c>
      <c r="BQ209" s="110">
        <f>SUMIF('20.01'!$AH:$AH,$B:$B,'20.01'!$D:$D)*1.2</f>
        <v>0</v>
      </c>
      <c r="BR209" s="110">
        <f>SUMIF('20.01'!$AI:$AI,$B:$B,'20.01'!$D:$D)*1.2</f>
        <v>0</v>
      </c>
      <c r="BS209" s="110">
        <f t="shared" si="284"/>
        <v>0</v>
      </c>
      <c r="BT209" s="17">
        <f>SUMIF('20.01'!$AJ:$AJ,$B:$B,'20.01'!$D:$D)*1.2</f>
        <v>0</v>
      </c>
      <c r="BU209" s="17">
        <f>SUMIF('20.01'!$AK:$AK,$B:$B,'20.01'!$D:$D)*1.2</f>
        <v>0</v>
      </c>
      <c r="BV209" s="110">
        <f>SUMIF('20.01'!$AL:$AL,$B:$B,'20.01'!$D:$D)*1.2</f>
        <v>0</v>
      </c>
      <c r="BW209" s="110">
        <f>SUMIF('20.01'!$AM:$AM,$B:$B,'20.01'!$D:$D)*1.2</f>
        <v>0</v>
      </c>
      <c r="BX209" s="110">
        <f>SUMIF('20.01'!$AN:$AN,$B:$B,'20.01'!$D:$D)*1.2</f>
        <v>0</v>
      </c>
      <c r="BY209" s="110">
        <f t="shared" si="234"/>
        <v>847229.24570120627</v>
      </c>
      <c r="BZ209" s="17">
        <f>IF(S209=$S$249,$BZ$249,0)/$G$249*G209</f>
        <v>726965.55035732756</v>
      </c>
      <c r="CA209" s="17">
        <f t="shared" si="235"/>
        <v>51920.843287781157</v>
      </c>
      <c r="CB209" s="17">
        <f t="shared" si="236"/>
        <v>3451.4317430500259</v>
      </c>
      <c r="CC209" s="17">
        <f>SUMIF('20.01'!$AO:$AO,$B:$B,'20.01'!$D:$D)*1.2</f>
        <v>0</v>
      </c>
      <c r="CD209" s="17">
        <f t="shared" si="237"/>
        <v>54183.972915957398</v>
      </c>
      <c r="CE209" s="17">
        <f>SUMIF('20.01'!$AQ:$AQ,$B:$B,'20.01'!$D:$D)*1.2</f>
        <v>0</v>
      </c>
      <c r="CF209" s="17">
        <f t="shared" si="238"/>
        <v>4929.8849968985996</v>
      </c>
      <c r="CG209" s="17">
        <f>SUMIF('20.01'!$AR:$AR,$B:$B,'20.01'!$D:$D)*1.2</f>
        <v>0</v>
      </c>
      <c r="CH209" s="17">
        <f t="shared" si="239"/>
        <v>2903.3445447479248</v>
      </c>
      <c r="CI209" s="17">
        <f>SUMIF('20.01'!$AT:$AT,$B:$B,'20.01'!$D:$D)*1.2</f>
        <v>0</v>
      </c>
      <c r="CJ209" s="17">
        <f>SUMIF('20.01'!$AU:$AU,$B:$B,'20.01'!$D:$D)*1.2</f>
        <v>0</v>
      </c>
      <c r="CK209" s="17">
        <f>SUMIF('20.01'!$AV:$AV,$B:$B,'20.01'!$D:$D)*1.2</f>
        <v>0</v>
      </c>
      <c r="CL209" s="17">
        <f t="shared" si="240"/>
        <v>2874.2178554435964</v>
      </c>
      <c r="CM209" s="17">
        <f>SUMIF('20.01'!$AW:$AW,$B:$B,'20.01'!$D:$D)*1.2</f>
        <v>0</v>
      </c>
      <c r="CN209" s="17">
        <f>SUMIF('20.01'!$AX:$AX,$B:$B,'20.01'!$D:$D)*1.2</f>
        <v>0</v>
      </c>
      <c r="CO209" s="110">
        <f t="shared" si="285"/>
        <v>964189.20551557071</v>
      </c>
      <c r="CP209" s="17">
        <f t="shared" si="286"/>
        <v>760592.34125551279</v>
      </c>
      <c r="CQ209" s="17">
        <f t="shared" si="241"/>
        <v>234653.20275479948</v>
      </c>
      <c r="CR209" s="17">
        <f t="shared" si="242"/>
        <v>525939.13850071328</v>
      </c>
      <c r="CS209" s="17">
        <f t="shared" si="287"/>
        <v>203596.86426005792</v>
      </c>
      <c r="CT209" s="17">
        <f t="shared" si="243"/>
        <v>7417.2123654189936</v>
      </c>
      <c r="CU209" s="17">
        <f t="shared" si="244"/>
        <v>7174.1762578628059</v>
      </c>
      <c r="CV209" s="17">
        <f t="shared" si="245"/>
        <v>7414.667961659271</v>
      </c>
      <c r="CW209" s="17">
        <f t="shared" si="246"/>
        <v>77.750957458810845</v>
      </c>
      <c r="CX209" s="17">
        <f t="shared" si="247"/>
        <v>109481.16491716792</v>
      </c>
      <c r="CY209" s="17">
        <f t="shared" si="248"/>
        <v>72031.891800490106</v>
      </c>
      <c r="CZ209" s="110">
        <f t="shared" si="288"/>
        <v>239337.00247389523</v>
      </c>
      <c r="DA209" s="17">
        <f t="shared" si="289"/>
        <v>9040.8090068384699</v>
      </c>
      <c r="DB209" s="17">
        <f t="shared" si="249"/>
        <v>8579.3961069679262</v>
      </c>
      <c r="DC209" s="17">
        <f t="shared" si="250"/>
        <v>461.41289987054398</v>
      </c>
      <c r="DD209" s="17">
        <f t="shared" si="251"/>
        <v>15930.942527584404</v>
      </c>
      <c r="DE209" s="17">
        <f t="shared" si="252"/>
        <v>5496.5949480097252</v>
      </c>
      <c r="DF209" s="17">
        <f t="shared" si="253"/>
        <v>6670.8837288165114</v>
      </c>
      <c r="DG209" s="17">
        <f t="shared" si="290"/>
        <v>202197.77226264612</v>
      </c>
      <c r="DH209" s="110">
        <f t="shared" si="291"/>
        <v>149364.98588675034</v>
      </c>
      <c r="DI209" s="17">
        <f t="shared" si="254"/>
        <v>133986.48228992251</v>
      </c>
      <c r="DJ209" s="17">
        <f t="shared" si="255"/>
        <v>14818.117629935065</v>
      </c>
      <c r="DK209" s="17">
        <f t="shared" si="256"/>
        <v>560.38596689277551</v>
      </c>
      <c r="DL209" s="110">
        <f t="shared" si="292"/>
        <v>1130265.7733244351</v>
      </c>
      <c r="DM209" s="17">
        <f t="shared" si="257"/>
        <v>470629.55692365282</v>
      </c>
      <c r="DN209" s="17">
        <f t="shared" si="258"/>
        <v>417350.73915871099</v>
      </c>
      <c r="DO209" s="17">
        <f t="shared" si="259"/>
        <v>242285.47724207141</v>
      </c>
      <c r="DP209" s="110">
        <f t="shared" si="293"/>
        <v>376588.89088914043</v>
      </c>
      <c r="DQ209" s="17">
        <f>SUMIF('20.01'!$BB:$BB,$B:$B,'20.01'!$D:$D)*1.2</f>
        <v>14212.751999999999</v>
      </c>
      <c r="DR209" s="17">
        <f t="shared" si="260"/>
        <v>359709.58313076466</v>
      </c>
      <c r="DS209" s="17">
        <f t="shared" si="261"/>
        <v>2666.5557583757777</v>
      </c>
      <c r="DT209" s="110">
        <f t="shared" si="294"/>
        <v>0</v>
      </c>
      <c r="DU209" s="17">
        <f>SUMIF('20.01'!$BD:$BD,$B:$B,'20.01'!$D:$D)*1.2</f>
        <v>0</v>
      </c>
      <c r="DV209" s="17">
        <f t="shared" si="262"/>
        <v>0</v>
      </c>
      <c r="DW209" s="17">
        <f t="shared" si="263"/>
        <v>0</v>
      </c>
      <c r="DX209" s="110">
        <f t="shared" si="264"/>
        <v>3953503.7920929543</v>
      </c>
      <c r="DY209" s="110"/>
      <c r="DZ209" s="110">
        <f t="shared" si="295"/>
        <v>3953503.7920929543</v>
      </c>
      <c r="EA209" s="257"/>
      <c r="EB209" s="110">
        <f t="shared" si="265"/>
        <v>0</v>
      </c>
      <c r="EC209" s="110">
        <f>SUMIF(еирц!$B:$B,$B:$B,еирц!$K:$K)</f>
        <v>3708062.88</v>
      </c>
      <c r="ED209" s="110">
        <f>SUMIF(еирц!$B:$B,$B:$B,еирц!$P:$P)</f>
        <v>3570675.06</v>
      </c>
      <c r="EE209" s="110">
        <f>SUMIF(еирц!$B:$B,$B:$B,еирц!$S:$S)</f>
        <v>1262046.48</v>
      </c>
      <c r="EF209" s="177">
        <f t="shared" si="296"/>
        <v>-245440.91209295439</v>
      </c>
      <c r="EG209" s="181">
        <f t="shared" si="297"/>
        <v>0</v>
      </c>
      <c r="EH209" s="177">
        <f t="shared" si="298"/>
        <v>-245440.91209295439</v>
      </c>
    </row>
    <row r="210" spans="1:138" ht="12" customHeight="1" x14ac:dyDescent="0.25">
      <c r="A210" s="5">
        <f t="shared" si="299"/>
        <v>206</v>
      </c>
      <c r="B210" s="6" t="s">
        <v>290</v>
      </c>
      <c r="C210" s="7">
        <f t="shared" si="300"/>
        <v>635.79999999999995</v>
      </c>
      <c r="D210" s="8">
        <v>635.79999999999995</v>
      </c>
      <c r="E210" s="8">
        <v>0</v>
      </c>
      <c r="F210" s="8">
        <v>74.2</v>
      </c>
      <c r="G210" s="87">
        <f t="shared" si="232"/>
        <v>635.79999999999995</v>
      </c>
      <c r="H210" s="87">
        <f t="shared" si="233"/>
        <v>635.79999999999995</v>
      </c>
      <c r="I210" s="91">
        <v>0</v>
      </c>
      <c r="J210" s="112">
        <v>0</v>
      </c>
      <c r="K210" s="17">
        <v>0</v>
      </c>
      <c r="L210" s="112">
        <f t="shared" si="266"/>
        <v>0</v>
      </c>
      <c r="M210" s="116">
        <v>3.4064300865460271</v>
      </c>
      <c r="N210" s="120">
        <f t="shared" si="267"/>
        <v>635.79999999999995</v>
      </c>
      <c r="O210" s="116">
        <v>3.0862359716758463</v>
      </c>
      <c r="P210" s="120">
        <f t="shared" si="268"/>
        <v>635.79999999999995</v>
      </c>
      <c r="Q210" s="116">
        <v>0</v>
      </c>
      <c r="R210" s="120">
        <f t="shared" si="269"/>
        <v>0</v>
      </c>
      <c r="S210" s="5" t="s">
        <v>102</v>
      </c>
      <c r="T210" s="87">
        <v>25.29</v>
      </c>
      <c r="U210" s="88">
        <v>4.32</v>
      </c>
      <c r="V210" s="88">
        <v>5.61</v>
      </c>
      <c r="W210" s="88">
        <v>7.16</v>
      </c>
      <c r="X210" s="88">
        <v>5.31</v>
      </c>
      <c r="Y210" s="88">
        <v>2.67</v>
      </c>
      <c r="Z210" s="88">
        <v>0</v>
      </c>
      <c r="AA210" s="88">
        <v>0</v>
      </c>
      <c r="AB210" s="88">
        <v>0.22</v>
      </c>
      <c r="AC210" s="257"/>
      <c r="AD210" s="110">
        <f t="shared" si="270"/>
        <v>75699.886098034185</v>
      </c>
      <c r="AE210" s="110">
        <f t="shared" si="271"/>
        <v>15444.806210722589</v>
      </c>
      <c r="AF210" s="16">
        <f>SUMIF('20.01'!$I:$I,$B:$B,'20.01'!$D:$D)*1.2</f>
        <v>3838.0079999999998</v>
      </c>
      <c r="AG210" s="17">
        <f t="shared" ref="AG210:AG226" si="301">IF(S210=$S$250,$AG$250,0)/$G$250*G210</f>
        <v>2364.6236996959215</v>
      </c>
      <c r="AH210" s="17">
        <f t="shared" si="272"/>
        <v>485.49624215870807</v>
      </c>
      <c r="AI210" s="16">
        <f>SUMIF('20.01'!$J:$J,$B:$B,'20.01'!$D:$D)*1.2</f>
        <v>0</v>
      </c>
      <c r="AJ210" s="17">
        <f t="shared" si="273"/>
        <v>197.29475782806426</v>
      </c>
      <c r="AK210" s="17">
        <f t="shared" si="274"/>
        <v>479.97431583632022</v>
      </c>
      <c r="AL210" s="17">
        <f t="shared" si="275"/>
        <v>8079.4091952035742</v>
      </c>
      <c r="AM210" s="110">
        <f t="shared" si="276"/>
        <v>0</v>
      </c>
      <c r="AN210" s="17">
        <f>SUMIF('20.01'!$K:$K,$B:$B,'20.01'!$D:$D)*1.2</f>
        <v>0</v>
      </c>
      <c r="AO210" s="17">
        <f>SUMIF('20.01'!$L:$L,$B:$B,'20.01'!$D:$D)*1.2</f>
        <v>0</v>
      </c>
      <c r="AP210" s="17">
        <f>SUMIF('20.01'!$M:$M,$B:$B,'20.01'!$D:$D)*1.2</f>
        <v>0</v>
      </c>
      <c r="AQ210" s="110">
        <f t="shared" si="277"/>
        <v>178.60388731158721</v>
      </c>
      <c r="AR210" s="17">
        <f t="shared" si="278"/>
        <v>178.60388731158721</v>
      </c>
      <c r="AS210" s="17">
        <f>(SUMIF('20.01'!$N:$N,$B:$B,'20.01'!$D:$D)+SUMIF('20.01'!$O:$O,$B:$B,'20.01'!$D:$D))*1.2</f>
        <v>0</v>
      </c>
      <c r="AT210" s="110">
        <f>SUMIF('20.01'!$P:$P,$B:$B,'20.01'!$D:$D)*1.2</f>
        <v>0</v>
      </c>
      <c r="AU210" s="110">
        <f t="shared" si="279"/>
        <v>0</v>
      </c>
      <c r="AV210" s="17">
        <f>SUMIF('20.01'!$Q:$Q,$B:$B,'20.01'!$D:$D)*1.2</f>
        <v>0</v>
      </c>
      <c r="AW210" s="17">
        <f>SUMIF('20.01'!$R:$R,$B:$B,'20.01'!$D:$D)*1.2</f>
        <v>0</v>
      </c>
      <c r="AX210" s="110">
        <f t="shared" si="280"/>
        <v>60076.476000000002</v>
      </c>
      <c r="AY210" s="17">
        <f>SUMIF('20.01'!$S:$S,$B:$B,'20.01'!$D:$D)*1.2</f>
        <v>60076.476000000002</v>
      </c>
      <c r="AZ210" s="17">
        <f>SUMIF('20.01'!$T:$T,$B:$B,'20.01'!$D:$D)*1.2</f>
        <v>0</v>
      </c>
      <c r="BA210" s="110">
        <f t="shared" si="281"/>
        <v>0</v>
      </c>
      <c r="BB210" s="17">
        <f>SUMIF('20.01'!$U:$U,$B:$B,'20.01'!$D:$D)*1.2</f>
        <v>0</v>
      </c>
      <c r="BC210" s="17">
        <f>SUMIF('20.01'!$V:$V,$B:$B,'20.01'!$D:$D)*1.2</f>
        <v>0</v>
      </c>
      <c r="BD210" s="17">
        <f>SUMIF('20.01'!$W:$W,$B:$B,'20.01'!$D:$D)*1.2</f>
        <v>0</v>
      </c>
      <c r="BE210" s="110">
        <f>SUMIF('20.01'!$X:$X,$B:$B,'20.01'!$D:$D)*1.2</f>
        <v>0</v>
      </c>
      <c r="BF210" s="110">
        <f t="shared" si="282"/>
        <v>0</v>
      </c>
      <c r="BG210" s="17">
        <f>SUMIF('20.01'!$Y:$Y,$B:$B,'20.01'!$D:$D)*1.2</f>
        <v>0</v>
      </c>
      <c r="BH210" s="17">
        <f>SUMIF('20.01'!$Z:$Z,$B:$B,'20.01'!$D:$D)*1.2</f>
        <v>0</v>
      </c>
      <c r="BI210" s="17">
        <f>SUMIF('20.01'!$AA:$AA,$B:$B,'20.01'!$D:$D)*1.2</f>
        <v>0</v>
      </c>
      <c r="BJ210" s="17">
        <f>SUMIF('20.01'!$AB:$AB,$B:$B,'20.01'!$D:$D)*1.2</f>
        <v>0</v>
      </c>
      <c r="BK210" s="17">
        <f>SUMIF('20.01'!$AC:$AC,$B:$B,'20.01'!$D:$D)*1.2</f>
        <v>0</v>
      </c>
      <c r="BL210" s="17">
        <f>SUMIF('20.01'!$AD:$AD,$B:$B,'20.01'!$D:$D)*1.2</f>
        <v>0</v>
      </c>
      <c r="BM210" s="110">
        <f t="shared" si="283"/>
        <v>0</v>
      </c>
      <c r="BN210" s="17">
        <f>SUMIF('20.01'!$AE:$AE,$B:$B,'20.01'!$D:$D)*1.2</f>
        <v>0</v>
      </c>
      <c r="BO210" s="17">
        <f>SUMIF('20.01'!$AF:$AF,$B:$B,'20.01'!$D:$D)*1.2</f>
        <v>0</v>
      </c>
      <c r="BP210" s="110">
        <f>SUMIF('20.01'!$AG:$AG,$B:$B,'20.01'!$D:$D)*1.2</f>
        <v>0</v>
      </c>
      <c r="BQ210" s="110">
        <f>SUMIF('20.01'!$AH:$AH,$B:$B,'20.01'!$D:$D)*1.2</f>
        <v>0</v>
      </c>
      <c r="BR210" s="110">
        <f>SUMIF('20.01'!$AI:$AI,$B:$B,'20.01'!$D:$D)*1.2</f>
        <v>0</v>
      </c>
      <c r="BS210" s="110">
        <f t="shared" si="284"/>
        <v>0</v>
      </c>
      <c r="BT210" s="17">
        <f>SUMIF('20.01'!$AJ:$AJ,$B:$B,'20.01'!$D:$D)*1.2</f>
        <v>0</v>
      </c>
      <c r="BU210" s="17">
        <f>SUMIF('20.01'!$AK:$AK,$B:$B,'20.01'!$D:$D)*1.2</f>
        <v>0</v>
      </c>
      <c r="BV210" s="110">
        <f>SUMIF('20.01'!$AL:$AL,$B:$B,'20.01'!$D:$D)*1.2</f>
        <v>0</v>
      </c>
      <c r="BW210" s="110">
        <f>SUMIF('20.01'!$AM:$AM,$B:$B,'20.01'!$D:$D)*1.2</f>
        <v>0</v>
      </c>
      <c r="BX210" s="110">
        <f>SUMIF('20.01'!$AN:$AN,$B:$B,'20.01'!$D:$D)*1.2</f>
        <v>0</v>
      </c>
      <c r="BY210" s="110">
        <f t="shared" si="234"/>
        <v>97756.697068158755</v>
      </c>
      <c r="BZ210" s="17">
        <f t="shared" ref="BZ210:BZ226" si="302">IF(S210=$S$250,$BZ$250,0)/$G$250*G210</f>
        <v>88622.618226929786</v>
      </c>
      <c r="CA210" s="17">
        <f t="shared" si="235"/>
        <v>3943.4101433323876</v>
      </c>
      <c r="CB210" s="17">
        <f t="shared" si="236"/>
        <v>262.13770968866129</v>
      </c>
      <c r="CC210" s="17">
        <f>SUMIF('20.01'!$AO:$AO,$B:$B,'20.01'!$D:$D)*1.2</f>
        <v>0</v>
      </c>
      <c r="CD210" s="17">
        <f t="shared" si="237"/>
        <v>4115.2958016981584</v>
      </c>
      <c r="CE210" s="17">
        <f>SUMIF('20.01'!$AQ:$AQ,$B:$B,'20.01'!$D:$D)*1.2</f>
        <v>0</v>
      </c>
      <c r="CF210" s="17">
        <f t="shared" si="238"/>
        <v>374.42686349447558</v>
      </c>
      <c r="CG210" s="17">
        <f>SUMIF('20.01'!$AR:$AR,$B:$B,'20.01'!$D:$D)*1.2</f>
        <v>0</v>
      </c>
      <c r="CH210" s="17">
        <f t="shared" si="239"/>
        <v>220.51025373160877</v>
      </c>
      <c r="CI210" s="17">
        <f>SUMIF('20.01'!$AT:$AT,$B:$B,'20.01'!$D:$D)*1.2</f>
        <v>0</v>
      </c>
      <c r="CJ210" s="17">
        <f>SUMIF('20.01'!$AU:$AU,$B:$B,'20.01'!$D:$D)*1.2</f>
        <v>0</v>
      </c>
      <c r="CK210" s="17">
        <f>SUMIF('20.01'!$AV:$AV,$B:$B,'20.01'!$D:$D)*1.2</f>
        <v>0</v>
      </c>
      <c r="CL210" s="17">
        <f t="shared" si="240"/>
        <v>218.29806928368382</v>
      </c>
      <c r="CM210" s="17">
        <f>SUMIF('20.01'!$AW:$AW,$B:$B,'20.01'!$D:$D)*1.2</f>
        <v>0</v>
      </c>
      <c r="CN210" s="17">
        <f>SUMIF('20.01'!$AX:$AX,$B:$B,'20.01'!$D:$D)*1.2</f>
        <v>0</v>
      </c>
      <c r="CO210" s="110">
        <f t="shared" si="285"/>
        <v>73230.580482819132</v>
      </c>
      <c r="CP210" s="17">
        <f t="shared" si="286"/>
        <v>57767.311998835881</v>
      </c>
      <c r="CQ210" s="17">
        <f t="shared" si="241"/>
        <v>17822.010609108733</v>
      </c>
      <c r="CR210" s="17">
        <f t="shared" si="242"/>
        <v>39945.301389727152</v>
      </c>
      <c r="CS210" s="17">
        <f t="shared" si="287"/>
        <v>15463.268483983249</v>
      </c>
      <c r="CT210" s="17">
        <f t="shared" si="243"/>
        <v>563.34043564980072</v>
      </c>
      <c r="CU210" s="17">
        <f t="shared" si="244"/>
        <v>544.88173985356673</v>
      </c>
      <c r="CV210" s="17">
        <f t="shared" si="245"/>
        <v>563.14718710144405</v>
      </c>
      <c r="CW210" s="17">
        <f t="shared" si="246"/>
        <v>5.9052183069806681</v>
      </c>
      <c r="CX210" s="17">
        <f t="shared" si="247"/>
        <v>8315.1410666669071</v>
      </c>
      <c r="CY210" s="17">
        <f t="shared" si="248"/>
        <v>5470.8528364045505</v>
      </c>
      <c r="CZ210" s="110">
        <f t="shared" si="288"/>
        <v>18177.747191029124</v>
      </c>
      <c r="DA210" s="17">
        <f t="shared" si="289"/>
        <v>686.6532915093801</v>
      </c>
      <c r="DB210" s="17">
        <f t="shared" si="249"/>
        <v>651.60878540363819</v>
      </c>
      <c r="DC210" s="17">
        <f t="shared" si="250"/>
        <v>35.044506105741888</v>
      </c>
      <c r="DD210" s="17">
        <f t="shared" si="251"/>
        <v>1209.9618646006465</v>
      </c>
      <c r="DE210" s="17">
        <f t="shared" si="252"/>
        <v>417.46872545254081</v>
      </c>
      <c r="DF210" s="17">
        <f t="shared" si="253"/>
        <v>506.65645808947733</v>
      </c>
      <c r="DG210" s="17">
        <f t="shared" si="290"/>
        <v>15357.006851377078</v>
      </c>
      <c r="DH210" s="110">
        <f t="shared" si="291"/>
        <v>11344.334242412526</v>
      </c>
      <c r="DI210" s="17">
        <f t="shared" si="254"/>
        <v>10176.330349700787</v>
      </c>
      <c r="DJ210" s="17">
        <f t="shared" si="255"/>
        <v>1125.4423400463145</v>
      </c>
      <c r="DK210" s="17">
        <f t="shared" si="256"/>
        <v>42.561552665423513</v>
      </c>
      <c r="DL210" s="110">
        <f t="shared" si="292"/>
        <v>67442.481379622724</v>
      </c>
      <c r="DM210" s="17">
        <f t="shared" si="257"/>
        <v>35744.515131200045</v>
      </c>
      <c r="DN210" s="17">
        <f t="shared" si="258"/>
        <v>31697.966248422683</v>
      </c>
      <c r="DO210" s="17">
        <f t="shared" si="259"/>
        <v>0</v>
      </c>
      <c r="DP210" s="110">
        <f t="shared" si="293"/>
        <v>0</v>
      </c>
      <c r="DQ210" s="17">
        <f>SUMIF('20.01'!$BB:$BB,$B:$B,'20.01'!$D:$D)*1.2</f>
        <v>0</v>
      </c>
      <c r="DR210" s="17">
        <f t="shared" si="260"/>
        <v>0</v>
      </c>
      <c r="DS210" s="17">
        <f t="shared" si="261"/>
        <v>0</v>
      </c>
      <c r="DT210" s="110">
        <f t="shared" si="294"/>
        <v>1517.1959999999999</v>
      </c>
      <c r="DU210" s="17">
        <f>SUMIF('20.01'!$BD:$BD,$B:$B,'20.01'!$D:$D)*1.2</f>
        <v>1517.1959999999999</v>
      </c>
      <c r="DV210" s="17">
        <f t="shared" si="262"/>
        <v>0</v>
      </c>
      <c r="DW210" s="17">
        <f t="shared" si="263"/>
        <v>0</v>
      </c>
      <c r="DX210" s="110">
        <f t="shared" si="264"/>
        <v>345168.92246207641</v>
      </c>
      <c r="DY210" s="110"/>
      <c r="DZ210" s="110">
        <f t="shared" si="295"/>
        <v>345168.92246207641</v>
      </c>
      <c r="EA210" s="257"/>
      <c r="EB210" s="110">
        <f t="shared" si="265"/>
        <v>0</v>
      </c>
      <c r="EC210" s="110">
        <f>SUMIF(еирц!$B:$B,$B:$B,еирц!$K:$K)</f>
        <v>192952.56</v>
      </c>
      <c r="ED210" s="110">
        <f>SUMIF(еирц!$B:$B,$B:$B,еирц!$P:$P)</f>
        <v>171084.09</v>
      </c>
      <c r="EE210" s="110">
        <f>SUMIF(еирц!$B:$B,$B:$B,еирц!$S:$S)</f>
        <v>97272.77</v>
      </c>
      <c r="EF210" s="177">
        <f t="shared" si="296"/>
        <v>-152216.36246207642</v>
      </c>
      <c r="EG210" s="181">
        <f t="shared" si="297"/>
        <v>0</v>
      </c>
      <c r="EH210" s="177">
        <f t="shared" si="298"/>
        <v>-152216.36246207642</v>
      </c>
    </row>
    <row r="211" spans="1:138" ht="12" customHeight="1" x14ac:dyDescent="0.25">
      <c r="A211" s="5">
        <f t="shared" si="299"/>
        <v>207</v>
      </c>
      <c r="B211" s="6" t="s">
        <v>292</v>
      </c>
      <c r="C211" s="7">
        <f t="shared" si="300"/>
        <v>2472.5</v>
      </c>
      <c r="D211" s="8">
        <v>2472.5</v>
      </c>
      <c r="E211" s="8">
        <v>0</v>
      </c>
      <c r="F211" s="8">
        <v>220.8</v>
      </c>
      <c r="G211" s="87">
        <f t="shared" si="232"/>
        <v>2472.5</v>
      </c>
      <c r="H211" s="87">
        <f t="shared" si="233"/>
        <v>2472.5</v>
      </c>
      <c r="I211" s="91">
        <v>0</v>
      </c>
      <c r="J211" s="112">
        <v>0</v>
      </c>
      <c r="K211" s="17">
        <v>0</v>
      </c>
      <c r="L211" s="112">
        <f t="shared" si="266"/>
        <v>0</v>
      </c>
      <c r="M211" s="116">
        <v>3.4058671840892552</v>
      </c>
      <c r="N211" s="120">
        <f t="shared" si="267"/>
        <v>2472.5</v>
      </c>
      <c r="O211" s="116">
        <v>3.0857331069609506</v>
      </c>
      <c r="P211" s="120">
        <f t="shared" si="268"/>
        <v>2472.5</v>
      </c>
      <c r="Q211" s="116">
        <v>0</v>
      </c>
      <c r="R211" s="120">
        <f t="shared" si="269"/>
        <v>0</v>
      </c>
      <c r="S211" s="5" t="s">
        <v>102</v>
      </c>
      <c r="T211" s="87">
        <v>25.29</v>
      </c>
      <c r="U211" s="88">
        <v>4.32</v>
      </c>
      <c r="V211" s="88">
        <v>5.61</v>
      </c>
      <c r="W211" s="88">
        <v>7.16</v>
      </c>
      <c r="X211" s="88">
        <v>5.31</v>
      </c>
      <c r="Y211" s="88">
        <v>2.67</v>
      </c>
      <c r="Z211" s="88">
        <v>0</v>
      </c>
      <c r="AA211" s="88">
        <v>0</v>
      </c>
      <c r="AB211" s="88">
        <v>0.22</v>
      </c>
      <c r="AC211" s="257"/>
      <c r="AD211" s="110">
        <f t="shared" si="270"/>
        <v>401557.50547371735</v>
      </c>
      <c r="AE211" s="110">
        <f t="shared" si="271"/>
        <v>68676.910407064483</v>
      </c>
      <c r="AF211" s="16">
        <f>SUMIF('20.01'!$I:$I,$B:$B,'20.01'!$D:$D)*1.2</f>
        <v>23540.376</v>
      </c>
      <c r="AG211" s="17">
        <f t="shared" si="301"/>
        <v>9195.5522137435764</v>
      </c>
      <c r="AH211" s="17">
        <f t="shared" si="272"/>
        <v>1887.998519561821</v>
      </c>
      <c r="AI211" s="16">
        <f>SUMIF('20.01'!$J:$J,$B:$B,'20.01'!$D:$D)*1.2</f>
        <v>0</v>
      </c>
      <c r="AJ211" s="17">
        <f t="shared" si="273"/>
        <v>767.24015213886275</v>
      </c>
      <c r="AK211" s="17">
        <f t="shared" si="274"/>
        <v>1866.5248441417141</v>
      </c>
      <c r="AL211" s="17">
        <f t="shared" si="275"/>
        <v>31419.218677478515</v>
      </c>
      <c r="AM211" s="110">
        <f t="shared" si="276"/>
        <v>0</v>
      </c>
      <c r="AN211" s="17">
        <f>SUMIF('20.01'!$K:$K,$B:$B,'20.01'!$D:$D)*1.2</f>
        <v>0</v>
      </c>
      <c r="AO211" s="17">
        <f>SUMIF('20.01'!$L:$L,$B:$B,'20.01'!$D:$D)*1.2</f>
        <v>0</v>
      </c>
      <c r="AP211" s="17">
        <f>SUMIF('20.01'!$M:$M,$B:$B,'20.01'!$D:$D)*1.2</f>
        <v>0</v>
      </c>
      <c r="AQ211" s="110">
        <f t="shared" si="277"/>
        <v>694.55506665287726</v>
      </c>
      <c r="AR211" s="17">
        <f t="shared" si="278"/>
        <v>694.55506665287726</v>
      </c>
      <c r="AS211" s="17">
        <f>(SUMIF('20.01'!$N:$N,$B:$B,'20.01'!$D:$D)+SUMIF('20.01'!$O:$O,$B:$B,'20.01'!$D:$D))*1.2</f>
        <v>0</v>
      </c>
      <c r="AT211" s="110">
        <f>SUMIF('20.01'!$P:$P,$B:$B,'20.01'!$D:$D)*1.2</f>
        <v>0</v>
      </c>
      <c r="AU211" s="110">
        <f t="shared" si="279"/>
        <v>0</v>
      </c>
      <c r="AV211" s="17">
        <f>SUMIF('20.01'!$Q:$Q,$B:$B,'20.01'!$D:$D)*1.2</f>
        <v>0</v>
      </c>
      <c r="AW211" s="17">
        <f>SUMIF('20.01'!$R:$R,$B:$B,'20.01'!$D:$D)*1.2</f>
        <v>0</v>
      </c>
      <c r="AX211" s="110">
        <f t="shared" si="280"/>
        <v>0</v>
      </c>
      <c r="AY211" s="17">
        <f>SUMIF('20.01'!$S:$S,$B:$B,'20.01'!$D:$D)*1.2</f>
        <v>0</v>
      </c>
      <c r="AZ211" s="17">
        <f>SUMIF('20.01'!$T:$T,$B:$B,'20.01'!$D:$D)*1.2</f>
        <v>0</v>
      </c>
      <c r="BA211" s="110">
        <f t="shared" si="281"/>
        <v>0</v>
      </c>
      <c r="BB211" s="17">
        <f>SUMIF('20.01'!$U:$U,$B:$B,'20.01'!$D:$D)*1.2</f>
        <v>0</v>
      </c>
      <c r="BC211" s="17">
        <f>SUMIF('20.01'!$V:$V,$B:$B,'20.01'!$D:$D)*1.2</f>
        <v>0</v>
      </c>
      <c r="BD211" s="17">
        <f>SUMIF('20.01'!$W:$W,$B:$B,'20.01'!$D:$D)*1.2</f>
        <v>0</v>
      </c>
      <c r="BE211" s="110">
        <f>SUMIF('20.01'!$X:$X,$B:$B,'20.01'!$D:$D)*1.2</f>
        <v>0</v>
      </c>
      <c r="BF211" s="110">
        <f t="shared" si="282"/>
        <v>0</v>
      </c>
      <c r="BG211" s="17">
        <f>SUMIF('20.01'!$Y:$Y,$B:$B,'20.01'!$D:$D)*1.2</f>
        <v>0</v>
      </c>
      <c r="BH211" s="17">
        <f>SUMIF('20.01'!$Z:$Z,$B:$B,'20.01'!$D:$D)*1.2</f>
        <v>0</v>
      </c>
      <c r="BI211" s="17">
        <f>SUMIF('20.01'!$AA:$AA,$B:$B,'20.01'!$D:$D)*1.2</f>
        <v>0</v>
      </c>
      <c r="BJ211" s="17">
        <f>SUMIF('20.01'!$AB:$AB,$B:$B,'20.01'!$D:$D)*1.2</f>
        <v>0</v>
      </c>
      <c r="BK211" s="17">
        <f>SUMIF('20.01'!$AC:$AC,$B:$B,'20.01'!$D:$D)*1.2</f>
        <v>0</v>
      </c>
      <c r="BL211" s="17">
        <f>SUMIF('20.01'!$AD:$AD,$B:$B,'20.01'!$D:$D)*1.2</f>
        <v>0</v>
      </c>
      <c r="BM211" s="110">
        <f t="shared" si="283"/>
        <v>0</v>
      </c>
      <c r="BN211" s="17">
        <f>SUMIF('20.01'!$AE:$AE,$B:$B,'20.01'!$D:$D)*1.2</f>
        <v>0</v>
      </c>
      <c r="BO211" s="17">
        <f>SUMIF('20.01'!$AF:$AF,$B:$B,'20.01'!$D:$D)*1.2</f>
        <v>0</v>
      </c>
      <c r="BP211" s="110">
        <f>SUMIF('20.01'!$AG:$AG,$B:$B,'20.01'!$D:$D)*1.2</f>
        <v>0</v>
      </c>
      <c r="BQ211" s="110">
        <f>SUMIF('20.01'!$AH:$AH,$B:$B,'20.01'!$D:$D)*1.2</f>
        <v>0</v>
      </c>
      <c r="BR211" s="110">
        <f>SUMIF('20.01'!$AI:$AI,$B:$B,'20.01'!$D:$D)*1.2</f>
        <v>0</v>
      </c>
      <c r="BS211" s="110">
        <f t="shared" si="284"/>
        <v>19867.164000000001</v>
      </c>
      <c r="BT211" s="17">
        <f>SUMIF('20.01'!$AJ:$AJ,$B:$B,'20.01'!$D:$D)*1.2</f>
        <v>19867.164000000001</v>
      </c>
      <c r="BU211" s="17">
        <f>SUMIF('20.01'!$AK:$AK,$B:$B,'20.01'!$D:$D)*1.2</f>
        <v>0</v>
      </c>
      <c r="BV211" s="110">
        <f>SUMIF('20.01'!$AL:$AL,$B:$B,'20.01'!$D:$D)*1.2</f>
        <v>312318.87599999999</v>
      </c>
      <c r="BW211" s="110">
        <f>SUMIF('20.01'!$AM:$AM,$B:$B,'20.01'!$D:$D)*1.2</f>
        <v>0</v>
      </c>
      <c r="BX211" s="110">
        <f>SUMIF('20.01'!$AN:$AN,$B:$B,'20.01'!$D:$D)*1.2</f>
        <v>0</v>
      </c>
      <c r="BY211" s="110">
        <f t="shared" si="234"/>
        <v>433838.83516235068</v>
      </c>
      <c r="BZ211" s="17">
        <f t="shared" si="302"/>
        <v>344635.77157295361</v>
      </c>
      <c r="CA211" s="17">
        <f t="shared" si="235"/>
        <v>15335.139319580574</v>
      </c>
      <c r="CB211" s="17">
        <f t="shared" si="236"/>
        <v>1019.4015212412945</v>
      </c>
      <c r="CC211" s="17">
        <f>SUMIF('20.01'!$AO:$AO,$B:$B,'20.01'!$D:$D)*1.2</f>
        <v>0</v>
      </c>
      <c r="CD211" s="17">
        <f t="shared" si="237"/>
        <v>16003.568527365047</v>
      </c>
      <c r="CE211" s="17">
        <f>SUMIF('20.01'!$AQ:$AQ,$B:$B,'20.01'!$D:$D)*1.2</f>
        <v>0</v>
      </c>
      <c r="CF211" s="17">
        <f t="shared" si="238"/>
        <v>1456.071752107724</v>
      </c>
      <c r="CG211" s="17">
        <f>SUMIF('20.01'!$AR:$AR,$B:$B,'20.01'!$D:$D)*1.2</f>
        <v>53682.444000000003</v>
      </c>
      <c r="CH211" s="17">
        <f t="shared" si="239"/>
        <v>857.52060766184763</v>
      </c>
      <c r="CI211" s="17">
        <f>SUMIF('20.01'!$AT:$AT,$B:$B,'20.01'!$D:$D)*1.2</f>
        <v>0</v>
      </c>
      <c r="CJ211" s="17">
        <f>SUMIF('20.01'!$AU:$AU,$B:$B,'20.01'!$D:$D)*1.2</f>
        <v>0</v>
      </c>
      <c r="CK211" s="17">
        <f>SUMIF('20.01'!$AV:$AV,$B:$B,'20.01'!$D:$D)*1.2</f>
        <v>0</v>
      </c>
      <c r="CL211" s="17">
        <f t="shared" si="240"/>
        <v>848.91786144056039</v>
      </c>
      <c r="CM211" s="17">
        <f>SUMIF('20.01'!$AW:$AW,$B:$B,'20.01'!$D:$D)*1.2</f>
        <v>0</v>
      </c>
      <c r="CN211" s="17">
        <f>SUMIF('20.01'!$AX:$AX,$B:$B,'20.01'!$D:$D)*1.2</f>
        <v>0</v>
      </c>
      <c r="CO211" s="110">
        <f t="shared" si="285"/>
        <v>284779.19195308321</v>
      </c>
      <c r="CP211" s="17">
        <f t="shared" si="286"/>
        <v>224645.61012444436</v>
      </c>
      <c r="CQ211" s="17">
        <f t="shared" si="241"/>
        <v>69306.261766312266</v>
      </c>
      <c r="CR211" s="17">
        <f t="shared" si="242"/>
        <v>155339.34835813209</v>
      </c>
      <c r="CS211" s="17">
        <f t="shared" si="287"/>
        <v>60133.58182863886</v>
      </c>
      <c r="CT211" s="17">
        <f t="shared" si="243"/>
        <v>2190.7191367476134</v>
      </c>
      <c r="CU211" s="17">
        <f t="shared" si="244"/>
        <v>2118.9369326642714</v>
      </c>
      <c r="CV211" s="17">
        <f t="shared" si="245"/>
        <v>2189.967631500976</v>
      </c>
      <c r="CW211" s="17">
        <f t="shared" si="246"/>
        <v>22.964221868527371</v>
      </c>
      <c r="CX211" s="17">
        <f t="shared" si="247"/>
        <v>32335.933135158743</v>
      </c>
      <c r="CY211" s="17">
        <f t="shared" si="248"/>
        <v>21275.060770698728</v>
      </c>
      <c r="CZ211" s="110">
        <f t="shared" si="288"/>
        <v>70689.650723214072</v>
      </c>
      <c r="DA211" s="17">
        <f t="shared" si="289"/>
        <v>2670.2583568055088</v>
      </c>
      <c r="DB211" s="17">
        <f t="shared" si="249"/>
        <v>2533.9772285474924</v>
      </c>
      <c r="DC211" s="17">
        <f t="shared" si="250"/>
        <v>136.28112825801639</v>
      </c>
      <c r="DD211" s="17">
        <f t="shared" si="251"/>
        <v>4705.3015259910326</v>
      </c>
      <c r="DE211" s="17">
        <f t="shared" si="252"/>
        <v>1623.4530098795333</v>
      </c>
      <c r="DF211" s="17">
        <f t="shared" si="253"/>
        <v>1970.2863992233922</v>
      </c>
      <c r="DG211" s="17">
        <f t="shared" si="290"/>
        <v>59720.351431314608</v>
      </c>
      <c r="DH211" s="110">
        <f t="shared" si="291"/>
        <v>44115.864130803668</v>
      </c>
      <c r="DI211" s="17">
        <f t="shared" si="254"/>
        <v>39573.728829246931</v>
      </c>
      <c r="DJ211" s="17">
        <f t="shared" si="255"/>
        <v>4376.6218712873751</v>
      </c>
      <c r="DK211" s="17">
        <f t="shared" si="256"/>
        <v>165.5134302693609</v>
      </c>
      <c r="DL211" s="110">
        <f t="shared" si="292"/>
        <v>262270.42342107138</v>
      </c>
      <c r="DM211" s="17">
        <f t="shared" si="257"/>
        <v>139003.32441316784</v>
      </c>
      <c r="DN211" s="17">
        <f t="shared" si="258"/>
        <v>123267.09900790357</v>
      </c>
      <c r="DO211" s="17">
        <f t="shared" si="259"/>
        <v>0</v>
      </c>
      <c r="DP211" s="110">
        <f t="shared" si="293"/>
        <v>0</v>
      </c>
      <c r="DQ211" s="17">
        <f>SUMIF('20.01'!$BB:$BB,$B:$B,'20.01'!$D:$D)*1.2</f>
        <v>0</v>
      </c>
      <c r="DR211" s="17">
        <f t="shared" si="260"/>
        <v>0</v>
      </c>
      <c r="DS211" s="17">
        <f t="shared" si="261"/>
        <v>0</v>
      </c>
      <c r="DT211" s="110">
        <f t="shared" si="294"/>
        <v>5689.5240000000003</v>
      </c>
      <c r="DU211" s="17">
        <f>SUMIF('20.01'!$BD:$BD,$B:$B,'20.01'!$D:$D)*1.2</f>
        <v>5689.5240000000003</v>
      </c>
      <c r="DV211" s="17">
        <f t="shared" si="262"/>
        <v>0</v>
      </c>
      <c r="DW211" s="17">
        <f t="shared" si="263"/>
        <v>0</v>
      </c>
      <c r="DX211" s="110">
        <f t="shared" si="264"/>
        <v>1502940.9948642403</v>
      </c>
      <c r="DY211" s="110"/>
      <c r="DZ211" s="110">
        <f t="shared" si="295"/>
        <v>1502940.9948642403</v>
      </c>
      <c r="EA211" s="257"/>
      <c r="EB211" s="110">
        <f t="shared" si="265"/>
        <v>0</v>
      </c>
      <c r="EC211" s="110">
        <f>SUMIF(еирц!$B:$B,$B:$B,еирц!$K:$K)</f>
        <v>750355.43</v>
      </c>
      <c r="ED211" s="110">
        <f>SUMIF(еирц!$B:$B,$B:$B,еирц!$P:$P)</f>
        <v>732212.7</v>
      </c>
      <c r="EE211" s="110">
        <f>SUMIF(еирц!$B:$B,$B:$B,еирц!$S:$S)</f>
        <v>106777.98</v>
      </c>
      <c r="EF211" s="177">
        <f t="shared" si="296"/>
        <v>-752585.56486424024</v>
      </c>
      <c r="EG211" s="181">
        <f t="shared" si="297"/>
        <v>0</v>
      </c>
      <c r="EH211" s="177">
        <f t="shared" si="298"/>
        <v>-752585.56486424024</v>
      </c>
    </row>
    <row r="212" spans="1:138" ht="12" customHeight="1" x14ac:dyDescent="0.25">
      <c r="A212" s="5">
        <f t="shared" si="299"/>
        <v>208</v>
      </c>
      <c r="B212" s="6" t="s">
        <v>293</v>
      </c>
      <c r="C212" s="7">
        <f t="shared" si="300"/>
        <v>632.29999999999995</v>
      </c>
      <c r="D212" s="8">
        <v>632.29999999999995</v>
      </c>
      <c r="E212" s="8">
        <v>0</v>
      </c>
      <c r="F212" s="8">
        <v>41.3</v>
      </c>
      <c r="G212" s="87">
        <f t="shared" si="232"/>
        <v>632.29999999999995</v>
      </c>
      <c r="H212" s="87">
        <f t="shared" si="233"/>
        <v>632.29999999999995</v>
      </c>
      <c r="I212" s="91">
        <v>0</v>
      </c>
      <c r="J212" s="112">
        <v>0</v>
      </c>
      <c r="K212" s="17">
        <v>0</v>
      </c>
      <c r="L212" s="112">
        <f t="shared" si="266"/>
        <v>0</v>
      </c>
      <c r="M212" s="116">
        <v>3.4064074518471741</v>
      </c>
      <c r="N212" s="120">
        <f t="shared" si="267"/>
        <v>632.29999999999995</v>
      </c>
      <c r="O212" s="116">
        <v>3.0862418692769187</v>
      </c>
      <c r="P212" s="120">
        <f t="shared" si="268"/>
        <v>632.29999999999995</v>
      </c>
      <c r="Q212" s="116">
        <v>0</v>
      </c>
      <c r="R212" s="120">
        <f t="shared" si="269"/>
        <v>0</v>
      </c>
      <c r="S212" s="5" t="s">
        <v>102</v>
      </c>
      <c r="T212" s="87">
        <v>25.29</v>
      </c>
      <c r="U212" s="88">
        <v>4.32</v>
      </c>
      <c r="V212" s="88">
        <v>5.61</v>
      </c>
      <c r="W212" s="88">
        <v>7.16</v>
      </c>
      <c r="X212" s="88">
        <v>5.31</v>
      </c>
      <c r="Y212" s="88">
        <v>2.67</v>
      </c>
      <c r="Z212" s="88">
        <v>0</v>
      </c>
      <c r="AA212" s="88">
        <v>0</v>
      </c>
      <c r="AB212" s="88">
        <v>0.22</v>
      </c>
      <c r="AC212" s="257"/>
      <c r="AD212" s="110">
        <f t="shared" si="270"/>
        <v>11900.416923855</v>
      </c>
      <c r="AE212" s="110">
        <f t="shared" si="271"/>
        <v>11722.796228751011</v>
      </c>
      <c r="AF212" s="16">
        <f>SUMIF('20.01'!$I:$I,$B:$B,'20.01'!$D:$D)*1.2</f>
        <v>179.892</v>
      </c>
      <c r="AG212" s="17">
        <f t="shared" si="301"/>
        <v>2351.6067400404704</v>
      </c>
      <c r="AH212" s="17">
        <f t="shared" si="272"/>
        <v>482.82364566994511</v>
      </c>
      <c r="AI212" s="16">
        <f>SUMIF('20.01'!$J:$J,$B:$B,'20.01'!$D:$D)*1.2</f>
        <v>0</v>
      </c>
      <c r="AJ212" s="17">
        <f t="shared" si="273"/>
        <v>196.2086747006685</v>
      </c>
      <c r="AK212" s="17">
        <f t="shared" si="274"/>
        <v>477.33211686584661</v>
      </c>
      <c r="AL212" s="17">
        <f t="shared" si="275"/>
        <v>8034.9330514740805</v>
      </c>
      <c r="AM212" s="110">
        <f t="shared" si="276"/>
        <v>0</v>
      </c>
      <c r="AN212" s="17">
        <f>SUMIF('20.01'!$K:$K,$B:$B,'20.01'!$D:$D)*1.2</f>
        <v>0</v>
      </c>
      <c r="AO212" s="17">
        <f>SUMIF('20.01'!$L:$L,$B:$B,'20.01'!$D:$D)*1.2</f>
        <v>0</v>
      </c>
      <c r="AP212" s="17">
        <f>SUMIF('20.01'!$M:$M,$B:$B,'20.01'!$D:$D)*1.2</f>
        <v>0</v>
      </c>
      <c r="AQ212" s="110">
        <f t="shared" si="277"/>
        <v>177.62069510398959</v>
      </c>
      <c r="AR212" s="17">
        <f t="shared" si="278"/>
        <v>177.62069510398959</v>
      </c>
      <c r="AS212" s="17">
        <f>(SUMIF('20.01'!$N:$N,$B:$B,'20.01'!$D:$D)+SUMIF('20.01'!$O:$O,$B:$B,'20.01'!$D:$D))*1.2</f>
        <v>0</v>
      </c>
      <c r="AT212" s="110">
        <f>SUMIF('20.01'!$P:$P,$B:$B,'20.01'!$D:$D)*1.2</f>
        <v>0</v>
      </c>
      <c r="AU212" s="110">
        <f t="shared" si="279"/>
        <v>0</v>
      </c>
      <c r="AV212" s="17">
        <f>SUMIF('20.01'!$Q:$Q,$B:$B,'20.01'!$D:$D)*1.2</f>
        <v>0</v>
      </c>
      <c r="AW212" s="17">
        <f>SUMIF('20.01'!$R:$R,$B:$B,'20.01'!$D:$D)*1.2</f>
        <v>0</v>
      </c>
      <c r="AX212" s="110">
        <f t="shared" si="280"/>
        <v>0</v>
      </c>
      <c r="AY212" s="17">
        <f>SUMIF('20.01'!$S:$S,$B:$B,'20.01'!$D:$D)*1.2</f>
        <v>0</v>
      </c>
      <c r="AZ212" s="17">
        <f>SUMIF('20.01'!$T:$T,$B:$B,'20.01'!$D:$D)*1.2</f>
        <v>0</v>
      </c>
      <c r="BA212" s="110">
        <f t="shared" si="281"/>
        <v>0</v>
      </c>
      <c r="BB212" s="17">
        <f>SUMIF('20.01'!$U:$U,$B:$B,'20.01'!$D:$D)*1.2</f>
        <v>0</v>
      </c>
      <c r="BC212" s="17">
        <f>SUMIF('20.01'!$V:$V,$B:$B,'20.01'!$D:$D)*1.2</f>
        <v>0</v>
      </c>
      <c r="BD212" s="17">
        <f>SUMIF('20.01'!$W:$W,$B:$B,'20.01'!$D:$D)*1.2</f>
        <v>0</v>
      </c>
      <c r="BE212" s="110">
        <f>SUMIF('20.01'!$X:$X,$B:$B,'20.01'!$D:$D)*1.2</f>
        <v>0</v>
      </c>
      <c r="BF212" s="110">
        <f t="shared" si="282"/>
        <v>0</v>
      </c>
      <c r="BG212" s="17">
        <f>SUMIF('20.01'!$Y:$Y,$B:$B,'20.01'!$D:$D)*1.2</f>
        <v>0</v>
      </c>
      <c r="BH212" s="17">
        <f>SUMIF('20.01'!$Z:$Z,$B:$B,'20.01'!$D:$D)*1.2</f>
        <v>0</v>
      </c>
      <c r="BI212" s="17">
        <f>SUMIF('20.01'!$AA:$AA,$B:$B,'20.01'!$D:$D)*1.2</f>
        <v>0</v>
      </c>
      <c r="BJ212" s="17">
        <f>SUMIF('20.01'!$AB:$AB,$B:$B,'20.01'!$D:$D)*1.2</f>
        <v>0</v>
      </c>
      <c r="BK212" s="17">
        <f>SUMIF('20.01'!$AC:$AC,$B:$B,'20.01'!$D:$D)*1.2</f>
        <v>0</v>
      </c>
      <c r="BL212" s="17">
        <f>SUMIF('20.01'!$AD:$AD,$B:$B,'20.01'!$D:$D)*1.2</f>
        <v>0</v>
      </c>
      <c r="BM212" s="110">
        <f t="shared" si="283"/>
        <v>0</v>
      </c>
      <c r="BN212" s="17">
        <f>SUMIF('20.01'!$AE:$AE,$B:$B,'20.01'!$D:$D)*1.2</f>
        <v>0</v>
      </c>
      <c r="BO212" s="17">
        <f>SUMIF('20.01'!$AF:$AF,$B:$B,'20.01'!$D:$D)*1.2</f>
        <v>0</v>
      </c>
      <c r="BP212" s="110">
        <f>SUMIF('20.01'!$AG:$AG,$B:$B,'20.01'!$D:$D)*1.2</f>
        <v>0</v>
      </c>
      <c r="BQ212" s="110">
        <f>SUMIF('20.01'!$AH:$AH,$B:$B,'20.01'!$D:$D)*1.2</f>
        <v>0</v>
      </c>
      <c r="BR212" s="110">
        <f>SUMIF('20.01'!$AI:$AI,$B:$B,'20.01'!$D:$D)*1.2</f>
        <v>0</v>
      </c>
      <c r="BS212" s="110">
        <f t="shared" si="284"/>
        <v>0</v>
      </c>
      <c r="BT212" s="17">
        <f>SUMIF('20.01'!$AJ:$AJ,$B:$B,'20.01'!$D:$D)*1.2</f>
        <v>0</v>
      </c>
      <c r="BU212" s="17">
        <f>SUMIF('20.01'!$AK:$AK,$B:$B,'20.01'!$D:$D)*1.2</f>
        <v>0</v>
      </c>
      <c r="BV212" s="110">
        <f>SUMIF('20.01'!$AL:$AL,$B:$B,'20.01'!$D:$D)*1.2</f>
        <v>0</v>
      </c>
      <c r="BW212" s="110">
        <f>SUMIF('20.01'!$AM:$AM,$B:$B,'20.01'!$D:$D)*1.2</f>
        <v>0</v>
      </c>
      <c r="BX212" s="110">
        <f>SUMIF('20.01'!$AN:$AN,$B:$B,'20.01'!$D:$D)*1.2</f>
        <v>0</v>
      </c>
      <c r="BY212" s="110">
        <f t="shared" si="234"/>
        <v>97218.558597352589</v>
      </c>
      <c r="BZ212" s="17">
        <f t="shared" si="302"/>
        <v>88134.761725208708</v>
      </c>
      <c r="CA212" s="17">
        <f t="shared" si="235"/>
        <v>3921.7021604735273</v>
      </c>
      <c r="CB212" s="17">
        <f t="shared" si="236"/>
        <v>260.69467416819839</v>
      </c>
      <c r="CC212" s="17">
        <f>SUMIF('20.01'!$AO:$AO,$B:$B,'20.01'!$D:$D)*1.2</f>
        <v>0</v>
      </c>
      <c r="CD212" s="17">
        <f t="shared" si="237"/>
        <v>4092.6416096472872</v>
      </c>
      <c r="CE212" s="17">
        <f>SUMIF('20.01'!$AQ:$AQ,$B:$B,'20.01'!$D:$D)*1.2</f>
        <v>0</v>
      </c>
      <c r="CF212" s="17">
        <f t="shared" si="238"/>
        <v>372.36569013456574</v>
      </c>
      <c r="CG212" s="17">
        <f>SUMIF('20.01'!$AR:$AR,$B:$B,'20.01'!$D:$D)*1.2</f>
        <v>0</v>
      </c>
      <c r="CH212" s="17">
        <f t="shared" si="239"/>
        <v>219.29637218385693</v>
      </c>
      <c r="CI212" s="17">
        <f>SUMIF('20.01'!$AT:$AT,$B:$B,'20.01'!$D:$D)*1.2</f>
        <v>0</v>
      </c>
      <c r="CJ212" s="17">
        <f>SUMIF('20.01'!$AU:$AU,$B:$B,'20.01'!$D:$D)*1.2</f>
        <v>0</v>
      </c>
      <c r="CK212" s="17">
        <f>SUMIF('20.01'!$AV:$AV,$B:$B,'20.01'!$D:$D)*1.2</f>
        <v>0</v>
      </c>
      <c r="CL212" s="17">
        <f t="shared" si="240"/>
        <v>217.09636553644742</v>
      </c>
      <c r="CM212" s="17">
        <f>SUMIF('20.01'!$AW:$AW,$B:$B,'20.01'!$D:$D)*1.2</f>
        <v>0</v>
      </c>
      <c r="CN212" s="17">
        <f>SUMIF('20.01'!$AX:$AX,$B:$B,'20.01'!$D:$D)*1.2</f>
        <v>0</v>
      </c>
      <c r="CO212" s="110">
        <f t="shared" si="285"/>
        <v>72827.45523637392</v>
      </c>
      <c r="CP212" s="17">
        <f t="shared" si="286"/>
        <v>57449.310124038901</v>
      </c>
      <c r="CQ212" s="17">
        <f t="shared" si="241"/>
        <v>17723.902655142265</v>
      </c>
      <c r="CR212" s="17">
        <f t="shared" si="242"/>
        <v>39725.407468896636</v>
      </c>
      <c r="CS212" s="17">
        <f t="shared" si="287"/>
        <v>15378.145112335023</v>
      </c>
      <c r="CT212" s="17">
        <f t="shared" si="243"/>
        <v>560.23931654823696</v>
      </c>
      <c r="CU212" s="17">
        <f t="shared" si="244"/>
        <v>541.88223357881452</v>
      </c>
      <c r="CV212" s="17">
        <f t="shared" si="245"/>
        <v>560.04713180912711</v>
      </c>
      <c r="CW212" s="17">
        <f t="shared" si="246"/>
        <v>5.8727108139412971</v>
      </c>
      <c r="CX212" s="17">
        <f t="shared" si="247"/>
        <v>8269.3672482753773</v>
      </c>
      <c r="CY212" s="17">
        <f t="shared" si="248"/>
        <v>5440.7364713095267</v>
      </c>
      <c r="CZ212" s="110">
        <f t="shared" si="288"/>
        <v>18077.680951380487</v>
      </c>
      <c r="DA212" s="17">
        <f t="shared" si="289"/>
        <v>682.87335045829047</v>
      </c>
      <c r="DB212" s="17">
        <f t="shared" si="249"/>
        <v>648.0217600042788</v>
      </c>
      <c r="DC212" s="17">
        <f t="shared" si="250"/>
        <v>34.851590454011628</v>
      </c>
      <c r="DD212" s="17">
        <f t="shared" si="251"/>
        <v>1203.3011748773022</v>
      </c>
      <c r="DE212" s="17">
        <f t="shared" si="252"/>
        <v>415.17061199062846</v>
      </c>
      <c r="DF212" s="17">
        <f t="shared" si="253"/>
        <v>503.8673772412339</v>
      </c>
      <c r="DG212" s="17">
        <f t="shared" si="290"/>
        <v>15272.468436813033</v>
      </c>
      <c r="DH212" s="110">
        <f t="shared" si="291"/>
        <v>11281.885091974582</v>
      </c>
      <c r="DI212" s="17">
        <f t="shared" si="254"/>
        <v>10120.31091556434</v>
      </c>
      <c r="DJ212" s="17">
        <f t="shared" si="255"/>
        <v>1119.246919803845</v>
      </c>
      <c r="DK212" s="17">
        <f t="shared" si="256"/>
        <v>42.327256606397121</v>
      </c>
      <c r="DL212" s="110">
        <f t="shared" si="292"/>
        <v>67071.218899552448</v>
      </c>
      <c r="DM212" s="17">
        <f t="shared" si="257"/>
        <v>35547.746016762801</v>
      </c>
      <c r="DN212" s="17">
        <f t="shared" si="258"/>
        <v>31523.472882789654</v>
      </c>
      <c r="DO212" s="17">
        <f t="shared" si="259"/>
        <v>0</v>
      </c>
      <c r="DP212" s="110">
        <f t="shared" si="293"/>
        <v>0</v>
      </c>
      <c r="DQ212" s="17">
        <f>SUMIF('20.01'!$BB:$BB,$B:$B,'20.01'!$D:$D)*1.2</f>
        <v>0</v>
      </c>
      <c r="DR212" s="17">
        <f t="shared" si="260"/>
        <v>0</v>
      </c>
      <c r="DS212" s="17">
        <f t="shared" si="261"/>
        <v>0</v>
      </c>
      <c r="DT212" s="110">
        <f t="shared" si="294"/>
        <v>1706.8439999999998</v>
      </c>
      <c r="DU212" s="17">
        <f>SUMIF('20.01'!$BD:$BD,$B:$B,'20.01'!$D:$D)*1.2</f>
        <v>1706.8439999999998</v>
      </c>
      <c r="DV212" s="17">
        <f t="shared" si="262"/>
        <v>0</v>
      </c>
      <c r="DW212" s="17">
        <f t="shared" si="263"/>
        <v>0</v>
      </c>
      <c r="DX212" s="110">
        <f t="shared" si="264"/>
        <v>280084.05970048899</v>
      </c>
      <c r="DY212" s="110"/>
      <c r="DZ212" s="110">
        <f t="shared" si="295"/>
        <v>280084.05970048899</v>
      </c>
      <c r="EA212" s="257"/>
      <c r="EB212" s="110">
        <f t="shared" si="265"/>
        <v>0</v>
      </c>
      <c r="EC212" s="110">
        <f>SUMIF(еирц!$B:$B,$B:$B,еирц!$K:$K)</f>
        <v>191890.44</v>
      </c>
      <c r="ED212" s="110">
        <f>SUMIF(еирц!$B:$B,$B:$B,еирц!$P:$P)</f>
        <v>188551.82</v>
      </c>
      <c r="EE212" s="110">
        <f>SUMIF(еирц!$B:$B,$B:$B,еирц!$S:$S)</f>
        <v>29495.1</v>
      </c>
      <c r="EF212" s="177">
        <f t="shared" si="296"/>
        <v>-88193.619700488984</v>
      </c>
      <c r="EG212" s="181">
        <f t="shared" si="297"/>
        <v>0</v>
      </c>
      <c r="EH212" s="177">
        <f t="shared" si="298"/>
        <v>-88193.619700488984</v>
      </c>
    </row>
    <row r="213" spans="1:138" ht="12" customHeight="1" x14ac:dyDescent="0.25">
      <c r="A213" s="5">
        <f t="shared" si="299"/>
        <v>209</v>
      </c>
      <c r="B213" s="6" t="s">
        <v>294</v>
      </c>
      <c r="C213" s="7">
        <f t="shared" si="300"/>
        <v>651.9</v>
      </c>
      <c r="D213" s="8">
        <v>651.9</v>
      </c>
      <c r="E213" s="8">
        <v>0</v>
      </c>
      <c r="F213" s="8">
        <v>53.7</v>
      </c>
      <c r="G213" s="87">
        <f t="shared" si="232"/>
        <v>651.9</v>
      </c>
      <c r="H213" s="87">
        <f t="shared" si="233"/>
        <v>651.9</v>
      </c>
      <c r="I213" s="91">
        <v>0</v>
      </c>
      <c r="J213" s="112">
        <v>0</v>
      </c>
      <c r="K213" s="17">
        <v>0</v>
      </c>
      <c r="L213" s="112">
        <f t="shared" si="266"/>
        <v>0</v>
      </c>
      <c r="M213" s="116">
        <v>3.4064265071329962</v>
      </c>
      <c r="N213" s="120">
        <f t="shared" si="267"/>
        <v>651.9</v>
      </c>
      <c r="O213" s="116">
        <v>3.0862344531369845</v>
      </c>
      <c r="P213" s="120">
        <f t="shared" si="268"/>
        <v>651.9</v>
      </c>
      <c r="Q213" s="116">
        <v>0</v>
      </c>
      <c r="R213" s="120">
        <f t="shared" si="269"/>
        <v>0</v>
      </c>
      <c r="S213" s="5" t="s">
        <v>102</v>
      </c>
      <c r="T213" s="87">
        <v>25.29</v>
      </c>
      <c r="U213" s="88">
        <v>4.32</v>
      </c>
      <c r="V213" s="88">
        <v>5.61</v>
      </c>
      <c r="W213" s="88">
        <v>7.16</v>
      </c>
      <c r="X213" s="88">
        <v>5.31</v>
      </c>
      <c r="Y213" s="88">
        <v>2.67</v>
      </c>
      <c r="Z213" s="88">
        <v>0</v>
      </c>
      <c r="AA213" s="88">
        <v>0</v>
      </c>
      <c r="AB213" s="88">
        <v>0.22</v>
      </c>
      <c r="AC213" s="257"/>
      <c r="AD213" s="110">
        <f t="shared" si="270"/>
        <v>23582.741099258379</v>
      </c>
      <c r="AE213" s="110">
        <f t="shared" si="271"/>
        <v>23399.614527791844</v>
      </c>
      <c r="AF213" s="16">
        <f>SUMIF('20.01'!$I:$I,$B:$B,'20.01'!$D:$D)*1.2</f>
        <v>11498.904</v>
      </c>
      <c r="AG213" s="17">
        <f t="shared" si="301"/>
        <v>2424.5017141109956</v>
      </c>
      <c r="AH213" s="17">
        <f t="shared" si="272"/>
        <v>497.79018600701761</v>
      </c>
      <c r="AI213" s="16">
        <f>SUMIF('20.01'!$J:$J,$B:$B,'20.01'!$D:$D)*1.2</f>
        <v>0</v>
      </c>
      <c r="AJ213" s="17">
        <f t="shared" si="273"/>
        <v>202.29074021408479</v>
      </c>
      <c r="AK213" s="17">
        <f t="shared" si="274"/>
        <v>492.1284311004988</v>
      </c>
      <c r="AL213" s="17">
        <f t="shared" si="275"/>
        <v>8283.9994563592481</v>
      </c>
      <c r="AM213" s="110">
        <f t="shared" si="276"/>
        <v>0</v>
      </c>
      <c r="AN213" s="17">
        <f>SUMIF('20.01'!$K:$K,$B:$B,'20.01'!$D:$D)*1.2</f>
        <v>0</v>
      </c>
      <c r="AO213" s="17">
        <f>SUMIF('20.01'!$L:$L,$B:$B,'20.01'!$D:$D)*1.2</f>
        <v>0</v>
      </c>
      <c r="AP213" s="17">
        <f>SUMIF('20.01'!$M:$M,$B:$B,'20.01'!$D:$D)*1.2</f>
        <v>0</v>
      </c>
      <c r="AQ213" s="110">
        <f t="shared" si="277"/>
        <v>183.12657146653618</v>
      </c>
      <c r="AR213" s="17">
        <f t="shared" si="278"/>
        <v>183.12657146653618</v>
      </c>
      <c r="AS213" s="17">
        <f>(SUMIF('20.01'!$N:$N,$B:$B,'20.01'!$D:$D)+SUMIF('20.01'!$O:$O,$B:$B,'20.01'!$D:$D))*1.2</f>
        <v>0</v>
      </c>
      <c r="AT213" s="110">
        <f>SUMIF('20.01'!$P:$P,$B:$B,'20.01'!$D:$D)*1.2</f>
        <v>0</v>
      </c>
      <c r="AU213" s="110">
        <f t="shared" si="279"/>
        <v>0</v>
      </c>
      <c r="AV213" s="17">
        <f>SUMIF('20.01'!$Q:$Q,$B:$B,'20.01'!$D:$D)*1.2</f>
        <v>0</v>
      </c>
      <c r="AW213" s="17">
        <f>SUMIF('20.01'!$R:$R,$B:$B,'20.01'!$D:$D)*1.2</f>
        <v>0</v>
      </c>
      <c r="AX213" s="110">
        <f t="shared" si="280"/>
        <v>0</v>
      </c>
      <c r="AY213" s="17">
        <f>SUMIF('20.01'!$S:$S,$B:$B,'20.01'!$D:$D)*1.2</f>
        <v>0</v>
      </c>
      <c r="AZ213" s="17">
        <f>SUMIF('20.01'!$T:$T,$B:$B,'20.01'!$D:$D)*1.2</f>
        <v>0</v>
      </c>
      <c r="BA213" s="110">
        <f t="shared" si="281"/>
        <v>0</v>
      </c>
      <c r="BB213" s="17">
        <f>SUMIF('20.01'!$U:$U,$B:$B,'20.01'!$D:$D)*1.2</f>
        <v>0</v>
      </c>
      <c r="BC213" s="17">
        <f>SUMIF('20.01'!$V:$V,$B:$B,'20.01'!$D:$D)*1.2</f>
        <v>0</v>
      </c>
      <c r="BD213" s="17">
        <f>SUMIF('20.01'!$W:$W,$B:$B,'20.01'!$D:$D)*1.2</f>
        <v>0</v>
      </c>
      <c r="BE213" s="110">
        <f>SUMIF('20.01'!$X:$X,$B:$B,'20.01'!$D:$D)*1.2</f>
        <v>0</v>
      </c>
      <c r="BF213" s="110">
        <f t="shared" si="282"/>
        <v>0</v>
      </c>
      <c r="BG213" s="17">
        <f>SUMIF('20.01'!$Y:$Y,$B:$B,'20.01'!$D:$D)*1.2</f>
        <v>0</v>
      </c>
      <c r="BH213" s="17">
        <f>SUMIF('20.01'!$Z:$Z,$B:$B,'20.01'!$D:$D)*1.2</f>
        <v>0</v>
      </c>
      <c r="BI213" s="17">
        <f>SUMIF('20.01'!$AA:$AA,$B:$B,'20.01'!$D:$D)*1.2</f>
        <v>0</v>
      </c>
      <c r="BJ213" s="17">
        <f>SUMIF('20.01'!$AB:$AB,$B:$B,'20.01'!$D:$D)*1.2</f>
        <v>0</v>
      </c>
      <c r="BK213" s="17">
        <f>SUMIF('20.01'!$AC:$AC,$B:$B,'20.01'!$D:$D)*1.2</f>
        <v>0</v>
      </c>
      <c r="BL213" s="17">
        <f>SUMIF('20.01'!$AD:$AD,$B:$B,'20.01'!$D:$D)*1.2</f>
        <v>0</v>
      </c>
      <c r="BM213" s="110">
        <f t="shared" si="283"/>
        <v>0</v>
      </c>
      <c r="BN213" s="17">
        <f>SUMIF('20.01'!$AE:$AE,$B:$B,'20.01'!$D:$D)*1.2</f>
        <v>0</v>
      </c>
      <c r="BO213" s="17">
        <f>SUMIF('20.01'!$AF:$AF,$B:$B,'20.01'!$D:$D)*1.2</f>
        <v>0</v>
      </c>
      <c r="BP213" s="110">
        <f>SUMIF('20.01'!$AG:$AG,$B:$B,'20.01'!$D:$D)*1.2</f>
        <v>0</v>
      </c>
      <c r="BQ213" s="110">
        <f>SUMIF('20.01'!$AH:$AH,$B:$B,'20.01'!$D:$D)*1.2</f>
        <v>0</v>
      </c>
      <c r="BR213" s="110">
        <f>SUMIF('20.01'!$AI:$AI,$B:$B,'20.01'!$D:$D)*1.2</f>
        <v>0</v>
      </c>
      <c r="BS213" s="110">
        <f t="shared" si="284"/>
        <v>0</v>
      </c>
      <c r="BT213" s="17">
        <f>SUMIF('20.01'!$AJ:$AJ,$B:$B,'20.01'!$D:$D)*1.2</f>
        <v>0</v>
      </c>
      <c r="BU213" s="17">
        <f>SUMIF('20.01'!$AK:$AK,$B:$B,'20.01'!$D:$D)*1.2</f>
        <v>0</v>
      </c>
      <c r="BV213" s="110">
        <f>SUMIF('20.01'!$AL:$AL,$B:$B,'20.01'!$D:$D)*1.2</f>
        <v>0</v>
      </c>
      <c r="BW213" s="110">
        <f>SUMIF('20.01'!$AM:$AM,$B:$B,'20.01'!$D:$D)*1.2</f>
        <v>0</v>
      </c>
      <c r="BX213" s="110">
        <f>SUMIF('20.01'!$AN:$AN,$B:$B,'20.01'!$D:$D)*1.2</f>
        <v>0</v>
      </c>
      <c r="BY213" s="110">
        <f t="shared" si="234"/>
        <v>150966.31003386711</v>
      </c>
      <c r="BZ213" s="17">
        <f t="shared" si="302"/>
        <v>90866.758134846692</v>
      </c>
      <c r="CA213" s="17">
        <f t="shared" si="235"/>
        <v>4043.2668644831451</v>
      </c>
      <c r="CB213" s="17">
        <f t="shared" si="236"/>
        <v>268.77567308279066</v>
      </c>
      <c r="CC213" s="17">
        <f>SUMIF('20.01'!$AO:$AO,$B:$B,'20.01'!$D:$D)*1.2</f>
        <v>0</v>
      </c>
      <c r="CD213" s="17">
        <f t="shared" si="237"/>
        <v>4219.505085132163</v>
      </c>
      <c r="CE213" s="17">
        <f>SUMIF('20.01'!$AQ:$AQ,$B:$B,'20.01'!$D:$D)*1.2</f>
        <v>0</v>
      </c>
      <c r="CF213" s="17">
        <f t="shared" si="238"/>
        <v>383.90826095006076</v>
      </c>
      <c r="CG213" s="17">
        <f>SUMIF('20.01'!$AR:$AR,$B:$B,'20.01'!$D:$D)*1.2</f>
        <v>50734.175999999999</v>
      </c>
      <c r="CH213" s="17">
        <f t="shared" si="239"/>
        <v>226.09410885126732</v>
      </c>
      <c r="CI213" s="17">
        <f>SUMIF('20.01'!$AT:$AT,$B:$B,'20.01'!$D:$D)*1.2</f>
        <v>0</v>
      </c>
      <c r="CJ213" s="17">
        <f>SUMIF('20.01'!$AU:$AU,$B:$B,'20.01'!$D:$D)*1.2</f>
        <v>0</v>
      </c>
      <c r="CK213" s="17">
        <f>SUMIF('20.01'!$AV:$AV,$B:$B,'20.01'!$D:$D)*1.2</f>
        <v>0</v>
      </c>
      <c r="CL213" s="17">
        <f t="shared" si="240"/>
        <v>223.82590652097119</v>
      </c>
      <c r="CM213" s="17">
        <f>SUMIF('20.01'!$AW:$AW,$B:$B,'20.01'!$D:$D)*1.2</f>
        <v>0</v>
      </c>
      <c r="CN213" s="17">
        <f>SUMIF('20.01'!$AX:$AX,$B:$B,'20.01'!$D:$D)*1.2</f>
        <v>0</v>
      </c>
      <c r="CO213" s="110">
        <f t="shared" si="285"/>
        <v>75084.956616467127</v>
      </c>
      <c r="CP213" s="17">
        <f t="shared" si="286"/>
        <v>59230.120622902039</v>
      </c>
      <c r="CQ213" s="17">
        <f t="shared" si="241"/>
        <v>18273.307197354487</v>
      </c>
      <c r="CR213" s="17">
        <f t="shared" si="242"/>
        <v>40956.813425547552</v>
      </c>
      <c r="CS213" s="17">
        <f t="shared" si="287"/>
        <v>15854.835993565084</v>
      </c>
      <c r="CT213" s="17">
        <f t="shared" si="243"/>
        <v>577.60558351699456</v>
      </c>
      <c r="CU213" s="17">
        <f t="shared" si="244"/>
        <v>558.67946871742708</v>
      </c>
      <c r="CV213" s="17">
        <f t="shared" si="245"/>
        <v>577.40744144610153</v>
      </c>
      <c r="CW213" s="17">
        <f t="shared" si="246"/>
        <v>6.0547527749617771</v>
      </c>
      <c r="CX213" s="17">
        <f t="shared" si="247"/>
        <v>8525.7006312679405</v>
      </c>
      <c r="CY213" s="17">
        <f t="shared" si="248"/>
        <v>5609.3881158416589</v>
      </c>
      <c r="CZ213" s="110">
        <f t="shared" si="288"/>
        <v>18638.051893412841</v>
      </c>
      <c r="DA213" s="17">
        <f t="shared" si="289"/>
        <v>704.04102034439268</v>
      </c>
      <c r="DB213" s="17">
        <f t="shared" si="249"/>
        <v>668.10910224069164</v>
      </c>
      <c r="DC213" s="17">
        <f t="shared" si="250"/>
        <v>35.931918103701065</v>
      </c>
      <c r="DD213" s="17">
        <f t="shared" si="251"/>
        <v>1240.6010373280299</v>
      </c>
      <c r="DE213" s="17">
        <f t="shared" si="252"/>
        <v>428.04004737733777</v>
      </c>
      <c r="DF213" s="17">
        <f t="shared" si="253"/>
        <v>519.48622999139707</v>
      </c>
      <c r="DG213" s="17">
        <f t="shared" si="290"/>
        <v>15745.883558371685</v>
      </c>
      <c r="DH213" s="110">
        <f t="shared" si="291"/>
        <v>11631.600334427061</v>
      </c>
      <c r="DI213" s="17">
        <f t="shared" si="254"/>
        <v>10434.019746728442</v>
      </c>
      <c r="DJ213" s="17">
        <f t="shared" si="255"/>
        <v>1153.9412731616742</v>
      </c>
      <c r="DK213" s="17">
        <f t="shared" si="256"/>
        <v>43.639314536944937</v>
      </c>
      <c r="DL213" s="110">
        <f t="shared" si="292"/>
        <v>69150.288787945989</v>
      </c>
      <c r="DM213" s="17">
        <f t="shared" si="257"/>
        <v>36649.653057611373</v>
      </c>
      <c r="DN213" s="17">
        <f t="shared" si="258"/>
        <v>32500.635730334616</v>
      </c>
      <c r="DO213" s="17">
        <f t="shared" si="259"/>
        <v>0</v>
      </c>
      <c r="DP213" s="110">
        <f t="shared" si="293"/>
        <v>0</v>
      </c>
      <c r="DQ213" s="17">
        <f>SUMIF('20.01'!$BB:$BB,$B:$B,'20.01'!$D:$D)*1.2</f>
        <v>0</v>
      </c>
      <c r="DR213" s="17">
        <f t="shared" si="260"/>
        <v>0</v>
      </c>
      <c r="DS213" s="17">
        <f t="shared" si="261"/>
        <v>0</v>
      </c>
      <c r="DT213" s="110">
        <f t="shared" si="294"/>
        <v>1896.5039999999999</v>
      </c>
      <c r="DU213" s="17">
        <f>SUMIF('20.01'!$BD:$BD,$B:$B,'20.01'!$D:$D)*1.2</f>
        <v>1896.5039999999999</v>
      </c>
      <c r="DV213" s="17">
        <f t="shared" si="262"/>
        <v>0</v>
      </c>
      <c r="DW213" s="17">
        <f t="shared" si="263"/>
        <v>0</v>
      </c>
      <c r="DX213" s="110">
        <f t="shared" si="264"/>
        <v>350950.45276537858</v>
      </c>
      <c r="DY213" s="110"/>
      <c r="DZ213" s="110">
        <f t="shared" si="295"/>
        <v>350950.45276537858</v>
      </c>
      <c r="EA213" s="257"/>
      <c r="EB213" s="110">
        <f t="shared" si="265"/>
        <v>0</v>
      </c>
      <c r="EC213" s="110">
        <f>SUMIF(еирц!$B:$B,$B:$B,еирц!$K:$K)</f>
        <v>197838.84</v>
      </c>
      <c r="ED213" s="110">
        <f>SUMIF(еирц!$B:$B,$B:$B,еирц!$P:$P)</f>
        <v>179413.09999999998</v>
      </c>
      <c r="EE213" s="110">
        <f>SUMIF(еирц!$B:$B,$B:$B,еирц!$S:$S)</f>
        <v>97464.939999999988</v>
      </c>
      <c r="EF213" s="177">
        <f t="shared" si="296"/>
        <v>-153111.61276537858</v>
      </c>
      <c r="EG213" s="181">
        <f t="shared" si="297"/>
        <v>0</v>
      </c>
      <c r="EH213" s="177">
        <f t="shared" si="298"/>
        <v>-153111.61276537858</v>
      </c>
    </row>
    <row r="214" spans="1:138" ht="12" customHeight="1" x14ac:dyDescent="0.25">
      <c r="A214" s="5">
        <f t="shared" si="299"/>
        <v>210</v>
      </c>
      <c r="B214" s="6" t="s">
        <v>295</v>
      </c>
      <c r="C214" s="7">
        <f t="shared" si="300"/>
        <v>639.5</v>
      </c>
      <c r="D214" s="8">
        <v>639.5</v>
      </c>
      <c r="E214" s="8">
        <v>0</v>
      </c>
      <c r="F214" s="8">
        <v>53.7</v>
      </c>
      <c r="G214" s="87">
        <f t="shared" si="232"/>
        <v>639.5</v>
      </c>
      <c r="H214" s="87">
        <f t="shared" si="233"/>
        <v>639.5</v>
      </c>
      <c r="I214" s="91">
        <v>0</v>
      </c>
      <c r="J214" s="112">
        <v>0</v>
      </c>
      <c r="K214" s="17">
        <v>0</v>
      </c>
      <c r="L214" s="112">
        <f t="shared" si="266"/>
        <v>0</v>
      </c>
      <c r="M214" s="116">
        <v>3.406417404914698</v>
      </c>
      <c r="N214" s="120">
        <f t="shared" si="267"/>
        <v>639.5</v>
      </c>
      <c r="O214" s="116">
        <v>3.0862461105024264</v>
      </c>
      <c r="P214" s="120">
        <f t="shared" si="268"/>
        <v>639.5</v>
      </c>
      <c r="Q214" s="116">
        <v>0</v>
      </c>
      <c r="R214" s="120">
        <f t="shared" si="269"/>
        <v>0</v>
      </c>
      <c r="S214" s="5" t="s">
        <v>102</v>
      </c>
      <c r="T214" s="87">
        <v>25.29</v>
      </c>
      <c r="U214" s="88">
        <v>4.32</v>
      </c>
      <c r="V214" s="88">
        <v>5.61</v>
      </c>
      <c r="W214" s="88">
        <v>7.16</v>
      </c>
      <c r="X214" s="88">
        <v>5.31</v>
      </c>
      <c r="Y214" s="88">
        <v>2.67</v>
      </c>
      <c r="Z214" s="88">
        <v>0</v>
      </c>
      <c r="AA214" s="88">
        <v>0</v>
      </c>
      <c r="AB214" s="88">
        <v>0.22</v>
      </c>
      <c r="AC214" s="257"/>
      <c r="AD214" s="110">
        <f t="shared" si="270"/>
        <v>11936.882539309305</v>
      </c>
      <c r="AE214" s="110">
        <f t="shared" si="271"/>
        <v>11757.239277378258</v>
      </c>
      <c r="AF214" s="16">
        <f>SUMIF('20.01'!$I:$I,$B:$B,'20.01'!$D:$D)*1.2</f>
        <v>82.896000000000001</v>
      </c>
      <c r="AG214" s="17">
        <f t="shared" si="301"/>
        <v>2378.3844856173982</v>
      </c>
      <c r="AH214" s="17">
        <f t="shared" si="272"/>
        <v>488.32155844682893</v>
      </c>
      <c r="AI214" s="16">
        <f>SUMIF('20.01'!$J:$J,$B:$B,'20.01'!$D:$D)*1.2</f>
        <v>0</v>
      </c>
      <c r="AJ214" s="17">
        <f t="shared" si="273"/>
        <v>198.44290284845408</v>
      </c>
      <c r="AK214" s="17">
        <f t="shared" si="274"/>
        <v>482.7674976051066</v>
      </c>
      <c r="AL214" s="17">
        <f t="shared" si="275"/>
        <v>8126.4268328604694</v>
      </c>
      <c r="AM214" s="110">
        <f t="shared" si="276"/>
        <v>0</v>
      </c>
      <c r="AN214" s="17">
        <f>SUMIF('20.01'!$K:$K,$B:$B,'20.01'!$D:$D)*1.2</f>
        <v>0</v>
      </c>
      <c r="AO214" s="17">
        <f>SUMIF('20.01'!$L:$L,$B:$B,'20.01'!$D:$D)*1.2</f>
        <v>0</v>
      </c>
      <c r="AP214" s="17">
        <f>SUMIF('20.01'!$M:$M,$B:$B,'20.01'!$D:$D)*1.2</f>
        <v>0</v>
      </c>
      <c r="AQ214" s="110">
        <f t="shared" si="277"/>
        <v>179.64326193104753</v>
      </c>
      <c r="AR214" s="17">
        <f t="shared" si="278"/>
        <v>179.64326193104753</v>
      </c>
      <c r="AS214" s="17">
        <f>(SUMIF('20.01'!$N:$N,$B:$B,'20.01'!$D:$D)+SUMIF('20.01'!$O:$O,$B:$B,'20.01'!$D:$D))*1.2</f>
        <v>0</v>
      </c>
      <c r="AT214" s="110">
        <f>SUMIF('20.01'!$P:$P,$B:$B,'20.01'!$D:$D)*1.2</f>
        <v>0</v>
      </c>
      <c r="AU214" s="110">
        <f t="shared" si="279"/>
        <v>0</v>
      </c>
      <c r="AV214" s="17">
        <f>SUMIF('20.01'!$Q:$Q,$B:$B,'20.01'!$D:$D)*1.2</f>
        <v>0</v>
      </c>
      <c r="AW214" s="17">
        <f>SUMIF('20.01'!$R:$R,$B:$B,'20.01'!$D:$D)*1.2</f>
        <v>0</v>
      </c>
      <c r="AX214" s="110">
        <f t="shared" si="280"/>
        <v>0</v>
      </c>
      <c r="AY214" s="17">
        <f>SUMIF('20.01'!$S:$S,$B:$B,'20.01'!$D:$D)*1.2</f>
        <v>0</v>
      </c>
      <c r="AZ214" s="17">
        <f>SUMIF('20.01'!$T:$T,$B:$B,'20.01'!$D:$D)*1.2</f>
        <v>0</v>
      </c>
      <c r="BA214" s="110">
        <f t="shared" si="281"/>
        <v>0</v>
      </c>
      <c r="BB214" s="17">
        <f>SUMIF('20.01'!$U:$U,$B:$B,'20.01'!$D:$D)*1.2</f>
        <v>0</v>
      </c>
      <c r="BC214" s="17">
        <f>SUMIF('20.01'!$V:$V,$B:$B,'20.01'!$D:$D)*1.2</f>
        <v>0</v>
      </c>
      <c r="BD214" s="17">
        <f>SUMIF('20.01'!$W:$W,$B:$B,'20.01'!$D:$D)*1.2</f>
        <v>0</v>
      </c>
      <c r="BE214" s="110">
        <f>SUMIF('20.01'!$X:$X,$B:$B,'20.01'!$D:$D)*1.2</f>
        <v>0</v>
      </c>
      <c r="BF214" s="110">
        <f t="shared" si="282"/>
        <v>0</v>
      </c>
      <c r="BG214" s="17">
        <f>SUMIF('20.01'!$Y:$Y,$B:$B,'20.01'!$D:$D)*1.2</f>
        <v>0</v>
      </c>
      <c r="BH214" s="17">
        <f>SUMIF('20.01'!$Z:$Z,$B:$B,'20.01'!$D:$D)*1.2</f>
        <v>0</v>
      </c>
      <c r="BI214" s="17">
        <f>SUMIF('20.01'!$AA:$AA,$B:$B,'20.01'!$D:$D)*1.2</f>
        <v>0</v>
      </c>
      <c r="BJ214" s="17">
        <f>SUMIF('20.01'!$AB:$AB,$B:$B,'20.01'!$D:$D)*1.2</f>
        <v>0</v>
      </c>
      <c r="BK214" s="17">
        <f>SUMIF('20.01'!$AC:$AC,$B:$B,'20.01'!$D:$D)*1.2</f>
        <v>0</v>
      </c>
      <c r="BL214" s="17">
        <f>SUMIF('20.01'!$AD:$AD,$B:$B,'20.01'!$D:$D)*1.2</f>
        <v>0</v>
      </c>
      <c r="BM214" s="110">
        <f t="shared" si="283"/>
        <v>0</v>
      </c>
      <c r="BN214" s="17">
        <f>SUMIF('20.01'!$AE:$AE,$B:$B,'20.01'!$D:$D)*1.2</f>
        <v>0</v>
      </c>
      <c r="BO214" s="17">
        <f>SUMIF('20.01'!$AF:$AF,$B:$B,'20.01'!$D:$D)*1.2</f>
        <v>0</v>
      </c>
      <c r="BP214" s="110">
        <f>SUMIF('20.01'!$AG:$AG,$B:$B,'20.01'!$D:$D)*1.2</f>
        <v>0</v>
      </c>
      <c r="BQ214" s="110">
        <f>SUMIF('20.01'!$AH:$AH,$B:$B,'20.01'!$D:$D)*1.2</f>
        <v>0</v>
      </c>
      <c r="BR214" s="110">
        <f>SUMIF('20.01'!$AI:$AI,$B:$B,'20.01'!$D:$D)*1.2</f>
        <v>0</v>
      </c>
      <c r="BS214" s="110">
        <f t="shared" si="284"/>
        <v>0</v>
      </c>
      <c r="BT214" s="17">
        <f>SUMIF('20.01'!$AJ:$AJ,$B:$B,'20.01'!$D:$D)*1.2</f>
        <v>0</v>
      </c>
      <c r="BU214" s="17">
        <f>SUMIF('20.01'!$AK:$AK,$B:$B,'20.01'!$D:$D)*1.2</f>
        <v>0</v>
      </c>
      <c r="BV214" s="110">
        <f>SUMIF('20.01'!$AL:$AL,$B:$B,'20.01'!$D:$D)*1.2</f>
        <v>0</v>
      </c>
      <c r="BW214" s="110">
        <f>SUMIF('20.01'!$AM:$AM,$B:$B,'20.01'!$D:$D)*1.2</f>
        <v>0</v>
      </c>
      <c r="BX214" s="110">
        <f>SUMIF('20.01'!$AN:$AN,$B:$B,'20.01'!$D:$D)*1.2</f>
        <v>0</v>
      </c>
      <c r="BY214" s="110">
        <f t="shared" si="234"/>
        <v>126184.75030872528</v>
      </c>
      <c r="BZ214" s="17">
        <f t="shared" si="302"/>
        <v>89138.352243034911</v>
      </c>
      <c r="CA214" s="17">
        <f t="shared" si="235"/>
        <v>3966.3585823546118</v>
      </c>
      <c r="CB214" s="17">
        <f t="shared" si="236"/>
        <v>263.6632043817221</v>
      </c>
      <c r="CC214" s="17">
        <f>SUMIF('20.01'!$AO:$AO,$B:$B,'20.01'!$D:$D)*1.2</f>
        <v>0</v>
      </c>
      <c r="CD214" s="17">
        <f t="shared" si="237"/>
        <v>4139.2445190090784</v>
      </c>
      <c r="CE214" s="17">
        <f>SUMIF('20.01'!$AQ:$AQ,$B:$B,'20.01'!$D:$D)*1.2</f>
        <v>0</v>
      </c>
      <c r="CF214" s="17">
        <f t="shared" si="238"/>
        <v>376.60581818923743</v>
      </c>
      <c r="CG214" s="17">
        <f>SUMIF('20.01'!$AR:$AR,$B:$B,'20.01'!$D:$D)*1.2</f>
        <v>27859.164000000001</v>
      </c>
      <c r="CH214" s="17">
        <f t="shared" si="239"/>
        <v>221.79349993923219</v>
      </c>
      <c r="CI214" s="17">
        <f>SUMIF('20.01'!$AT:$AT,$B:$B,'20.01'!$D:$D)*1.2</f>
        <v>0</v>
      </c>
      <c r="CJ214" s="17">
        <f>SUMIF('20.01'!$AU:$AU,$B:$B,'20.01'!$D:$D)*1.2</f>
        <v>0</v>
      </c>
      <c r="CK214" s="17">
        <f>SUMIF('20.01'!$AV:$AV,$B:$B,'20.01'!$D:$D)*1.2</f>
        <v>0</v>
      </c>
      <c r="CL214" s="17">
        <f t="shared" si="240"/>
        <v>219.56844181647659</v>
      </c>
      <c r="CM214" s="17">
        <f>SUMIF('20.01'!$AW:$AW,$B:$B,'20.01'!$D:$D)*1.2</f>
        <v>0</v>
      </c>
      <c r="CN214" s="17">
        <f>SUMIF('20.01'!$AX:$AX,$B:$B,'20.01'!$D:$D)*1.2</f>
        <v>0</v>
      </c>
      <c r="CO214" s="110">
        <f t="shared" si="285"/>
        <v>73656.741457632656</v>
      </c>
      <c r="CP214" s="17">
        <f t="shared" si="286"/>
        <v>58103.485409335561</v>
      </c>
      <c r="CQ214" s="17">
        <f t="shared" si="241"/>
        <v>17925.724731873284</v>
      </c>
      <c r="CR214" s="17">
        <f t="shared" si="242"/>
        <v>40177.760677462276</v>
      </c>
      <c r="CS214" s="17">
        <f t="shared" si="287"/>
        <v>15553.256048297088</v>
      </c>
      <c r="CT214" s="17">
        <f t="shared" si="243"/>
        <v>566.61876155716834</v>
      </c>
      <c r="CU214" s="17">
        <f t="shared" si="244"/>
        <v>548.05264648687626</v>
      </c>
      <c r="CV214" s="17">
        <f t="shared" si="245"/>
        <v>566.42438841046476</v>
      </c>
      <c r="CW214" s="17">
        <f t="shared" si="246"/>
        <v>5.939583371050861</v>
      </c>
      <c r="CX214" s="17">
        <f t="shared" si="247"/>
        <v>8363.530531823666</v>
      </c>
      <c r="CY214" s="17">
        <f t="shared" si="248"/>
        <v>5502.6901366478614</v>
      </c>
      <c r="CZ214" s="110">
        <f t="shared" si="288"/>
        <v>18283.531501514823</v>
      </c>
      <c r="DA214" s="17">
        <f t="shared" si="289"/>
        <v>690.64922919196067</v>
      </c>
      <c r="DB214" s="17">
        <f t="shared" si="249"/>
        <v>655.40078368296111</v>
      </c>
      <c r="DC214" s="17">
        <f t="shared" si="250"/>
        <v>35.248445508999588</v>
      </c>
      <c r="DD214" s="17">
        <f t="shared" si="251"/>
        <v>1217.0031651653246</v>
      </c>
      <c r="DE214" s="17">
        <f t="shared" si="252"/>
        <v>419.89815968370539</v>
      </c>
      <c r="DF214" s="17">
        <f t="shared" si="253"/>
        <v>509.60491498619183</v>
      </c>
      <c r="DG214" s="17">
        <f t="shared" si="290"/>
        <v>15446.37603248764</v>
      </c>
      <c r="DH214" s="110">
        <f t="shared" si="291"/>
        <v>11410.351915732637</v>
      </c>
      <c r="DI214" s="17">
        <f t="shared" si="254"/>
        <v>10235.550894359318</v>
      </c>
      <c r="DJ214" s="17">
        <f t="shared" si="255"/>
        <v>1131.9917843026396</v>
      </c>
      <c r="DK214" s="17">
        <f t="shared" si="256"/>
        <v>42.809237070679991</v>
      </c>
      <c r="DL214" s="110">
        <f t="shared" si="292"/>
        <v>67834.958858554164</v>
      </c>
      <c r="DM214" s="17">
        <f t="shared" si="257"/>
        <v>35952.528195033708</v>
      </c>
      <c r="DN214" s="17">
        <f t="shared" si="258"/>
        <v>31882.430663520459</v>
      </c>
      <c r="DO214" s="17">
        <f t="shared" si="259"/>
        <v>0</v>
      </c>
      <c r="DP214" s="110">
        <f t="shared" si="293"/>
        <v>0</v>
      </c>
      <c r="DQ214" s="17">
        <f>SUMIF('20.01'!$BB:$BB,$B:$B,'20.01'!$D:$D)*1.2</f>
        <v>0</v>
      </c>
      <c r="DR214" s="17">
        <f t="shared" si="260"/>
        <v>0</v>
      </c>
      <c r="DS214" s="17">
        <f t="shared" si="261"/>
        <v>0</v>
      </c>
      <c r="DT214" s="110">
        <f t="shared" si="294"/>
        <v>1896.5039999999999</v>
      </c>
      <c r="DU214" s="17">
        <f>SUMIF('20.01'!$BD:$BD,$B:$B,'20.01'!$D:$D)*1.2</f>
        <v>1896.5039999999999</v>
      </c>
      <c r="DV214" s="17">
        <f t="shared" si="262"/>
        <v>0</v>
      </c>
      <c r="DW214" s="17">
        <f t="shared" si="263"/>
        <v>0</v>
      </c>
      <c r="DX214" s="110">
        <f t="shared" si="264"/>
        <v>311203.72058146889</v>
      </c>
      <c r="DY214" s="110"/>
      <c r="DZ214" s="110">
        <f t="shared" si="295"/>
        <v>311203.72058146889</v>
      </c>
      <c r="EA214" s="257"/>
      <c r="EB214" s="110">
        <f t="shared" si="265"/>
        <v>0</v>
      </c>
      <c r="EC214" s="110">
        <f>SUMIF(еирц!$B:$B,$B:$B,еирц!$K:$K)</f>
        <v>187388.45</v>
      </c>
      <c r="ED214" s="110">
        <f>SUMIF(еирц!$B:$B,$B:$B,еирц!$P:$P)</f>
        <v>180964.07</v>
      </c>
      <c r="EE214" s="110">
        <f>SUMIF(еирц!$B:$B,$B:$B,еирц!$S:$S)</f>
        <v>35114.370000000003</v>
      </c>
      <c r="EF214" s="177">
        <f t="shared" si="296"/>
        <v>-123815.27058146888</v>
      </c>
      <c r="EG214" s="181">
        <f t="shared" si="297"/>
        <v>0</v>
      </c>
      <c r="EH214" s="177">
        <f t="shared" si="298"/>
        <v>-123815.27058146888</v>
      </c>
    </row>
    <row r="215" spans="1:138" ht="12" customHeight="1" x14ac:dyDescent="0.25">
      <c r="A215" s="5">
        <f t="shared" si="299"/>
        <v>211</v>
      </c>
      <c r="B215" s="6" t="s">
        <v>296</v>
      </c>
      <c r="C215" s="7">
        <f t="shared" si="300"/>
        <v>4849.7999999999993</v>
      </c>
      <c r="D215" s="8">
        <v>4090.5999999999995</v>
      </c>
      <c r="E215" s="8">
        <v>759.2</v>
      </c>
      <c r="F215" s="8">
        <v>370.5</v>
      </c>
      <c r="G215" s="87">
        <f t="shared" si="232"/>
        <v>4849.7999999999993</v>
      </c>
      <c r="H215" s="87">
        <f t="shared" si="233"/>
        <v>4849.7999999999993</v>
      </c>
      <c r="I215" s="91">
        <v>0</v>
      </c>
      <c r="J215" s="112">
        <v>0</v>
      </c>
      <c r="K215" s="17">
        <v>0</v>
      </c>
      <c r="L215" s="112">
        <f t="shared" si="266"/>
        <v>0</v>
      </c>
      <c r="M215" s="116">
        <v>3.4064176359992562</v>
      </c>
      <c r="N215" s="120">
        <f t="shared" si="267"/>
        <v>4849.7999999999993</v>
      </c>
      <c r="O215" s="116">
        <v>2.6059533645999053</v>
      </c>
      <c r="P215" s="120">
        <f t="shared" si="268"/>
        <v>4849.7999999999993</v>
      </c>
      <c r="Q215" s="116">
        <v>0</v>
      </c>
      <c r="R215" s="120">
        <f t="shared" si="269"/>
        <v>0</v>
      </c>
      <c r="S215" s="5" t="s">
        <v>102</v>
      </c>
      <c r="T215" s="87">
        <v>25.29</v>
      </c>
      <c r="U215" s="88">
        <v>4.32</v>
      </c>
      <c r="V215" s="88">
        <v>5.61</v>
      </c>
      <c r="W215" s="88">
        <v>7.16</v>
      </c>
      <c r="X215" s="88">
        <v>5.31</v>
      </c>
      <c r="Y215" s="88">
        <v>2.67</v>
      </c>
      <c r="Z215" s="88">
        <v>0</v>
      </c>
      <c r="AA215" s="88">
        <v>0</v>
      </c>
      <c r="AB215" s="88">
        <v>0.22</v>
      </c>
      <c r="AC215" s="257"/>
      <c r="AD215" s="110">
        <f t="shared" si="270"/>
        <v>188022.79180976114</v>
      </c>
      <c r="AE215" s="110">
        <f t="shared" si="271"/>
        <v>116662.76850450205</v>
      </c>
      <c r="AF215" s="16">
        <f>SUMIF('20.01'!$I:$I,$B:$B,'20.01'!$D:$D)*1.2</f>
        <v>28127.615999999998</v>
      </c>
      <c r="AG215" s="17">
        <f t="shared" si="301"/>
        <v>18037.043124858883</v>
      </c>
      <c r="AH215" s="17">
        <f t="shared" si="272"/>
        <v>3703.3024146292892</v>
      </c>
      <c r="AI215" s="16">
        <f>SUMIF('20.01'!$J:$J,$B:$B,'20.01'!$D:$D)*1.2</f>
        <v>0</v>
      </c>
      <c r="AJ215" s="17">
        <f t="shared" si="273"/>
        <v>1504.9388432125606</v>
      </c>
      <c r="AK215" s="17">
        <f t="shared" si="274"/>
        <v>3661.1818762865455</v>
      </c>
      <c r="AL215" s="17">
        <f t="shared" si="275"/>
        <v>61628.686245514771</v>
      </c>
      <c r="AM215" s="110">
        <f t="shared" si="276"/>
        <v>0</v>
      </c>
      <c r="AN215" s="17">
        <f>SUMIF('20.01'!$K:$K,$B:$B,'20.01'!$D:$D)*1.2</f>
        <v>0</v>
      </c>
      <c r="AO215" s="17">
        <f>SUMIF('20.01'!$L:$L,$B:$B,'20.01'!$D:$D)*1.2</f>
        <v>0</v>
      </c>
      <c r="AP215" s="17">
        <f>SUMIF('20.01'!$M:$M,$B:$B,'20.01'!$D:$D)*1.2</f>
        <v>0</v>
      </c>
      <c r="AQ215" s="110">
        <f t="shared" si="277"/>
        <v>1362.3673052590996</v>
      </c>
      <c r="AR215" s="17">
        <f t="shared" si="278"/>
        <v>1362.3673052590996</v>
      </c>
      <c r="AS215" s="17">
        <f>(SUMIF('20.01'!$N:$N,$B:$B,'20.01'!$D:$D)+SUMIF('20.01'!$O:$O,$B:$B,'20.01'!$D:$D))*1.2</f>
        <v>0</v>
      </c>
      <c r="AT215" s="110">
        <f>SUMIF('20.01'!$P:$P,$B:$B,'20.01'!$D:$D)*1.2</f>
        <v>0</v>
      </c>
      <c r="AU215" s="110">
        <f t="shared" si="279"/>
        <v>10282.008</v>
      </c>
      <c r="AV215" s="17">
        <f>SUMIF('20.01'!$Q:$Q,$B:$B,'20.01'!$D:$D)*1.2</f>
        <v>10282.008</v>
      </c>
      <c r="AW215" s="17">
        <f>SUMIF('20.01'!$R:$R,$B:$B,'20.01'!$D:$D)*1.2</f>
        <v>0</v>
      </c>
      <c r="AX215" s="110">
        <f t="shared" si="280"/>
        <v>0</v>
      </c>
      <c r="AY215" s="17">
        <f>SUMIF('20.01'!$S:$S,$B:$B,'20.01'!$D:$D)*1.2</f>
        <v>0</v>
      </c>
      <c r="AZ215" s="17">
        <f>SUMIF('20.01'!$T:$T,$B:$B,'20.01'!$D:$D)*1.2</f>
        <v>0</v>
      </c>
      <c r="BA215" s="110">
        <f t="shared" si="281"/>
        <v>0</v>
      </c>
      <c r="BB215" s="17">
        <f>SUMIF('20.01'!$U:$U,$B:$B,'20.01'!$D:$D)*1.2</f>
        <v>0</v>
      </c>
      <c r="BC215" s="17">
        <f>SUMIF('20.01'!$V:$V,$B:$B,'20.01'!$D:$D)*1.2</f>
        <v>0</v>
      </c>
      <c r="BD215" s="17">
        <f>SUMIF('20.01'!$W:$W,$B:$B,'20.01'!$D:$D)*1.2</f>
        <v>0</v>
      </c>
      <c r="BE215" s="110">
        <f>SUMIF('20.01'!$X:$X,$B:$B,'20.01'!$D:$D)*1.2</f>
        <v>0</v>
      </c>
      <c r="BF215" s="110">
        <f t="shared" si="282"/>
        <v>0</v>
      </c>
      <c r="BG215" s="17">
        <f>SUMIF('20.01'!$Y:$Y,$B:$B,'20.01'!$D:$D)*1.2</f>
        <v>0</v>
      </c>
      <c r="BH215" s="17">
        <f>SUMIF('20.01'!$Z:$Z,$B:$B,'20.01'!$D:$D)*1.2</f>
        <v>0</v>
      </c>
      <c r="BI215" s="17">
        <f>SUMIF('20.01'!$AA:$AA,$B:$B,'20.01'!$D:$D)*1.2</f>
        <v>0</v>
      </c>
      <c r="BJ215" s="17">
        <f>SUMIF('20.01'!$AB:$AB,$B:$B,'20.01'!$D:$D)*1.2</f>
        <v>0</v>
      </c>
      <c r="BK215" s="17">
        <f>SUMIF('20.01'!$AC:$AC,$B:$B,'20.01'!$D:$D)*1.2</f>
        <v>0</v>
      </c>
      <c r="BL215" s="17">
        <f>SUMIF('20.01'!$AD:$AD,$B:$B,'20.01'!$D:$D)*1.2</f>
        <v>0</v>
      </c>
      <c r="BM215" s="110">
        <f t="shared" si="283"/>
        <v>56550</v>
      </c>
      <c r="BN215" s="17">
        <f>SUMIF('20.01'!$AE:$AE,$B:$B,'20.01'!$D:$D)*1.2</f>
        <v>0</v>
      </c>
      <c r="BO215" s="17">
        <f>SUMIF('20.01'!$AF:$AF,$B:$B,'20.01'!$D:$D)*1.2</f>
        <v>56550</v>
      </c>
      <c r="BP215" s="110">
        <f>SUMIF('20.01'!$AG:$AG,$B:$B,'20.01'!$D:$D)*1.2</f>
        <v>0</v>
      </c>
      <c r="BQ215" s="110">
        <f>SUMIF('20.01'!$AH:$AH,$B:$B,'20.01'!$D:$D)*1.2</f>
        <v>0</v>
      </c>
      <c r="BR215" s="110">
        <f>SUMIF('20.01'!$AI:$AI,$B:$B,'20.01'!$D:$D)*1.2</f>
        <v>0</v>
      </c>
      <c r="BS215" s="110">
        <f t="shared" si="284"/>
        <v>3165.6479999999997</v>
      </c>
      <c r="BT215" s="17">
        <f>SUMIF('20.01'!$AJ:$AJ,$B:$B,'20.01'!$D:$D)*1.2</f>
        <v>3165.6479999999997</v>
      </c>
      <c r="BU215" s="17">
        <f>SUMIF('20.01'!$AK:$AK,$B:$B,'20.01'!$D:$D)*1.2</f>
        <v>0</v>
      </c>
      <c r="BV215" s="110">
        <f>SUMIF('20.01'!$AL:$AL,$B:$B,'20.01'!$D:$D)*1.2</f>
        <v>0</v>
      </c>
      <c r="BW215" s="110">
        <f>SUMIF('20.01'!$AM:$AM,$B:$B,'20.01'!$D:$D)*1.2</f>
        <v>0</v>
      </c>
      <c r="BX215" s="110">
        <f>SUMIF('20.01'!$AN:$AN,$B:$B,'20.01'!$D:$D)*1.2</f>
        <v>0</v>
      </c>
      <c r="BY215" s="110">
        <f t="shared" si="234"/>
        <v>930048.45591877366</v>
      </c>
      <c r="BZ215" s="17">
        <f t="shared" si="302"/>
        <v>676001.84629909403</v>
      </c>
      <c r="CA215" s="17">
        <f t="shared" si="235"/>
        <v>30079.821505400145</v>
      </c>
      <c r="CB215" s="17">
        <f t="shared" si="236"/>
        <v>1999.5524763259978</v>
      </c>
      <c r="CC215" s="17">
        <f>SUMIF('20.01'!$AO:$AO,$B:$B,'20.01'!$D:$D)*1.2</f>
        <v>0</v>
      </c>
      <c r="CD215" s="17">
        <f t="shared" si="237"/>
        <v>31390.943030946408</v>
      </c>
      <c r="CE215" s="17">
        <f>SUMIF('20.01'!$AQ:$AQ,$B:$B,'20.01'!$D:$D)*1.2</f>
        <v>0</v>
      </c>
      <c r="CF215" s="17">
        <f t="shared" si="238"/>
        <v>2856.0795888259004</v>
      </c>
      <c r="CG215" s="17">
        <f>SUMIF('20.01'!$AR:$AR,$B:$B,'20.01'!$D:$D)*1.2</f>
        <v>184373.04</v>
      </c>
      <c r="CH215" s="17">
        <f t="shared" si="239"/>
        <v>1682.0236372248446</v>
      </c>
      <c r="CI215" s="17">
        <f>SUMIF('20.01'!$AT:$AT,$B:$B,'20.01'!$D:$D)*1.2</f>
        <v>0</v>
      </c>
      <c r="CJ215" s="17">
        <f>SUMIF('20.01'!$AU:$AU,$B:$B,'20.01'!$D:$D)*1.2</f>
        <v>0</v>
      </c>
      <c r="CK215" s="17">
        <f>SUMIF('20.01'!$AV:$AV,$B:$B,'20.01'!$D:$D)*1.2</f>
        <v>0</v>
      </c>
      <c r="CL215" s="17">
        <f t="shared" si="240"/>
        <v>1665.1493809562908</v>
      </c>
      <c r="CM215" s="17">
        <f>SUMIF('20.01'!$AW:$AW,$B:$B,'20.01'!$D:$D)*1.2</f>
        <v>0</v>
      </c>
      <c r="CN215" s="17">
        <f>SUMIF('20.01'!$AX:$AX,$B:$B,'20.01'!$D:$D)*1.2</f>
        <v>0</v>
      </c>
      <c r="CO215" s="110">
        <f t="shared" si="285"/>
        <v>558593.37720285659</v>
      </c>
      <c r="CP215" s="17">
        <f t="shared" si="286"/>
        <v>440641.56925441057</v>
      </c>
      <c r="CQ215" s="17">
        <f t="shared" si="241"/>
        <v>135943.98718473659</v>
      </c>
      <c r="CR215" s="17">
        <f t="shared" si="242"/>
        <v>304697.58206967398</v>
      </c>
      <c r="CS215" s="17">
        <f t="shared" si="287"/>
        <v>117951.80794844597</v>
      </c>
      <c r="CT215" s="17">
        <f t="shared" si="243"/>
        <v>4297.0878339326891</v>
      </c>
      <c r="CU215" s="17">
        <f t="shared" si="244"/>
        <v>4156.2872946552816</v>
      </c>
      <c r="CV215" s="17">
        <f t="shared" si="245"/>
        <v>4295.6137590509325</v>
      </c>
      <c r="CW215" s="17">
        <f t="shared" si="246"/>
        <v>45.044239926383838</v>
      </c>
      <c r="CX215" s="17">
        <f t="shared" si="247"/>
        <v>63426.818410067885</v>
      </c>
      <c r="CY215" s="17">
        <f t="shared" si="248"/>
        <v>41730.956410812811</v>
      </c>
      <c r="CZ215" s="110">
        <f t="shared" si="288"/>
        <v>138657.49972798527</v>
      </c>
      <c r="DA215" s="17">
        <f t="shared" si="289"/>
        <v>5237.7023170213761</v>
      </c>
      <c r="DB215" s="17">
        <f t="shared" si="249"/>
        <v>4970.3873662324067</v>
      </c>
      <c r="DC215" s="17">
        <f t="shared" si="250"/>
        <v>267.31495078896978</v>
      </c>
      <c r="DD215" s="17">
        <f t="shared" si="251"/>
        <v>9229.4322915071007</v>
      </c>
      <c r="DE215" s="17">
        <f t="shared" si="252"/>
        <v>3184.3973335950491</v>
      </c>
      <c r="DF215" s="17">
        <f t="shared" si="253"/>
        <v>3864.7097993745624</v>
      </c>
      <c r="DG215" s="17">
        <f t="shared" si="290"/>
        <v>117141.25798648718</v>
      </c>
      <c r="DH215" s="110">
        <f t="shared" si="291"/>
        <v>86533.111369695282</v>
      </c>
      <c r="DI215" s="17">
        <f t="shared" si="254"/>
        <v>77623.729049982503</v>
      </c>
      <c r="DJ215" s="17">
        <f t="shared" si="255"/>
        <v>8584.7283119795793</v>
      </c>
      <c r="DK215" s="17">
        <f t="shared" si="256"/>
        <v>324.65400773320374</v>
      </c>
      <c r="DL215" s="110">
        <f t="shared" si="292"/>
        <v>514442.50738423131</v>
      </c>
      <c r="DM215" s="17">
        <f t="shared" si="257"/>
        <v>272654.52891364257</v>
      </c>
      <c r="DN215" s="17">
        <f t="shared" si="258"/>
        <v>241787.97847058874</v>
      </c>
      <c r="DO215" s="17">
        <f t="shared" si="259"/>
        <v>0</v>
      </c>
      <c r="DP215" s="110">
        <f t="shared" si="293"/>
        <v>0</v>
      </c>
      <c r="DQ215" s="17">
        <f>SUMIF('20.01'!$BB:$BB,$B:$B,'20.01'!$D:$D)*1.2</f>
        <v>0</v>
      </c>
      <c r="DR215" s="17">
        <f t="shared" si="260"/>
        <v>0</v>
      </c>
      <c r="DS215" s="17">
        <f t="shared" si="261"/>
        <v>0</v>
      </c>
      <c r="DT215" s="110">
        <f t="shared" si="294"/>
        <v>8344.6200000000008</v>
      </c>
      <c r="DU215" s="17">
        <f>SUMIF('20.01'!$BD:$BD,$B:$B,'20.01'!$D:$D)*1.2</f>
        <v>8344.6200000000008</v>
      </c>
      <c r="DV215" s="17">
        <f t="shared" si="262"/>
        <v>0</v>
      </c>
      <c r="DW215" s="17">
        <f t="shared" si="263"/>
        <v>0</v>
      </c>
      <c r="DX215" s="110">
        <f t="shared" si="264"/>
        <v>2424642.3634133032</v>
      </c>
      <c r="DY215" s="110"/>
      <c r="DZ215" s="110">
        <f t="shared" si="295"/>
        <v>2424642.3634133032</v>
      </c>
      <c r="EA215" s="257"/>
      <c r="EB215" s="110">
        <f t="shared" si="265"/>
        <v>0</v>
      </c>
      <c r="EC215" s="110">
        <f>SUMIF(еирц!$B:$B,$B:$B,еирц!$K:$K)</f>
        <v>1241415.24</v>
      </c>
      <c r="ED215" s="110">
        <f>SUMIF(еирц!$B:$B,$B:$B,еирц!$P:$P)</f>
        <v>1202421.4100000001</v>
      </c>
      <c r="EE215" s="110">
        <f>SUMIF(еирц!$B:$B,$B:$B,еирц!$S:$S)</f>
        <v>169547.68</v>
      </c>
      <c r="EF215" s="177">
        <f t="shared" si="296"/>
        <v>-1183227.1234133032</v>
      </c>
      <c r="EG215" s="181">
        <f t="shared" si="297"/>
        <v>0</v>
      </c>
      <c r="EH215" s="177">
        <f t="shared" si="298"/>
        <v>-1183227.1234133032</v>
      </c>
    </row>
    <row r="216" spans="1:138" ht="12" customHeight="1" x14ac:dyDescent="0.25">
      <c r="A216" s="5">
        <f t="shared" si="299"/>
        <v>212</v>
      </c>
      <c r="B216" s="6" t="s">
        <v>297</v>
      </c>
      <c r="C216" s="7">
        <f t="shared" si="300"/>
        <v>637.70000000000005</v>
      </c>
      <c r="D216" s="8">
        <v>637.70000000000005</v>
      </c>
      <c r="E216" s="8">
        <v>0</v>
      </c>
      <c r="F216" s="8">
        <v>56</v>
      </c>
      <c r="G216" s="87">
        <f t="shared" si="232"/>
        <v>637.70000000000005</v>
      </c>
      <c r="H216" s="87">
        <f t="shared" si="233"/>
        <v>637.70000000000005</v>
      </c>
      <c r="I216" s="91">
        <v>0</v>
      </c>
      <c r="J216" s="112">
        <v>0</v>
      </c>
      <c r="K216" s="17">
        <v>0</v>
      </c>
      <c r="L216" s="112">
        <f t="shared" si="266"/>
        <v>0</v>
      </c>
      <c r="M216" s="116">
        <v>3.4064168104124199</v>
      </c>
      <c r="N216" s="120">
        <f t="shared" si="267"/>
        <v>637.70000000000005</v>
      </c>
      <c r="O216" s="116">
        <v>3.0862445664105382</v>
      </c>
      <c r="P216" s="120">
        <f t="shared" si="268"/>
        <v>637.70000000000005</v>
      </c>
      <c r="Q216" s="116">
        <v>0</v>
      </c>
      <c r="R216" s="120">
        <f t="shared" si="269"/>
        <v>0</v>
      </c>
      <c r="S216" s="5" t="s">
        <v>102</v>
      </c>
      <c r="T216" s="87">
        <v>25.29</v>
      </c>
      <c r="U216" s="88">
        <v>4.32</v>
      </c>
      <c r="V216" s="88">
        <v>5.61</v>
      </c>
      <c r="W216" s="88">
        <v>7.16</v>
      </c>
      <c r="X216" s="88">
        <v>5.31</v>
      </c>
      <c r="Y216" s="88">
        <v>2.67</v>
      </c>
      <c r="Z216" s="88">
        <v>0</v>
      </c>
      <c r="AA216" s="88">
        <v>0</v>
      </c>
      <c r="AB216" s="88">
        <v>0.22</v>
      </c>
      <c r="AC216" s="257"/>
      <c r="AD216" s="110">
        <f t="shared" si="270"/>
        <v>65860.60513544573</v>
      </c>
      <c r="AE216" s="110">
        <f t="shared" si="271"/>
        <v>65681.467515221448</v>
      </c>
      <c r="AF216" s="16">
        <f>SUMIF('20.01'!$I:$I,$B:$B,'20.01'!$D:$D)*1.2</f>
        <v>54039.983999999997</v>
      </c>
      <c r="AG216" s="17">
        <f t="shared" si="301"/>
        <v>2371.6900492231666</v>
      </c>
      <c r="AH216" s="17">
        <f t="shared" si="272"/>
        <v>486.94708025260798</v>
      </c>
      <c r="AI216" s="16">
        <f>SUMIF('20.01'!$J:$J,$B:$B,'20.01'!$D:$D)*1.2</f>
        <v>0</v>
      </c>
      <c r="AJ216" s="17">
        <f t="shared" si="273"/>
        <v>197.8843458115077</v>
      </c>
      <c r="AK216" s="17">
        <f t="shared" si="274"/>
        <v>481.40865242029167</v>
      </c>
      <c r="AL216" s="17">
        <f t="shared" si="275"/>
        <v>8103.5533875138726</v>
      </c>
      <c r="AM216" s="110">
        <f t="shared" si="276"/>
        <v>0</v>
      </c>
      <c r="AN216" s="17">
        <f>SUMIF('20.01'!$K:$K,$B:$B,'20.01'!$D:$D)*1.2</f>
        <v>0</v>
      </c>
      <c r="AO216" s="17">
        <f>SUMIF('20.01'!$L:$L,$B:$B,'20.01'!$D:$D)*1.2</f>
        <v>0</v>
      </c>
      <c r="AP216" s="17">
        <f>SUMIF('20.01'!$M:$M,$B:$B,'20.01'!$D:$D)*1.2</f>
        <v>0</v>
      </c>
      <c r="AQ216" s="110">
        <f t="shared" si="277"/>
        <v>179.13762022428307</v>
      </c>
      <c r="AR216" s="17">
        <f t="shared" si="278"/>
        <v>179.13762022428307</v>
      </c>
      <c r="AS216" s="17">
        <f>(SUMIF('20.01'!$N:$N,$B:$B,'20.01'!$D:$D)+SUMIF('20.01'!$O:$O,$B:$B,'20.01'!$D:$D))*1.2</f>
        <v>0</v>
      </c>
      <c r="AT216" s="110">
        <f>SUMIF('20.01'!$P:$P,$B:$B,'20.01'!$D:$D)*1.2</f>
        <v>0</v>
      </c>
      <c r="AU216" s="110">
        <f t="shared" si="279"/>
        <v>0</v>
      </c>
      <c r="AV216" s="17">
        <f>SUMIF('20.01'!$Q:$Q,$B:$B,'20.01'!$D:$D)*1.2</f>
        <v>0</v>
      </c>
      <c r="AW216" s="17">
        <f>SUMIF('20.01'!$R:$R,$B:$B,'20.01'!$D:$D)*1.2</f>
        <v>0</v>
      </c>
      <c r="AX216" s="110">
        <f t="shared" si="280"/>
        <v>0</v>
      </c>
      <c r="AY216" s="17">
        <f>SUMIF('20.01'!$S:$S,$B:$B,'20.01'!$D:$D)*1.2</f>
        <v>0</v>
      </c>
      <c r="AZ216" s="17">
        <f>SUMIF('20.01'!$T:$T,$B:$B,'20.01'!$D:$D)*1.2</f>
        <v>0</v>
      </c>
      <c r="BA216" s="110">
        <f t="shared" si="281"/>
        <v>0</v>
      </c>
      <c r="BB216" s="17">
        <f>SUMIF('20.01'!$U:$U,$B:$B,'20.01'!$D:$D)*1.2</f>
        <v>0</v>
      </c>
      <c r="BC216" s="17">
        <f>SUMIF('20.01'!$V:$V,$B:$B,'20.01'!$D:$D)*1.2</f>
        <v>0</v>
      </c>
      <c r="BD216" s="17">
        <f>SUMIF('20.01'!$W:$W,$B:$B,'20.01'!$D:$D)*1.2</f>
        <v>0</v>
      </c>
      <c r="BE216" s="110">
        <f>SUMIF('20.01'!$X:$X,$B:$B,'20.01'!$D:$D)*1.2</f>
        <v>0</v>
      </c>
      <c r="BF216" s="110">
        <f t="shared" si="282"/>
        <v>0</v>
      </c>
      <c r="BG216" s="17">
        <f>SUMIF('20.01'!$Y:$Y,$B:$B,'20.01'!$D:$D)*1.2</f>
        <v>0</v>
      </c>
      <c r="BH216" s="17">
        <f>SUMIF('20.01'!$Z:$Z,$B:$B,'20.01'!$D:$D)*1.2</f>
        <v>0</v>
      </c>
      <c r="BI216" s="17">
        <f>SUMIF('20.01'!$AA:$AA,$B:$B,'20.01'!$D:$D)*1.2</f>
        <v>0</v>
      </c>
      <c r="BJ216" s="17">
        <f>SUMIF('20.01'!$AB:$AB,$B:$B,'20.01'!$D:$D)*1.2</f>
        <v>0</v>
      </c>
      <c r="BK216" s="17">
        <f>SUMIF('20.01'!$AC:$AC,$B:$B,'20.01'!$D:$D)*1.2</f>
        <v>0</v>
      </c>
      <c r="BL216" s="17">
        <f>SUMIF('20.01'!$AD:$AD,$B:$B,'20.01'!$D:$D)*1.2</f>
        <v>0</v>
      </c>
      <c r="BM216" s="110">
        <f t="shared" si="283"/>
        <v>0</v>
      </c>
      <c r="BN216" s="17">
        <f>SUMIF('20.01'!$AE:$AE,$B:$B,'20.01'!$D:$D)*1.2</f>
        <v>0</v>
      </c>
      <c r="BO216" s="17">
        <f>SUMIF('20.01'!$AF:$AF,$B:$B,'20.01'!$D:$D)*1.2</f>
        <v>0</v>
      </c>
      <c r="BP216" s="110">
        <f>SUMIF('20.01'!$AG:$AG,$B:$B,'20.01'!$D:$D)*1.2</f>
        <v>0</v>
      </c>
      <c r="BQ216" s="110">
        <f>SUMIF('20.01'!$AH:$AH,$B:$B,'20.01'!$D:$D)*1.2</f>
        <v>0</v>
      </c>
      <c r="BR216" s="110">
        <f>SUMIF('20.01'!$AI:$AI,$B:$B,'20.01'!$D:$D)*1.2</f>
        <v>0</v>
      </c>
      <c r="BS216" s="110">
        <f t="shared" si="284"/>
        <v>0</v>
      </c>
      <c r="BT216" s="17">
        <f>SUMIF('20.01'!$AJ:$AJ,$B:$B,'20.01'!$D:$D)*1.2</f>
        <v>0</v>
      </c>
      <c r="BU216" s="17">
        <f>SUMIF('20.01'!$AK:$AK,$B:$B,'20.01'!$D:$D)*1.2</f>
        <v>0</v>
      </c>
      <c r="BV216" s="110">
        <f>SUMIF('20.01'!$AL:$AL,$B:$B,'20.01'!$D:$D)*1.2</f>
        <v>0</v>
      </c>
      <c r="BW216" s="110">
        <f>SUMIF('20.01'!$AM:$AM,$B:$B,'20.01'!$D:$D)*1.2</f>
        <v>0</v>
      </c>
      <c r="BX216" s="110">
        <f>SUMIF('20.01'!$AN:$AN,$B:$B,'20.01'!$D:$D)*1.2</f>
        <v>0</v>
      </c>
      <c r="BY216" s="110">
        <f t="shared" si="234"/>
        <v>98048.829380882118</v>
      </c>
      <c r="BZ216" s="17">
        <f t="shared" si="302"/>
        <v>88887.454613578375</v>
      </c>
      <c r="CA216" s="17">
        <f t="shared" si="235"/>
        <v>3955.1944768843409</v>
      </c>
      <c r="CB216" s="17">
        <f t="shared" si="236"/>
        <v>262.92107182834121</v>
      </c>
      <c r="CC216" s="17">
        <f>SUMIF('20.01'!$AO:$AO,$B:$B,'20.01'!$D:$D)*1.2</f>
        <v>0</v>
      </c>
      <c r="CD216" s="17">
        <f t="shared" si="237"/>
        <v>4127.5937916686316</v>
      </c>
      <c r="CE216" s="17">
        <f>SUMIF('20.01'!$AQ:$AQ,$B:$B,'20.01'!$D:$D)*1.2</f>
        <v>0</v>
      </c>
      <c r="CF216" s="17">
        <f t="shared" si="238"/>
        <v>375.5457861755695</v>
      </c>
      <c r="CG216" s="17">
        <f>SUMIF('20.01'!$AR:$AR,$B:$B,'20.01'!$D:$D)*1.2</f>
        <v>0</v>
      </c>
      <c r="CH216" s="17">
        <f t="shared" si="239"/>
        <v>221.16921800038838</v>
      </c>
      <c r="CI216" s="17">
        <f>SUMIF('20.01'!$AT:$AT,$B:$B,'20.01'!$D:$D)*1.2</f>
        <v>0</v>
      </c>
      <c r="CJ216" s="17">
        <f>SUMIF('20.01'!$AU:$AU,$B:$B,'20.01'!$D:$D)*1.2</f>
        <v>0</v>
      </c>
      <c r="CK216" s="17">
        <f>SUMIF('20.01'!$AV:$AV,$B:$B,'20.01'!$D:$D)*1.2</f>
        <v>0</v>
      </c>
      <c r="CL216" s="17">
        <f t="shared" si="240"/>
        <v>218.95042274646931</v>
      </c>
      <c r="CM216" s="17">
        <f>SUMIF('20.01'!$AW:$AW,$B:$B,'20.01'!$D:$D)*1.2</f>
        <v>0</v>
      </c>
      <c r="CN216" s="17">
        <f>SUMIF('20.01'!$AX:$AX,$B:$B,'20.01'!$D:$D)*1.2</f>
        <v>0</v>
      </c>
      <c r="CO216" s="110">
        <f t="shared" si="285"/>
        <v>73449.419902317983</v>
      </c>
      <c r="CP216" s="17">
        <f t="shared" si="286"/>
        <v>57939.941588011403</v>
      </c>
      <c r="CQ216" s="17">
        <f t="shared" si="241"/>
        <v>17875.269212690531</v>
      </c>
      <c r="CR216" s="17">
        <f t="shared" si="242"/>
        <v>40064.672375320872</v>
      </c>
      <c r="CS216" s="17">
        <f t="shared" si="287"/>
        <v>15509.478314306572</v>
      </c>
      <c r="CT216" s="17">
        <f t="shared" si="243"/>
        <v>565.02390030493552</v>
      </c>
      <c r="CU216" s="17">
        <f t="shared" si="244"/>
        <v>546.51004325986094</v>
      </c>
      <c r="CV216" s="17">
        <f t="shared" si="245"/>
        <v>564.83007426013035</v>
      </c>
      <c r="CW216" s="17">
        <f t="shared" si="246"/>
        <v>5.9228652317734705</v>
      </c>
      <c r="CX216" s="17">
        <f t="shared" si="247"/>
        <v>8339.9897109365938</v>
      </c>
      <c r="CY216" s="17">
        <f t="shared" si="248"/>
        <v>5487.2017203132782</v>
      </c>
      <c r="CZ216" s="110">
        <f t="shared" si="288"/>
        <v>18232.06886398124</v>
      </c>
      <c r="DA216" s="17">
        <f t="shared" si="289"/>
        <v>688.70525950854312</v>
      </c>
      <c r="DB216" s="17">
        <f t="shared" si="249"/>
        <v>653.55602776329056</v>
      </c>
      <c r="DC216" s="17">
        <f t="shared" si="250"/>
        <v>35.1492317452526</v>
      </c>
      <c r="DD216" s="17">
        <f t="shared" si="251"/>
        <v>1213.5776675933191</v>
      </c>
      <c r="DE216" s="17">
        <f t="shared" si="252"/>
        <v>418.7162727604362</v>
      </c>
      <c r="DF216" s="17">
        <f t="shared" si="253"/>
        <v>508.17053054995239</v>
      </c>
      <c r="DG216" s="17">
        <f t="shared" si="290"/>
        <v>15402.89913356899</v>
      </c>
      <c r="DH216" s="110">
        <f t="shared" si="291"/>
        <v>11378.235209793123</v>
      </c>
      <c r="DI216" s="17">
        <f t="shared" si="254"/>
        <v>10206.740899660574</v>
      </c>
      <c r="DJ216" s="17">
        <f t="shared" si="255"/>
        <v>1128.805568177941</v>
      </c>
      <c r="DK216" s="17">
        <f t="shared" si="256"/>
        <v>42.688741954609277</v>
      </c>
      <c r="DL216" s="110">
        <f t="shared" si="292"/>
        <v>67644.02386880375</v>
      </c>
      <c r="DM216" s="17">
        <f t="shared" si="257"/>
        <v>35851.332650465985</v>
      </c>
      <c r="DN216" s="17">
        <f t="shared" si="258"/>
        <v>31792.691218337761</v>
      </c>
      <c r="DO216" s="17">
        <f t="shared" si="259"/>
        <v>0</v>
      </c>
      <c r="DP216" s="110">
        <f t="shared" si="293"/>
        <v>0</v>
      </c>
      <c r="DQ216" s="17">
        <f>SUMIF('20.01'!$BB:$BB,$B:$B,'20.01'!$D:$D)*1.2</f>
        <v>0</v>
      </c>
      <c r="DR216" s="17">
        <f t="shared" si="260"/>
        <v>0</v>
      </c>
      <c r="DS216" s="17">
        <f t="shared" si="261"/>
        <v>0</v>
      </c>
      <c r="DT216" s="110">
        <f t="shared" si="294"/>
        <v>1896.5039999999999</v>
      </c>
      <c r="DU216" s="17">
        <f>SUMIF('20.01'!$BD:$BD,$B:$B,'20.01'!$D:$D)*1.2</f>
        <v>1896.5039999999999</v>
      </c>
      <c r="DV216" s="17">
        <f t="shared" si="262"/>
        <v>0</v>
      </c>
      <c r="DW216" s="17">
        <f t="shared" si="263"/>
        <v>0</v>
      </c>
      <c r="DX216" s="110">
        <f t="shared" si="264"/>
        <v>336509.68636122398</v>
      </c>
      <c r="DY216" s="110"/>
      <c r="DZ216" s="110">
        <f t="shared" si="295"/>
        <v>336509.68636122398</v>
      </c>
      <c r="EA216" s="257"/>
      <c r="EB216" s="110">
        <f t="shared" si="265"/>
        <v>0</v>
      </c>
      <c r="EC216" s="110">
        <f>SUMIF(еирц!$B:$B,$B:$B,еирц!$K:$K)</f>
        <v>193529.16</v>
      </c>
      <c r="ED216" s="110">
        <f>SUMIF(еирц!$B:$B,$B:$B,еирц!$P:$P)</f>
        <v>176318.05</v>
      </c>
      <c r="EE216" s="110">
        <f>SUMIF(еирц!$B:$B,$B:$B,еирц!$S:$S)</f>
        <v>67571.320000000007</v>
      </c>
      <c r="EF216" s="177">
        <f t="shared" si="296"/>
        <v>-142980.52636122398</v>
      </c>
      <c r="EG216" s="181">
        <f t="shared" si="297"/>
        <v>0</v>
      </c>
      <c r="EH216" s="177">
        <f t="shared" si="298"/>
        <v>-142980.52636122398</v>
      </c>
    </row>
    <row r="217" spans="1:138" ht="12" customHeight="1" x14ac:dyDescent="0.25">
      <c r="A217" s="5">
        <f t="shared" si="299"/>
        <v>213</v>
      </c>
      <c r="B217" s="6" t="s">
        <v>298</v>
      </c>
      <c r="C217" s="7">
        <f t="shared" si="300"/>
        <v>655.20000000000005</v>
      </c>
      <c r="D217" s="8">
        <v>655.20000000000005</v>
      </c>
      <c r="E217" s="8">
        <v>0</v>
      </c>
      <c r="F217" s="8">
        <v>56</v>
      </c>
      <c r="G217" s="87">
        <f t="shared" si="232"/>
        <v>655.20000000000005</v>
      </c>
      <c r="H217" s="87">
        <f t="shared" si="233"/>
        <v>655.20000000000005</v>
      </c>
      <c r="I217" s="91">
        <v>0</v>
      </c>
      <c r="J217" s="112">
        <v>0</v>
      </c>
      <c r="K217" s="17">
        <v>0</v>
      </c>
      <c r="L217" s="112">
        <f t="shared" si="266"/>
        <v>0</v>
      </c>
      <c r="M217" s="116">
        <v>3.4064155067155064</v>
      </c>
      <c r="N217" s="120">
        <f t="shared" si="267"/>
        <v>655.20000000000005</v>
      </c>
      <c r="O217" s="116">
        <v>3.0862470085470082</v>
      </c>
      <c r="P217" s="120">
        <f t="shared" si="268"/>
        <v>655.20000000000005</v>
      </c>
      <c r="Q217" s="116">
        <v>0</v>
      </c>
      <c r="R217" s="120">
        <f t="shared" si="269"/>
        <v>0</v>
      </c>
      <c r="S217" s="5" t="s">
        <v>102</v>
      </c>
      <c r="T217" s="87">
        <v>25.29</v>
      </c>
      <c r="U217" s="88">
        <v>4.32</v>
      </c>
      <c r="V217" s="88">
        <v>5.61</v>
      </c>
      <c r="W217" s="88">
        <v>7.16</v>
      </c>
      <c r="X217" s="88">
        <v>5.31</v>
      </c>
      <c r="Y217" s="88">
        <v>2.67</v>
      </c>
      <c r="Z217" s="88">
        <v>0</v>
      </c>
      <c r="AA217" s="88">
        <v>0</v>
      </c>
      <c r="AB217" s="88">
        <v>0.22</v>
      </c>
      <c r="AC217" s="257"/>
      <c r="AD217" s="110">
        <f t="shared" si="270"/>
        <v>23906.783006341604</v>
      </c>
      <c r="AE217" s="110">
        <f t="shared" si="271"/>
        <v>23722.729425079335</v>
      </c>
      <c r="AF217" s="16">
        <f>SUMIF('20.01'!$I:$I,$B:$B,'20.01'!$D:$D)*1.2</f>
        <v>11761.776</v>
      </c>
      <c r="AG217" s="17">
        <f t="shared" si="301"/>
        <v>2436.7748475004214</v>
      </c>
      <c r="AH217" s="17">
        <f t="shared" si="272"/>
        <v>500.31006269642273</v>
      </c>
      <c r="AI217" s="16">
        <f>SUMIF('20.01'!$J:$J,$B:$B,'20.01'!$D:$D)*1.2</f>
        <v>0</v>
      </c>
      <c r="AJ217" s="17">
        <f t="shared" si="273"/>
        <v>203.31476144848651</v>
      </c>
      <c r="AK217" s="17">
        <f t="shared" si="274"/>
        <v>494.61964727265973</v>
      </c>
      <c r="AL217" s="17">
        <f t="shared" si="275"/>
        <v>8325.934106161345</v>
      </c>
      <c r="AM217" s="110">
        <f t="shared" si="276"/>
        <v>0</v>
      </c>
      <c r="AN217" s="17">
        <f>SUMIF('20.01'!$K:$K,$B:$B,'20.01'!$D:$D)*1.2</f>
        <v>0</v>
      </c>
      <c r="AO217" s="17">
        <f>SUMIF('20.01'!$L:$L,$B:$B,'20.01'!$D:$D)*1.2</f>
        <v>0</v>
      </c>
      <c r="AP217" s="17">
        <f>SUMIF('20.01'!$M:$M,$B:$B,'20.01'!$D:$D)*1.2</f>
        <v>0</v>
      </c>
      <c r="AQ217" s="110">
        <f t="shared" si="277"/>
        <v>184.05358126227108</v>
      </c>
      <c r="AR217" s="17">
        <f t="shared" si="278"/>
        <v>184.05358126227108</v>
      </c>
      <c r="AS217" s="17">
        <f>(SUMIF('20.01'!$N:$N,$B:$B,'20.01'!$D:$D)+SUMIF('20.01'!$O:$O,$B:$B,'20.01'!$D:$D))*1.2</f>
        <v>0</v>
      </c>
      <c r="AT217" s="110">
        <f>SUMIF('20.01'!$P:$P,$B:$B,'20.01'!$D:$D)*1.2</f>
        <v>0</v>
      </c>
      <c r="AU217" s="110">
        <f t="shared" si="279"/>
        <v>0</v>
      </c>
      <c r="AV217" s="17">
        <f>SUMIF('20.01'!$Q:$Q,$B:$B,'20.01'!$D:$D)*1.2</f>
        <v>0</v>
      </c>
      <c r="AW217" s="17">
        <f>SUMIF('20.01'!$R:$R,$B:$B,'20.01'!$D:$D)*1.2</f>
        <v>0</v>
      </c>
      <c r="AX217" s="110">
        <f t="shared" si="280"/>
        <v>0</v>
      </c>
      <c r="AY217" s="17">
        <f>SUMIF('20.01'!$S:$S,$B:$B,'20.01'!$D:$D)*1.2</f>
        <v>0</v>
      </c>
      <c r="AZ217" s="17">
        <f>SUMIF('20.01'!$T:$T,$B:$B,'20.01'!$D:$D)*1.2</f>
        <v>0</v>
      </c>
      <c r="BA217" s="110">
        <f t="shared" si="281"/>
        <v>0</v>
      </c>
      <c r="BB217" s="17">
        <f>SUMIF('20.01'!$U:$U,$B:$B,'20.01'!$D:$D)*1.2</f>
        <v>0</v>
      </c>
      <c r="BC217" s="17">
        <f>SUMIF('20.01'!$V:$V,$B:$B,'20.01'!$D:$D)*1.2</f>
        <v>0</v>
      </c>
      <c r="BD217" s="17">
        <f>SUMIF('20.01'!$W:$W,$B:$B,'20.01'!$D:$D)*1.2</f>
        <v>0</v>
      </c>
      <c r="BE217" s="110">
        <f>SUMIF('20.01'!$X:$X,$B:$B,'20.01'!$D:$D)*1.2</f>
        <v>0</v>
      </c>
      <c r="BF217" s="110">
        <f t="shared" si="282"/>
        <v>0</v>
      </c>
      <c r="BG217" s="17">
        <f>SUMIF('20.01'!$Y:$Y,$B:$B,'20.01'!$D:$D)*1.2</f>
        <v>0</v>
      </c>
      <c r="BH217" s="17">
        <f>SUMIF('20.01'!$Z:$Z,$B:$B,'20.01'!$D:$D)*1.2</f>
        <v>0</v>
      </c>
      <c r="BI217" s="17">
        <f>SUMIF('20.01'!$AA:$AA,$B:$B,'20.01'!$D:$D)*1.2</f>
        <v>0</v>
      </c>
      <c r="BJ217" s="17">
        <f>SUMIF('20.01'!$AB:$AB,$B:$B,'20.01'!$D:$D)*1.2</f>
        <v>0</v>
      </c>
      <c r="BK217" s="17">
        <f>SUMIF('20.01'!$AC:$AC,$B:$B,'20.01'!$D:$D)*1.2</f>
        <v>0</v>
      </c>
      <c r="BL217" s="17">
        <f>SUMIF('20.01'!$AD:$AD,$B:$B,'20.01'!$D:$D)*1.2</f>
        <v>0</v>
      </c>
      <c r="BM217" s="110">
        <f t="shared" si="283"/>
        <v>0</v>
      </c>
      <c r="BN217" s="17">
        <f>SUMIF('20.01'!$AE:$AE,$B:$B,'20.01'!$D:$D)*1.2</f>
        <v>0</v>
      </c>
      <c r="BO217" s="17">
        <f>SUMIF('20.01'!$AF:$AF,$B:$B,'20.01'!$D:$D)*1.2</f>
        <v>0</v>
      </c>
      <c r="BP217" s="110">
        <f>SUMIF('20.01'!$AG:$AG,$B:$B,'20.01'!$D:$D)*1.2</f>
        <v>0</v>
      </c>
      <c r="BQ217" s="110">
        <f>SUMIF('20.01'!$AH:$AH,$B:$B,'20.01'!$D:$D)*1.2</f>
        <v>0</v>
      </c>
      <c r="BR217" s="110">
        <f>SUMIF('20.01'!$AI:$AI,$B:$B,'20.01'!$D:$D)*1.2</f>
        <v>0</v>
      </c>
      <c r="BS217" s="110">
        <f t="shared" si="284"/>
        <v>0</v>
      </c>
      <c r="BT217" s="17">
        <f>SUMIF('20.01'!$AJ:$AJ,$B:$B,'20.01'!$D:$D)*1.2</f>
        <v>0</v>
      </c>
      <c r="BU217" s="17">
        <f>SUMIF('20.01'!$AK:$AK,$B:$B,'20.01'!$D:$D)*1.2</f>
        <v>0</v>
      </c>
      <c r="BV217" s="110">
        <f>SUMIF('20.01'!$AL:$AL,$B:$B,'20.01'!$D:$D)*1.2</f>
        <v>0</v>
      </c>
      <c r="BW217" s="110">
        <f>SUMIF('20.01'!$AM:$AM,$B:$B,'20.01'!$D:$D)*1.2</f>
        <v>0</v>
      </c>
      <c r="BX217" s="110">
        <f>SUMIF('20.01'!$AN:$AN,$B:$B,'20.01'!$D:$D)*1.2</f>
        <v>0</v>
      </c>
      <c r="BY217" s="110">
        <f t="shared" si="234"/>
        <v>100739.52173491291</v>
      </c>
      <c r="BZ217" s="17">
        <f t="shared" si="302"/>
        <v>91326.737122183709</v>
      </c>
      <c r="CA217" s="17">
        <f t="shared" si="235"/>
        <v>4063.7343911786425</v>
      </c>
      <c r="CB217" s="17">
        <f t="shared" si="236"/>
        <v>270.13624943065571</v>
      </c>
      <c r="CC217" s="17">
        <f>SUMIF('20.01'!$AO:$AO,$B:$B,'20.01'!$D:$D)*1.2</f>
        <v>0</v>
      </c>
      <c r="CD217" s="17">
        <f t="shared" si="237"/>
        <v>4240.8647519229844</v>
      </c>
      <c r="CE217" s="17">
        <f>SUMIF('20.01'!$AQ:$AQ,$B:$B,'20.01'!$D:$D)*1.2</f>
        <v>0</v>
      </c>
      <c r="CF217" s="17">
        <f t="shared" si="238"/>
        <v>385.85165297511861</v>
      </c>
      <c r="CG217" s="17">
        <f>SUMIF('20.01'!$AR:$AR,$B:$B,'20.01'!$D:$D)*1.2</f>
        <v>0</v>
      </c>
      <c r="CH217" s="17">
        <f t="shared" si="239"/>
        <v>227.23862573914766</v>
      </c>
      <c r="CI217" s="17">
        <f>SUMIF('20.01'!$AT:$AT,$B:$B,'20.01'!$D:$D)*1.2</f>
        <v>0</v>
      </c>
      <c r="CJ217" s="17">
        <f>SUMIF('20.01'!$AU:$AU,$B:$B,'20.01'!$D:$D)*1.2</f>
        <v>0</v>
      </c>
      <c r="CK217" s="17">
        <f>SUMIF('20.01'!$AV:$AV,$B:$B,'20.01'!$D:$D)*1.2</f>
        <v>0</v>
      </c>
      <c r="CL217" s="17">
        <f t="shared" si="240"/>
        <v>224.95894148265123</v>
      </c>
      <c r="CM217" s="17">
        <f>SUMIF('20.01'!$AW:$AW,$B:$B,'20.01'!$D:$D)*1.2</f>
        <v>0</v>
      </c>
      <c r="CN217" s="17">
        <f>SUMIF('20.01'!$AX:$AX,$B:$B,'20.01'!$D:$D)*1.2</f>
        <v>0</v>
      </c>
      <c r="CO217" s="110">
        <f t="shared" si="285"/>
        <v>75465.046134544042</v>
      </c>
      <c r="CP217" s="17">
        <f t="shared" si="286"/>
        <v>59529.95096199635</v>
      </c>
      <c r="CQ217" s="17">
        <f t="shared" si="241"/>
        <v>18365.808982522874</v>
      </c>
      <c r="CR217" s="17">
        <f t="shared" si="242"/>
        <v>41164.141979473476</v>
      </c>
      <c r="CS217" s="17">
        <f t="shared" si="287"/>
        <v>15935.095172547697</v>
      </c>
      <c r="CT217" s="17">
        <f t="shared" si="243"/>
        <v>580.52949581275482</v>
      </c>
      <c r="CU217" s="17">
        <f t="shared" si="244"/>
        <v>561.5075746336222</v>
      </c>
      <c r="CV217" s="17">
        <f t="shared" si="245"/>
        <v>580.33035072171469</v>
      </c>
      <c r="CW217" s="17">
        <f t="shared" si="246"/>
        <v>6.0854026969703279</v>
      </c>
      <c r="CX217" s="17">
        <f t="shared" si="247"/>
        <v>8568.8588028942395</v>
      </c>
      <c r="CY217" s="17">
        <f t="shared" si="248"/>
        <v>5637.7835457883957</v>
      </c>
      <c r="CZ217" s="110">
        <f t="shared" si="288"/>
        <v>18732.400062224413</v>
      </c>
      <c r="DA217" s="17">
        <f t="shared" si="289"/>
        <v>707.60496476399157</v>
      </c>
      <c r="DB217" s="17">
        <f t="shared" si="249"/>
        <v>671.49115476008774</v>
      </c>
      <c r="DC217" s="17">
        <f t="shared" si="250"/>
        <v>36.113810003903879</v>
      </c>
      <c r="DD217" s="17">
        <f t="shared" si="251"/>
        <v>1246.8811162100403</v>
      </c>
      <c r="DE217" s="17">
        <f t="shared" si="252"/>
        <v>430.20684006999807</v>
      </c>
      <c r="DF217" s="17">
        <f t="shared" si="253"/>
        <v>522.11593479116948</v>
      </c>
      <c r="DG217" s="17">
        <f t="shared" si="290"/>
        <v>15825.591206389216</v>
      </c>
      <c r="DH217" s="110">
        <f t="shared" si="291"/>
        <v>11690.480961982836</v>
      </c>
      <c r="DI217" s="17">
        <f t="shared" si="254"/>
        <v>10486.838070342807</v>
      </c>
      <c r="DJ217" s="17">
        <f t="shared" si="255"/>
        <v>1159.7826693902884</v>
      </c>
      <c r="DK217" s="17">
        <f t="shared" si="256"/>
        <v>43.860222249741255</v>
      </c>
      <c r="DL217" s="110">
        <f t="shared" si="292"/>
        <v>69500.336269155101</v>
      </c>
      <c r="DM217" s="17">
        <f t="shared" si="257"/>
        <v>36835.178222652205</v>
      </c>
      <c r="DN217" s="17">
        <f t="shared" si="258"/>
        <v>32665.1580465029</v>
      </c>
      <c r="DO217" s="17">
        <f t="shared" si="259"/>
        <v>0</v>
      </c>
      <c r="DP217" s="110">
        <f t="shared" si="293"/>
        <v>0</v>
      </c>
      <c r="DQ217" s="17">
        <f>SUMIF('20.01'!$BB:$BB,$B:$B,'20.01'!$D:$D)*1.2</f>
        <v>0</v>
      </c>
      <c r="DR217" s="17">
        <f t="shared" si="260"/>
        <v>0</v>
      </c>
      <c r="DS217" s="17">
        <f t="shared" si="261"/>
        <v>0</v>
      </c>
      <c r="DT217" s="110">
        <f t="shared" si="294"/>
        <v>1896.5039999999999</v>
      </c>
      <c r="DU217" s="17">
        <f>SUMIF('20.01'!$BD:$BD,$B:$B,'20.01'!$D:$D)*1.2</f>
        <v>1896.5039999999999</v>
      </c>
      <c r="DV217" s="17">
        <f t="shared" si="262"/>
        <v>0</v>
      </c>
      <c r="DW217" s="17">
        <f t="shared" si="263"/>
        <v>0</v>
      </c>
      <c r="DX217" s="110">
        <f t="shared" si="264"/>
        <v>301931.07216916094</v>
      </c>
      <c r="DY217" s="110"/>
      <c r="DZ217" s="110">
        <f t="shared" si="295"/>
        <v>301931.07216916094</v>
      </c>
      <c r="EA217" s="257"/>
      <c r="EB217" s="110">
        <f t="shared" si="265"/>
        <v>0</v>
      </c>
      <c r="EC217" s="110">
        <f>SUMIF(еирц!$B:$B,$B:$B,еирц!$K:$K)</f>
        <v>198840.48</v>
      </c>
      <c r="ED217" s="110">
        <f>SUMIF(еирц!$B:$B,$B:$B,еирц!$P:$P)</f>
        <v>204456.26</v>
      </c>
      <c r="EE217" s="110">
        <f>SUMIF(еирц!$B:$B,$B:$B,еирц!$S:$S)</f>
        <v>13083.77</v>
      </c>
      <c r="EF217" s="177">
        <f t="shared" si="296"/>
        <v>-103090.59216916093</v>
      </c>
      <c r="EG217" s="181">
        <f t="shared" si="297"/>
        <v>0</v>
      </c>
      <c r="EH217" s="177">
        <f t="shared" si="298"/>
        <v>-103090.59216916093</v>
      </c>
    </row>
    <row r="218" spans="1:138" ht="12" customHeight="1" x14ac:dyDescent="0.25">
      <c r="A218" s="5">
        <f t="shared" si="299"/>
        <v>214</v>
      </c>
      <c r="B218" s="6" t="s">
        <v>299</v>
      </c>
      <c r="C218" s="7">
        <f t="shared" si="300"/>
        <v>228.2</v>
      </c>
      <c r="D218" s="8">
        <v>228.2</v>
      </c>
      <c r="E218" s="8">
        <v>0</v>
      </c>
      <c r="F218" s="8">
        <v>0</v>
      </c>
      <c r="G218" s="91">
        <f t="shared" si="232"/>
        <v>228.2</v>
      </c>
      <c r="H218" s="87">
        <f t="shared" si="233"/>
        <v>0</v>
      </c>
      <c r="I218" s="91">
        <v>0</v>
      </c>
      <c r="J218" s="112">
        <v>0</v>
      </c>
      <c r="K218" s="17">
        <v>0</v>
      </c>
      <c r="L218" s="112">
        <f t="shared" si="266"/>
        <v>0</v>
      </c>
      <c r="M218" s="116">
        <v>3.4064371603856269</v>
      </c>
      <c r="N218" s="120">
        <f t="shared" si="267"/>
        <v>228.2</v>
      </c>
      <c r="O218" s="116">
        <v>3.0862341805433835</v>
      </c>
      <c r="P218" s="120">
        <f t="shared" si="268"/>
        <v>228.2</v>
      </c>
      <c r="Q218" s="116">
        <v>0</v>
      </c>
      <c r="R218" s="120">
        <f t="shared" si="269"/>
        <v>0</v>
      </c>
      <c r="S218" s="5" t="s">
        <v>102</v>
      </c>
      <c r="T218" s="87">
        <v>16.02</v>
      </c>
      <c r="U218" s="88">
        <v>0</v>
      </c>
      <c r="V218" s="88">
        <v>3.25</v>
      </c>
      <c r="W218" s="88">
        <v>6.72</v>
      </c>
      <c r="X218" s="88">
        <v>4</v>
      </c>
      <c r="Y218" s="88">
        <v>2.0499999999999998</v>
      </c>
      <c r="Z218" s="88">
        <v>0</v>
      </c>
      <c r="AA218" s="88">
        <v>0</v>
      </c>
      <c r="AB218" s="88">
        <v>0</v>
      </c>
      <c r="AC218" s="257"/>
      <c r="AD218" s="110">
        <f t="shared" si="270"/>
        <v>32563.995756482222</v>
      </c>
      <c r="AE218" s="110">
        <f t="shared" si="271"/>
        <v>32499.891624546857</v>
      </c>
      <c r="AF218" s="16">
        <f>SUMIF('20.01'!$I:$I,$B:$B,'20.01'!$D:$D)*1.2</f>
        <v>28334.003999999997</v>
      </c>
      <c r="AG218" s="17">
        <f t="shared" si="301"/>
        <v>848.70576953540296</v>
      </c>
      <c r="AH218" s="17">
        <f t="shared" si="272"/>
        <v>174.25329106734378</v>
      </c>
      <c r="AI218" s="16">
        <f>SUMIF('20.01'!$J:$J,$B:$B,'20.01'!$D:$D)*1.2</f>
        <v>0</v>
      </c>
      <c r="AJ218" s="17">
        <f t="shared" si="273"/>
        <v>70.812619906203622</v>
      </c>
      <c r="AK218" s="17">
        <f t="shared" si="274"/>
        <v>172.27137287487932</v>
      </c>
      <c r="AL218" s="17">
        <f t="shared" si="275"/>
        <v>2899.844571163032</v>
      </c>
      <c r="AM218" s="110">
        <f t="shared" si="276"/>
        <v>0</v>
      </c>
      <c r="AN218" s="17">
        <f>SUMIF('20.01'!$K:$K,$B:$B,'20.01'!$D:$D)*1.2</f>
        <v>0</v>
      </c>
      <c r="AO218" s="17">
        <f>SUMIF('20.01'!$L:$L,$B:$B,'20.01'!$D:$D)*1.2</f>
        <v>0</v>
      </c>
      <c r="AP218" s="17">
        <f>SUMIF('20.01'!$M:$M,$B:$B,'20.01'!$D:$D)*1.2</f>
        <v>0</v>
      </c>
      <c r="AQ218" s="110">
        <f t="shared" si="277"/>
        <v>64.10413193536364</v>
      </c>
      <c r="AR218" s="17">
        <f t="shared" si="278"/>
        <v>64.10413193536364</v>
      </c>
      <c r="AS218" s="17">
        <f>(SUMIF('20.01'!$N:$N,$B:$B,'20.01'!$D:$D)+SUMIF('20.01'!$O:$O,$B:$B,'20.01'!$D:$D))*1.2</f>
        <v>0</v>
      </c>
      <c r="AT218" s="110">
        <f>SUMIF('20.01'!$P:$P,$B:$B,'20.01'!$D:$D)*1.2</f>
        <v>0</v>
      </c>
      <c r="AU218" s="110">
        <f t="shared" si="279"/>
        <v>0</v>
      </c>
      <c r="AV218" s="17">
        <f>SUMIF('20.01'!$Q:$Q,$B:$B,'20.01'!$D:$D)*1.2</f>
        <v>0</v>
      </c>
      <c r="AW218" s="17">
        <f>SUMIF('20.01'!$R:$R,$B:$B,'20.01'!$D:$D)*1.2</f>
        <v>0</v>
      </c>
      <c r="AX218" s="110">
        <f t="shared" si="280"/>
        <v>0</v>
      </c>
      <c r="AY218" s="17">
        <f>SUMIF('20.01'!$S:$S,$B:$B,'20.01'!$D:$D)*1.2</f>
        <v>0</v>
      </c>
      <c r="AZ218" s="17">
        <f>SUMIF('20.01'!$T:$T,$B:$B,'20.01'!$D:$D)*1.2</f>
        <v>0</v>
      </c>
      <c r="BA218" s="110">
        <f t="shared" si="281"/>
        <v>0</v>
      </c>
      <c r="BB218" s="17">
        <f>SUMIF('20.01'!$U:$U,$B:$B,'20.01'!$D:$D)*1.2</f>
        <v>0</v>
      </c>
      <c r="BC218" s="17">
        <f>SUMIF('20.01'!$V:$V,$B:$B,'20.01'!$D:$D)*1.2</f>
        <v>0</v>
      </c>
      <c r="BD218" s="17">
        <f>SUMIF('20.01'!$W:$W,$B:$B,'20.01'!$D:$D)*1.2</f>
        <v>0</v>
      </c>
      <c r="BE218" s="110">
        <f>SUMIF('20.01'!$X:$X,$B:$B,'20.01'!$D:$D)*1.2</f>
        <v>0</v>
      </c>
      <c r="BF218" s="110">
        <f t="shared" si="282"/>
        <v>0</v>
      </c>
      <c r="BG218" s="17">
        <f>SUMIF('20.01'!$Y:$Y,$B:$B,'20.01'!$D:$D)*1.2</f>
        <v>0</v>
      </c>
      <c r="BH218" s="17">
        <f>SUMIF('20.01'!$Z:$Z,$B:$B,'20.01'!$D:$D)*1.2</f>
        <v>0</v>
      </c>
      <c r="BI218" s="17">
        <f>SUMIF('20.01'!$AA:$AA,$B:$B,'20.01'!$D:$D)*1.2</f>
        <v>0</v>
      </c>
      <c r="BJ218" s="17">
        <f>SUMIF('20.01'!$AB:$AB,$B:$B,'20.01'!$D:$D)*1.2</f>
        <v>0</v>
      </c>
      <c r="BK218" s="17">
        <f>SUMIF('20.01'!$AC:$AC,$B:$B,'20.01'!$D:$D)*1.2</f>
        <v>0</v>
      </c>
      <c r="BL218" s="17">
        <f>SUMIF('20.01'!$AD:$AD,$B:$B,'20.01'!$D:$D)*1.2</f>
        <v>0</v>
      </c>
      <c r="BM218" s="110">
        <f t="shared" si="283"/>
        <v>0</v>
      </c>
      <c r="BN218" s="17">
        <f>SUMIF('20.01'!$AE:$AE,$B:$B,'20.01'!$D:$D)*1.2</f>
        <v>0</v>
      </c>
      <c r="BO218" s="17">
        <f>SUMIF('20.01'!$AF:$AF,$B:$B,'20.01'!$D:$D)*1.2</f>
        <v>0</v>
      </c>
      <c r="BP218" s="110">
        <f>SUMIF('20.01'!$AG:$AG,$B:$B,'20.01'!$D:$D)*1.2</f>
        <v>0</v>
      </c>
      <c r="BQ218" s="110">
        <f>SUMIF('20.01'!$AH:$AH,$B:$B,'20.01'!$D:$D)*1.2</f>
        <v>0</v>
      </c>
      <c r="BR218" s="110">
        <f>SUMIF('20.01'!$AI:$AI,$B:$B,'20.01'!$D:$D)*1.2</f>
        <v>0</v>
      </c>
      <c r="BS218" s="110">
        <f t="shared" si="284"/>
        <v>0</v>
      </c>
      <c r="BT218" s="17">
        <f>SUMIF('20.01'!$AJ:$AJ,$B:$B,'20.01'!$D:$D)*1.2</f>
        <v>0</v>
      </c>
      <c r="BU218" s="17">
        <f>SUMIF('20.01'!$AK:$AK,$B:$B,'20.01'!$D:$D)*1.2</f>
        <v>0</v>
      </c>
      <c r="BV218" s="110">
        <f>SUMIF('20.01'!$AL:$AL,$B:$B,'20.01'!$D:$D)*1.2</f>
        <v>0</v>
      </c>
      <c r="BW218" s="110">
        <f>SUMIF('20.01'!$AM:$AM,$B:$B,'20.01'!$D:$D)*1.2</f>
        <v>0</v>
      </c>
      <c r="BX218" s="110">
        <f>SUMIF('20.01'!$AN:$AN,$B:$B,'20.01'!$D:$D)*1.2</f>
        <v>0</v>
      </c>
      <c r="BY218" s="110">
        <f t="shared" si="234"/>
        <v>35086.628296561539</v>
      </c>
      <c r="BZ218" s="17">
        <f t="shared" si="302"/>
        <v>31808.243912213551</v>
      </c>
      <c r="CA218" s="17">
        <f t="shared" si="235"/>
        <v>1415.3604823976893</v>
      </c>
      <c r="CB218" s="17">
        <f t="shared" si="236"/>
        <v>94.085915934181358</v>
      </c>
      <c r="CC218" s="17">
        <f>SUMIF('20.01'!$AO:$AO,$B:$B,'20.01'!$D:$D)*1.2</f>
        <v>0</v>
      </c>
      <c r="CD218" s="17">
        <f t="shared" si="237"/>
        <v>1477.0533217167658</v>
      </c>
      <c r="CE218" s="17">
        <f>SUMIF('20.01'!$AQ:$AQ,$B:$B,'20.01'!$D:$D)*1.2</f>
        <v>0</v>
      </c>
      <c r="CF218" s="17">
        <f t="shared" si="238"/>
        <v>134.38850306612036</v>
      </c>
      <c r="CG218" s="17">
        <f>SUMIF('20.01'!$AR:$AR,$B:$B,'20.01'!$D:$D)*1.2</f>
        <v>0</v>
      </c>
      <c r="CH218" s="17">
        <f t="shared" si="239"/>
        <v>79.145076913421079</v>
      </c>
      <c r="CI218" s="17">
        <f>SUMIF('20.01'!$AT:$AT,$B:$B,'20.01'!$D:$D)*1.2</f>
        <v>0</v>
      </c>
      <c r="CJ218" s="17">
        <f>SUMIF('20.01'!$AU:$AU,$B:$B,'20.01'!$D:$D)*1.2</f>
        <v>0</v>
      </c>
      <c r="CK218" s="17">
        <f>SUMIF('20.01'!$AV:$AV,$B:$B,'20.01'!$D:$D)*1.2</f>
        <v>0</v>
      </c>
      <c r="CL218" s="17">
        <f t="shared" si="240"/>
        <v>78.351084319812287</v>
      </c>
      <c r="CM218" s="17">
        <f>SUMIF('20.01'!$AW:$AW,$B:$B,'20.01'!$D:$D)*1.2</f>
        <v>0</v>
      </c>
      <c r="CN218" s="17">
        <f>SUMIF('20.01'!$AX:$AX,$B:$B,'20.01'!$D:$D)*1.2</f>
        <v>0</v>
      </c>
      <c r="CO218" s="110">
        <f t="shared" si="285"/>
        <v>26283.766068227946</v>
      </c>
      <c r="CP218" s="17">
        <f t="shared" si="286"/>
        <v>20733.722236763682</v>
      </c>
      <c r="CQ218" s="17">
        <f t="shared" si="241"/>
        <v>6396.6385986137348</v>
      </c>
      <c r="CR218" s="17">
        <f t="shared" si="242"/>
        <v>14337.083638149947</v>
      </c>
      <c r="CS218" s="17">
        <f t="shared" si="287"/>
        <v>5550.0438314642615</v>
      </c>
      <c r="CT218" s="17">
        <f t="shared" si="243"/>
        <v>202.19296542196372</v>
      </c>
      <c r="CU218" s="17">
        <f t="shared" si="244"/>
        <v>195.56780911384701</v>
      </c>
      <c r="CV218" s="17">
        <f t="shared" si="245"/>
        <v>202.12360505905872</v>
      </c>
      <c r="CW218" s="17">
        <f t="shared" si="246"/>
        <v>2.1194885461670157</v>
      </c>
      <c r="CX218" s="17">
        <f t="shared" si="247"/>
        <v>2984.4529591276942</v>
      </c>
      <c r="CY218" s="17">
        <f t="shared" si="248"/>
        <v>1963.5870041955307</v>
      </c>
      <c r="CZ218" s="110">
        <f t="shared" si="288"/>
        <v>6524.3188250909807</v>
      </c>
      <c r="DA218" s="17">
        <f t="shared" si="289"/>
        <v>246.45215653104833</v>
      </c>
      <c r="DB218" s="17">
        <f t="shared" si="249"/>
        <v>233.87405603823566</v>
      </c>
      <c r="DC218" s="17">
        <f t="shared" si="250"/>
        <v>12.578100492812675</v>
      </c>
      <c r="DD218" s="17">
        <f t="shared" si="251"/>
        <v>434.27696996204395</v>
      </c>
      <c r="DE218" s="17">
        <f t="shared" si="252"/>
        <v>149.83699771668736</v>
      </c>
      <c r="DF218" s="17">
        <f t="shared" si="253"/>
        <v>181.84807130547142</v>
      </c>
      <c r="DG218" s="17">
        <f t="shared" si="290"/>
        <v>5511.9046295757298</v>
      </c>
      <c r="DH218" s="110">
        <f t="shared" si="291"/>
        <v>4071.6846085538505</v>
      </c>
      <c r="DI218" s="17">
        <f t="shared" si="254"/>
        <v>3652.4671056963189</v>
      </c>
      <c r="DJ218" s="17">
        <f t="shared" si="255"/>
        <v>403.9413998090107</v>
      </c>
      <c r="DK218" s="17">
        <f t="shared" si="256"/>
        <v>15.276103048520991</v>
      </c>
      <c r="DL218" s="110">
        <f t="shared" si="292"/>
        <v>24206.313700581799</v>
      </c>
      <c r="DM218" s="17">
        <f t="shared" si="257"/>
        <v>12829.346261308352</v>
      </c>
      <c r="DN218" s="17">
        <f t="shared" si="258"/>
        <v>11376.967439273445</v>
      </c>
      <c r="DO218" s="17">
        <f t="shared" si="259"/>
        <v>0</v>
      </c>
      <c r="DP218" s="110">
        <f t="shared" si="293"/>
        <v>0</v>
      </c>
      <c r="DQ218" s="17">
        <f>SUMIF('20.01'!$BB:$BB,$B:$B,'20.01'!$D:$D)*1.2</f>
        <v>0</v>
      </c>
      <c r="DR218" s="17">
        <f t="shared" si="260"/>
        <v>0</v>
      </c>
      <c r="DS218" s="17">
        <f t="shared" si="261"/>
        <v>0</v>
      </c>
      <c r="DT218" s="110">
        <f t="shared" si="294"/>
        <v>0</v>
      </c>
      <c r="DU218" s="17">
        <f>SUMIF('20.01'!$BD:$BD,$B:$B,'20.01'!$D:$D)*1.2</f>
        <v>0</v>
      </c>
      <c r="DV218" s="17">
        <f t="shared" si="262"/>
        <v>0</v>
      </c>
      <c r="DW218" s="17">
        <f t="shared" si="263"/>
        <v>0</v>
      </c>
      <c r="DX218" s="110">
        <f t="shared" si="264"/>
        <v>128736.70725549835</v>
      </c>
      <c r="DY218" s="110"/>
      <c r="DZ218" s="110">
        <f t="shared" si="295"/>
        <v>128736.70725549835</v>
      </c>
      <c r="EA218" s="257"/>
      <c r="EB218" s="110">
        <f t="shared" si="265"/>
        <v>0</v>
      </c>
      <c r="EC218" s="110">
        <f>SUMIF(еирц!$B:$B,$B:$B,еирц!$K:$K)</f>
        <v>43869.120000000003</v>
      </c>
      <c r="ED218" s="110">
        <f>SUMIF(еирц!$B:$B,$B:$B,еирц!$P:$P)</f>
        <v>43857.899999999994</v>
      </c>
      <c r="EE218" s="110">
        <f>SUMIF(еирц!$B:$B,$B:$B,еирц!$S:$S)</f>
        <v>3327.36</v>
      </c>
      <c r="EF218" s="177">
        <f t="shared" si="296"/>
        <v>-84867.587255498336</v>
      </c>
      <c r="EG218" s="181">
        <f t="shared" si="297"/>
        <v>0</v>
      </c>
      <c r="EH218" s="177">
        <f t="shared" si="298"/>
        <v>-84867.587255498336</v>
      </c>
    </row>
    <row r="219" spans="1:138" ht="12" customHeight="1" x14ac:dyDescent="0.25">
      <c r="A219" s="5">
        <f t="shared" si="299"/>
        <v>215</v>
      </c>
      <c r="B219" s="6" t="s">
        <v>300</v>
      </c>
      <c r="C219" s="7">
        <f t="shared" si="300"/>
        <v>4601.2</v>
      </c>
      <c r="D219" s="8">
        <v>4601.2</v>
      </c>
      <c r="E219" s="8">
        <v>0</v>
      </c>
      <c r="F219" s="8">
        <v>1142.4000000000001</v>
      </c>
      <c r="G219" s="87">
        <f t="shared" si="232"/>
        <v>4601.2</v>
      </c>
      <c r="H219" s="87">
        <f t="shared" si="233"/>
        <v>4601.2</v>
      </c>
      <c r="I219" s="91">
        <v>2</v>
      </c>
      <c r="J219" s="112">
        <v>1.2405230932393126E-3</v>
      </c>
      <c r="K219" s="17">
        <v>1</v>
      </c>
      <c r="L219" s="112">
        <f t="shared" si="266"/>
        <v>2.4096385542168672E-3</v>
      </c>
      <c r="M219" s="116">
        <v>3.4064183908045975</v>
      </c>
      <c r="N219" s="120">
        <f t="shared" si="267"/>
        <v>4601.2</v>
      </c>
      <c r="O219" s="116">
        <v>2.6059547443669473</v>
      </c>
      <c r="P219" s="120">
        <f t="shared" si="268"/>
        <v>4601.2</v>
      </c>
      <c r="Q219" s="116">
        <v>1.6009272928753016</v>
      </c>
      <c r="R219" s="120">
        <f t="shared" si="269"/>
        <v>4601.2</v>
      </c>
      <c r="S219" s="5" t="s">
        <v>102</v>
      </c>
      <c r="T219" s="87">
        <v>36.75</v>
      </c>
      <c r="U219" s="88">
        <v>4.0199999999999996</v>
      </c>
      <c r="V219" s="88">
        <v>7</v>
      </c>
      <c r="W219" s="88">
        <v>11</v>
      </c>
      <c r="X219" s="88">
        <v>5.4</v>
      </c>
      <c r="Y219" s="88">
        <v>2.67</v>
      </c>
      <c r="Z219" s="88">
        <v>1.54</v>
      </c>
      <c r="AA219" s="88">
        <v>4.9000000000000004</v>
      </c>
      <c r="AB219" s="88">
        <v>0.22</v>
      </c>
      <c r="AC219" s="257"/>
      <c r="AD219" s="110">
        <f t="shared" si="270"/>
        <v>96834.778809491734</v>
      </c>
      <c r="AE219" s="110">
        <f t="shared" si="271"/>
        <v>86934.418242177999</v>
      </c>
      <c r="AF219" s="16">
        <f>SUMIF('20.01'!$I:$I,$B:$B,'20.01'!$D:$D)*1.2</f>
        <v>2937.5639999999999</v>
      </c>
      <c r="AG219" s="17">
        <f t="shared" si="301"/>
        <v>17112.467076188852</v>
      </c>
      <c r="AH219" s="17">
        <f t="shared" si="272"/>
        <v>3513.4717040274418</v>
      </c>
      <c r="AI219" s="16">
        <f>SUMIF('20.01'!$J:$J,$B:$B,'20.01'!$D:$D)*1.2</f>
        <v>0</v>
      </c>
      <c r="AJ219" s="17">
        <f t="shared" si="273"/>
        <v>1427.7959102209647</v>
      </c>
      <c r="AK219" s="17">
        <f t="shared" si="274"/>
        <v>3473.510257983763</v>
      </c>
      <c r="AL219" s="17">
        <f t="shared" si="275"/>
        <v>58469.609293756977</v>
      </c>
      <c r="AM219" s="110">
        <f t="shared" si="276"/>
        <v>0</v>
      </c>
      <c r="AN219" s="17">
        <f>SUMIF('20.01'!$K:$K,$B:$B,'20.01'!$D:$D)*1.2</f>
        <v>0</v>
      </c>
      <c r="AO219" s="17">
        <f>SUMIF('20.01'!$L:$L,$B:$B,'20.01'!$D:$D)*1.2</f>
        <v>0</v>
      </c>
      <c r="AP219" s="17">
        <f>SUMIF('20.01'!$M:$M,$B:$B,'20.01'!$D:$D)*1.2</f>
        <v>0</v>
      </c>
      <c r="AQ219" s="110">
        <f t="shared" si="277"/>
        <v>1292.5325673137386</v>
      </c>
      <c r="AR219" s="17">
        <f t="shared" si="278"/>
        <v>1292.5325673137386</v>
      </c>
      <c r="AS219" s="17">
        <f>(SUMIF('20.01'!$N:$N,$B:$B,'20.01'!$D:$D)+SUMIF('20.01'!$O:$O,$B:$B,'20.01'!$D:$D))*1.2</f>
        <v>0</v>
      </c>
      <c r="AT219" s="110">
        <f>SUMIF('20.01'!$P:$P,$B:$B,'20.01'!$D:$D)*1.2</f>
        <v>0</v>
      </c>
      <c r="AU219" s="110">
        <f t="shared" si="279"/>
        <v>0</v>
      </c>
      <c r="AV219" s="17">
        <f>SUMIF('20.01'!$Q:$Q,$B:$B,'20.01'!$D:$D)*1.2</f>
        <v>0</v>
      </c>
      <c r="AW219" s="17">
        <f>SUMIF('20.01'!$R:$R,$B:$B,'20.01'!$D:$D)*1.2</f>
        <v>0</v>
      </c>
      <c r="AX219" s="110">
        <f t="shared" si="280"/>
        <v>8607.8279999999995</v>
      </c>
      <c r="AY219" s="17">
        <f>SUMIF('20.01'!$S:$S,$B:$B,'20.01'!$D:$D)*1.2</f>
        <v>8607.8279999999995</v>
      </c>
      <c r="AZ219" s="17">
        <f>SUMIF('20.01'!$T:$T,$B:$B,'20.01'!$D:$D)*1.2</f>
        <v>0</v>
      </c>
      <c r="BA219" s="110">
        <f t="shared" si="281"/>
        <v>0</v>
      </c>
      <c r="BB219" s="17">
        <f>SUMIF('20.01'!$U:$U,$B:$B,'20.01'!$D:$D)*1.2</f>
        <v>0</v>
      </c>
      <c r="BC219" s="17">
        <f>SUMIF('20.01'!$V:$V,$B:$B,'20.01'!$D:$D)*1.2</f>
        <v>0</v>
      </c>
      <c r="BD219" s="17">
        <f>SUMIF('20.01'!$W:$W,$B:$B,'20.01'!$D:$D)*1.2</f>
        <v>0</v>
      </c>
      <c r="BE219" s="110">
        <f>SUMIF('20.01'!$X:$X,$B:$B,'20.01'!$D:$D)*1.2</f>
        <v>0</v>
      </c>
      <c r="BF219" s="110">
        <f t="shared" si="282"/>
        <v>0</v>
      </c>
      <c r="BG219" s="17">
        <f>SUMIF('20.01'!$Y:$Y,$B:$B,'20.01'!$D:$D)*1.2</f>
        <v>0</v>
      </c>
      <c r="BH219" s="17">
        <f>SUMIF('20.01'!$Z:$Z,$B:$B,'20.01'!$D:$D)*1.2</f>
        <v>0</v>
      </c>
      <c r="BI219" s="17">
        <f>SUMIF('20.01'!$AA:$AA,$B:$B,'20.01'!$D:$D)*1.2</f>
        <v>0</v>
      </c>
      <c r="BJ219" s="17">
        <f>SUMIF('20.01'!$AB:$AB,$B:$B,'20.01'!$D:$D)*1.2</f>
        <v>0</v>
      </c>
      <c r="BK219" s="17">
        <f>SUMIF('20.01'!$AC:$AC,$B:$B,'20.01'!$D:$D)*1.2</f>
        <v>0</v>
      </c>
      <c r="BL219" s="17">
        <f>SUMIF('20.01'!$AD:$AD,$B:$B,'20.01'!$D:$D)*1.2</f>
        <v>0</v>
      </c>
      <c r="BM219" s="110">
        <f t="shared" si="283"/>
        <v>0</v>
      </c>
      <c r="BN219" s="17">
        <f>SUMIF('20.01'!$AE:$AE,$B:$B,'20.01'!$D:$D)*1.2</f>
        <v>0</v>
      </c>
      <c r="BO219" s="17">
        <f>SUMIF('20.01'!$AF:$AF,$B:$B,'20.01'!$D:$D)*1.2</f>
        <v>0</v>
      </c>
      <c r="BP219" s="110">
        <f>SUMIF('20.01'!$AG:$AG,$B:$B,'20.01'!$D:$D)*1.2</f>
        <v>0</v>
      </c>
      <c r="BQ219" s="110">
        <f>SUMIF('20.01'!$AH:$AH,$B:$B,'20.01'!$D:$D)*1.2</f>
        <v>0</v>
      </c>
      <c r="BR219" s="110">
        <f>SUMIF('20.01'!$AI:$AI,$B:$B,'20.01'!$D:$D)*1.2</f>
        <v>0</v>
      </c>
      <c r="BS219" s="110">
        <f t="shared" si="284"/>
        <v>0</v>
      </c>
      <c r="BT219" s="17">
        <f>SUMIF('20.01'!$AJ:$AJ,$B:$B,'20.01'!$D:$D)*1.2</f>
        <v>0</v>
      </c>
      <c r="BU219" s="17">
        <f>SUMIF('20.01'!$AK:$AK,$B:$B,'20.01'!$D:$D)*1.2</f>
        <v>0</v>
      </c>
      <c r="BV219" s="110">
        <f>SUMIF('20.01'!$AL:$AL,$B:$B,'20.01'!$D:$D)*1.2</f>
        <v>0</v>
      </c>
      <c r="BW219" s="110">
        <f>SUMIF('20.01'!$AM:$AM,$B:$B,'20.01'!$D:$D)*1.2</f>
        <v>0</v>
      </c>
      <c r="BX219" s="110">
        <f>SUMIF('20.01'!$AN:$AN,$B:$B,'20.01'!$D:$D)*1.2</f>
        <v>0</v>
      </c>
      <c r="BY219" s="110">
        <f t="shared" si="234"/>
        <v>707452.20910665626</v>
      </c>
      <c r="BZ219" s="161">
        <f t="shared" si="302"/>
        <v>641350.09591970639</v>
      </c>
      <c r="CA219" s="161">
        <f t="shared" si="235"/>
        <v>28537.934494339388</v>
      </c>
      <c r="CB219" s="161">
        <f t="shared" si="236"/>
        <v>1897.055724786833</v>
      </c>
      <c r="CC219" s="161">
        <f>SUMIF('20.01'!$AO:$AO,$B:$B,'20.01'!$D:$D)*1.2</f>
        <v>0</v>
      </c>
      <c r="CD219" s="161">
        <f t="shared" si="237"/>
        <v>29781.84813270457</v>
      </c>
      <c r="CE219" s="161">
        <f>SUMIF('20.01'!$AQ:$AQ,$B:$B,'20.01'!$D:$D)*1.2</f>
        <v>0</v>
      </c>
      <c r="CF219" s="161">
        <f t="shared" si="238"/>
        <v>2709.6773896048771</v>
      </c>
      <c r="CG219" s="161">
        <f>SUMIF('20.01'!$AR:$AR,$B:$B,'20.01'!$D:$D)*1.2</f>
        <v>0</v>
      </c>
      <c r="CH219" s="161">
        <f t="shared" si="239"/>
        <v>1595.8033650045272</v>
      </c>
      <c r="CI219" s="161">
        <f>SUMIF('20.01'!$AT:$AT,$B:$B,'20.01'!$D:$D)*1.2</f>
        <v>0</v>
      </c>
      <c r="CJ219" s="161">
        <f>SUMIF('20.01'!$AU:$AU,$B:$B,'20.01'!$D:$D)*1.2</f>
        <v>0</v>
      </c>
      <c r="CK219" s="161">
        <f>SUMIF('20.01'!$AV:$AV,$B:$B,'20.01'!$D:$D)*1.2</f>
        <v>0</v>
      </c>
      <c r="CL219" s="161">
        <f t="shared" si="240"/>
        <v>1579.7940805097294</v>
      </c>
      <c r="CM219" s="161">
        <f>SUMIF('20.01'!$AW:$AW,$B:$B,'20.01'!$D:$D)*1.2</f>
        <v>0</v>
      </c>
      <c r="CN219" s="161">
        <f>SUMIF('20.01'!$AX:$AX,$B:$B,'20.01'!$D:$D)*1.2</f>
        <v>0</v>
      </c>
      <c r="CO219" s="110">
        <f t="shared" si="285"/>
        <v>529959.9668410623</v>
      </c>
      <c r="CP219" s="17">
        <f t="shared" si="286"/>
        <v>418054.3503759731</v>
      </c>
      <c r="CQ219" s="17">
        <f t="shared" si="241"/>
        <v>128975.51936871831</v>
      </c>
      <c r="CR219" s="17">
        <f t="shared" si="242"/>
        <v>289078.83100725478</v>
      </c>
      <c r="CS219" s="17">
        <f t="shared" si="287"/>
        <v>111905.61646508923</v>
      </c>
      <c r="CT219" s="17">
        <f t="shared" si="243"/>
        <v>4076.8197743187534</v>
      </c>
      <c r="CU219" s="17">
        <f t="shared" si="244"/>
        <v>3943.2366489685928</v>
      </c>
      <c r="CV219" s="17">
        <f t="shared" si="245"/>
        <v>4075.4212602880848</v>
      </c>
      <c r="CW219" s="17">
        <f t="shared" si="246"/>
        <v>42.735279135073057</v>
      </c>
      <c r="CX219" s="17">
        <f t="shared" si="247"/>
        <v>60175.569480886712</v>
      </c>
      <c r="CY219" s="17">
        <f t="shared" si="248"/>
        <v>39591.83402149201</v>
      </c>
      <c r="CZ219" s="110">
        <f t="shared" si="288"/>
        <v>131549.93767751369</v>
      </c>
      <c r="DA219" s="17">
        <f t="shared" si="289"/>
        <v>4969.2185040782633</v>
      </c>
      <c r="DB219" s="17">
        <f t="shared" si="249"/>
        <v>4715.6060764379054</v>
      </c>
      <c r="DC219" s="17">
        <f t="shared" si="250"/>
        <v>253.61242764035794</v>
      </c>
      <c r="DD219" s="17">
        <f t="shared" si="251"/>
        <v>8756.3330157289947</v>
      </c>
      <c r="DE219" s="17">
        <f t="shared" si="252"/>
        <v>3021.1656174146442</v>
      </c>
      <c r="DF219" s="17">
        <f t="shared" si="253"/>
        <v>3666.6053711250443</v>
      </c>
      <c r="DG219" s="17">
        <f t="shared" si="290"/>
        <v>111136.61516916673</v>
      </c>
      <c r="DH219" s="110">
        <f t="shared" si="291"/>
        <v>82097.437427160286</v>
      </c>
      <c r="DI219" s="17">
        <f t="shared" si="254"/>
        <v>73644.748671033754</v>
      </c>
      <c r="DJ219" s="17">
        <f t="shared" si="255"/>
        <v>8144.6764627573184</v>
      </c>
      <c r="DK219" s="17">
        <f t="shared" si="256"/>
        <v>308.01229336921466</v>
      </c>
      <c r="DL219" s="110">
        <f t="shared" si="292"/>
        <v>621242.81035931199</v>
      </c>
      <c r="DM219" s="17">
        <f t="shared" si="257"/>
        <v>258678.29981390006</v>
      </c>
      <c r="DN219" s="17">
        <f t="shared" si="258"/>
        <v>229393.96398591137</v>
      </c>
      <c r="DO219" s="17">
        <f t="shared" si="259"/>
        <v>133170.54655950051</v>
      </c>
      <c r="DP219" s="110">
        <f t="shared" si="293"/>
        <v>90673.390592240452</v>
      </c>
      <c r="DQ219" s="17">
        <f>SUMIF('20.01'!$BB:$BB,$B:$B,'20.01'!$D:$D)*1.2</f>
        <v>56412.6</v>
      </c>
      <c r="DR219" s="17">
        <f t="shared" si="260"/>
        <v>34008.681530312962</v>
      </c>
      <c r="DS219" s="17">
        <f t="shared" si="261"/>
        <v>252.10906192748564</v>
      </c>
      <c r="DT219" s="110">
        <f t="shared" si="294"/>
        <v>9103.2240000000002</v>
      </c>
      <c r="DU219" s="17">
        <f>SUMIF('20.01'!$BD:$BD,$B:$B,'20.01'!$D:$D)*1.2</f>
        <v>9103.2240000000002</v>
      </c>
      <c r="DV219" s="17">
        <f t="shared" si="262"/>
        <v>0</v>
      </c>
      <c r="DW219" s="17">
        <f t="shared" si="263"/>
        <v>0</v>
      </c>
      <c r="DX219" s="110">
        <f t="shared" si="264"/>
        <v>2268913.7548134364</v>
      </c>
      <c r="DY219" s="110"/>
      <c r="DZ219" s="110">
        <f t="shared" si="295"/>
        <v>2268913.7548134364</v>
      </c>
      <c r="EA219" s="257"/>
      <c r="EB219" s="110">
        <f t="shared" si="265"/>
        <v>886.55421686746979</v>
      </c>
      <c r="EC219" s="110">
        <f>SUMIF(еирц!$B:$B,$B:$B,еирц!$K:$K)</f>
        <v>2029131.84</v>
      </c>
      <c r="ED219" s="110">
        <f>SUMIF(еирц!$B:$B,$B:$B,еирц!$P:$P)</f>
        <v>1927515.92</v>
      </c>
      <c r="EE219" s="110">
        <f>SUMIF(еирц!$B:$B,$B:$B,еирц!$S:$S)</f>
        <v>524440.75</v>
      </c>
      <c r="EF219" s="177">
        <f t="shared" si="296"/>
        <v>-238895.36059656879</v>
      </c>
      <c r="EG219" s="181">
        <f t="shared" si="297"/>
        <v>0</v>
      </c>
      <c r="EH219" s="177">
        <f t="shared" si="298"/>
        <v>-238895.36059656879</v>
      </c>
    </row>
    <row r="220" spans="1:138" ht="12" customHeight="1" x14ac:dyDescent="0.25">
      <c r="A220" s="5">
        <f t="shared" si="299"/>
        <v>216</v>
      </c>
      <c r="B220" s="6" t="s">
        <v>301</v>
      </c>
      <c r="C220" s="7">
        <f t="shared" si="300"/>
        <v>6918.95</v>
      </c>
      <c r="D220" s="8">
        <v>6614.75</v>
      </c>
      <c r="E220" s="8">
        <v>304.2</v>
      </c>
      <c r="F220" s="8">
        <v>962.4</v>
      </c>
      <c r="G220" s="91">
        <f t="shared" si="232"/>
        <v>6918.95</v>
      </c>
      <c r="H220" s="87">
        <f t="shared" si="233"/>
        <v>0</v>
      </c>
      <c r="I220" s="91">
        <v>4</v>
      </c>
      <c r="J220" s="112">
        <v>1.8611042540778657E-3</v>
      </c>
      <c r="K220" s="17">
        <v>2</v>
      </c>
      <c r="L220" s="112">
        <f t="shared" si="266"/>
        <v>4.8192771084337345E-3</v>
      </c>
      <c r="M220" s="116">
        <v>3.4064175626876869</v>
      </c>
      <c r="N220" s="120">
        <f t="shared" si="267"/>
        <v>6918.95</v>
      </c>
      <c r="O220" s="116">
        <v>2.6059544484439208</v>
      </c>
      <c r="P220" s="120">
        <f t="shared" si="268"/>
        <v>6918.95</v>
      </c>
      <c r="Q220" s="116">
        <v>1.6009278154076041</v>
      </c>
      <c r="R220" s="120">
        <f t="shared" si="269"/>
        <v>6918.95</v>
      </c>
      <c r="S220" s="5" t="s">
        <v>102</v>
      </c>
      <c r="T220" s="87">
        <v>36.54</v>
      </c>
      <c r="U220" s="88">
        <v>4.03</v>
      </c>
      <c r="V220" s="88">
        <v>7</v>
      </c>
      <c r="W220" s="88">
        <v>11</v>
      </c>
      <c r="X220" s="88">
        <v>5.4</v>
      </c>
      <c r="Y220" s="88">
        <v>2.67</v>
      </c>
      <c r="Z220" s="88">
        <v>1.54</v>
      </c>
      <c r="AA220" s="88">
        <v>4.9000000000000004</v>
      </c>
      <c r="AB220" s="88">
        <v>0</v>
      </c>
      <c r="AC220" s="257"/>
      <c r="AD220" s="110">
        <f t="shared" si="270"/>
        <v>237317.72236771556</v>
      </c>
      <c r="AE220" s="110">
        <f t="shared" si="271"/>
        <v>214105.30587492773</v>
      </c>
      <c r="AF220" s="16">
        <f>SUMIF('20.01'!$I:$I,$B:$B,'20.01'!$D:$D)*1.2</f>
        <v>87796.943999999989</v>
      </c>
      <c r="AG220" s="17">
        <f t="shared" si="301"/>
        <v>25732.48371659499</v>
      </c>
      <c r="AH220" s="17">
        <f t="shared" si="272"/>
        <v>5283.3032788361015</v>
      </c>
      <c r="AI220" s="16">
        <f>SUMIF('20.01'!$J:$J,$B:$B,'20.01'!$D:$D)*1.2</f>
        <v>0</v>
      </c>
      <c r="AJ220" s="17">
        <f t="shared" si="273"/>
        <v>2147.0156726556861</v>
      </c>
      <c r="AK220" s="17">
        <f t="shared" si="274"/>
        <v>5223.2121619309655</v>
      </c>
      <c r="AL220" s="17">
        <f t="shared" si="275"/>
        <v>87922.347044909999</v>
      </c>
      <c r="AM220" s="110">
        <f t="shared" si="276"/>
        <v>21268.799999999999</v>
      </c>
      <c r="AN220" s="17">
        <f>SUMIF('20.01'!$K:$K,$B:$B,'20.01'!$D:$D)*1.2</f>
        <v>21268.799999999999</v>
      </c>
      <c r="AO220" s="17">
        <f>SUMIF('20.01'!$L:$L,$B:$B,'20.01'!$D:$D)*1.2</f>
        <v>0</v>
      </c>
      <c r="AP220" s="17">
        <f>SUMIF('20.01'!$M:$M,$B:$B,'20.01'!$D:$D)*1.2</f>
        <v>0</v>
      </c>
      <c r="AQ220" s="110">
        <f t="shared" si="277"/>
        <v>1943.6164927878363</v>
      </c>
      <c r="AR220" s="17">
        <f t="shared" si="278"/>
        <v>1943.6164927878363</v>
      </c>
      <c r="AS220" s="17">
        <f>(SUMIF('20.01'!$N:$N,$B:$B,'20.01'!$D:$D)+SUMIF('20.01'!$O:$O,$B:$B,'20.01'!$D:$D))*1.2</f>
        <v>0</v>
      </c>
      <c r="AT220" s="110">
        <f>SUMIF('20.01'!$P:$P,$B:$B,'20.01'!$D:$D)*1.2</f>
        <v>0</v>
      </c>
      <c r="AU220" s="110">
        <f t="shared" si="279"/>
        <v>0</v>
      </c>
      <c r="AV220" s="17">
        <f>SUMIF('20.01'!$Q:$Q,$B:$B,'20.01'!$D:$D)*1.2</f>
        <v>0</v>
      </c>
      <c r="AW220" s="17">
        <f>SUMIF('20.01'!$R:$R,$B:$B,'20.01'!$D:$D)*1.2</f>
        <v>0</v>
      </c>
      <c r="AX220" s="110">
        <f t="shared" si="280"/>
        <v>0</v>
      </c>
      <c r="AY220" s="17">
        <f>SUMIF('20.01'!$S:$S,$B:$B,'20.01'!$D:$D)*1.2</f>
        <v>0</v>
      </c>
      <c r="AZ220" s="17">
        <f>SUMIF('20.01'!$T:$T,$B:$B,'20.01'!$D:$D)*1.2</f>
        <v>0</v>
      </c>
      <c r="BA220" s="110">
        <f t="shared" si="281"/>
        <v>0</v>
      </c>
      <c r="BB220" s="17">
        <f>SUMIF('20.01'!$U:$U,$B:$B,'20.01'!$D:$D)*1.2</f>
        <v>0</v>
      </c>
      <c r="BC220" s="17">
        <f>SUMIF('20.01'!$V:$V,$B:$B,'20.01'!$D:$D)*1.2</f>
        <v>0</v>
      </c>
      <c r="BD220" s="17">
        <f>SUMIF('20.01'!$W:$W,$B:$B,'20.01'!$D:$D)*1.2</f>
        <v>0</v>
      </c>
      <c r="BE220" s="110">
        <f>SUMIF('20.01'!$X:$X,$B:$B,'20.01'!$D:$D)*1.2</f>
        <v>0</v>
      </c>
      <c r="BF220" s="110">
        <f t="shared" si="282"/>
        <v>0</v>
      </c>
      <c r="BG220" s="17">
        <f>SUMIF('20.01'!$Y:$Y,$B:$B,'20.01'!$D:$D)*1.2</f>
        <v>0</v>
      </c>
      <c r="BH220" s="17">
        <f>SUMIF('20.01'!$Z:$Z,$B:$B,'20.01'!$D:$D)*1.2</f>
        <v>0</v>
      </c>
      <c r="BI220" s="17">
        <f>SUMIF('20.01'!$AA:$AA,$B:$B,'20.01'!$D:$D)*1.2</f>
        <v>0</v>
      </c>
      <c r="BJ220" s="17">
        <f>SUMIF('20.01'!$AB:$AB,$B:$B,'20.01'!$D:$D)*1.2</f>
        <v>0</v>
      </c>
      <c r="BK220" s="17">
        <f>SUMIF('20.01'!$AC:$AC,$B:$B,'20.01'!$D:$D)*1.2</f>
        <v>0</v>
      </c>
      <c r="BL220" s="17">
        <f>SUMIF('20.01'!$AD:$AD,$B:$B,'20.01'!$D:$D)*1.2</f>
        <v>0</v>
      </c>
      <c r="BM220" s="110">
        <f t="shared" si="283"/>
        <v>0</v>
      </c>
      <c r="BN220" s="17">
        <f>SUMIF('20.01'!$AE:$AE,$B:$B,'20.01'!$D:$D)*1.2</f>
        <v>0</v>
      </c>
      <c r="BO220" s="17">
        <f>SUMIF('20.01'!$AF:$AF,$B:$B,'20.01'!$D:$D)*1.2</f>
        <v>0</v>
      </c>
      <c r="BP220" s="110">
        <f>SUMIF('20.01'!$AG:$AG,$B:$B,'20.01'!$D:$D)*1.2</f>
        <v>0</v>
      </c>
      <c r="BQ220" s="110">
        <f>SUMIF('20.01'!$AH:$AH,$B:$B,'20.01'!$D:$D)*1.2</f>
        <v>0</v>
      </c>
      <c r="BR220" s="110">
        <f>SUMIF('20.01'!$AI:$AI,$B:$B,'20.01'!$D:$D)*1.2</f>
        <v>0</v>
      </c>
      <c r="BS220" s="110">
        <f t="shared" si="284"/>
        <v>0</v>
      </c>
      <c r="BT220" s="17">
        <f>SUMIF('20.01'!$AJ:$AJ,$B:$B,'20.01'!$D:$D)*1.2</f>
        <v>0</v>
      </c>
      <c r="BU220" s="17">
        <f>SUMIF('20.01'!$AK:$AK,$B:$B,'20.01'!$D:$D)*1.2</f>
        <v>0</v>
      </c>
      <c r="BV220" s="110">
        <f>SUMIF('20.01'!$AL:$AL,$B:$B,'20.01'!$D:$D)*1.2</f>
        <v>0</v>
      </c>
      <c r="BW220" s="110">
        <f>SUMIF('20.01'!$AM:$AM,$B:$B,'20.01'!$D:$D)*1.2</f>
        <v>0</v>
      </c>
      <c r="BX220" s="110">
        <f>SUMIF('20.01'!$AN:$AN,$B:$B,'20.01'!$D:$D)*1.2</f>
        <v>0</v>
      </c>
      <c r="BY220" s="110">
        <f t="shared" si="234"/>
        <v>1063815.1921669345</v>
      </c>
      <c r="BZ220" s="17">
        <f t="shared" si="302"/>
        <v>964415.64073799283</v>
      </c>
      <c r="CA220" s="17">
        <f t="shared" si="235"/>
        <v>42913.270857517498</v>
      </c>
      <c r="CB220" s="17">
        <f t="shared" si="236"/>
        <v>2852.6544612305174</v>
      </c>
      <c r="CC220" s="17">
        <f>SUMIF('20.01'!$AO:$AO,$B:$B,'20.01'!$D:$D)*1.2</f>
        <v>0</v>
      </c>
      <c r="CD220" s="17">
        <f t="shared" si="237"/>
        <v>44783.777740106118</v>
      </c>
      <c r="CE220" s="17">
        <f>SUMIF('20.01'!$AQ:$AQ,$B:$B,'20.01'!$D:$D)*1.2</f>
        <v>0</v>
      </c>
      <c r="CF220" s="17">
        <f t="shared" si="238"/>
        <v>4074.6158338708742</v>
      </c>
      <c r="CG220" s="17">
        <f>SUMIF('20.01'!$AR:$AR,$B:$B,'20.01'!$D:$D)*1.2</f>
        <v>0</v>
      </c>
      <c r="CH220" s="17">
        <f t="shared" si="239"/>
        <v>2399.653067090775</v>
      </c>
      <c r="CI220" s="17">
        <f>SUMIF('20.01'!$AT:$AT,$B:$B,'20.01'!$D:$D)*1.2</f>
        <v>0</v>
      </c>
      <c r="CJ220" s="17">
        <f>SUMIF('20.01'!$AU:$AU,$B:$B,'20.01'!$D:$D)*1.2</f>
        <v>0</v>
      </c>
      <c r="CK220" s="17">
        <f>SUMIF('20.01'!$AV:$AV,$B:$B,'20.01'!$D:$D)*1.2</f>
        <v>0</v>
      </c>
      <c r="CL220" s="17">
        <f t="shared" si="240"/>
        <v>2375.5794691260526</v>
      </c>
      <c r="CM220" s="17">
        <f>SUMIF('20.01'!$AW:$AW,$B:$B,'20.01'!$D:$D)*1.2</f>
        <v>0</v>
      </c>
      <c r="CN220" s="17">
        <f>SUMIF('20.01'!$AX:$AX,$B:$B,'20.01'!$D:$D)*1.2</f>
        <v>0</v>
      </c>
      <c r="CO220" s="110">
        <f t="shared" si="285"/>
        <v>796915.26396917494</v>
      </c>
      <c r="CP220" s="17">
        <f t="shared" si="286"/>
        <v>628639.73475046479</v>
      </c>
      <c r="CQ220" s="17">
        <f t="shared" si="241"/>
        <v>193944.00802751316</v>
      </c>
      <c r="CR220" s="17">
        <f t="shared" si="242"/>
        <v>434695.72672295169</v>
      </c>
      <c r="CS220" s="17">
        <f t="shared" si="287"/>
        <v>168275.52921871011</v>
      </c>
      <c r="CT220" s="17">
        <f t="shared" si="243"/>
        <v>6130.4251450757929</v>
      </c>
      <c r="CU220" s="17">
        <f t="shared" si="244"/>
        <v>5929.5525541991756</v>
      </c>
      <c r="CV220" s="17">
        <f t="shared" si="245"/>
        <v>6128.3221613644801</v>
      </c>
      <c r="CW220" s="17">
        <f t="shared" si="246"/>
        <v>64.262205418502504</v>
      </c>
      <c r="CX220" s="17">
        <f t="shared" si="247"/>
        <v>90487.645931448555</v>
      </c>
      <c r="CY220" s="17">
        <f t="shared" si="248"/>
        <v>59535.321221203623</v>
      </c>
      <c r="CZ220" s="110">
        <f t="shared" si="288"/>
        <v>197815.23109054886</v>
      </c>
      <c r="DA220" s="17">
        <f t="shared" si="289"/>
        <v>7472.3494672677352</v>
      </c>
      <c r="DB220" s="17">
        <f t="shared" si="249"/>
        <v>7090.9855391137198</v>
      </c>
      <c r="DC220" s="17">
        <f t="shared" si="250"/>
        <v>381.36392815401513</v>
      </c>
      <c r="DD220" s="17">
        <f t="shared" si="251"/>
        <v>13167.136903237879</v>
      </c>
      <c r="DE220" s="17">
        <f t="shared" si="252"/>
        <v>4543.0091820853377</v>
      </c>
      <c r="DF220" s="17">
        <f t="shared" si="253"/>
        <v>5513.5745528439593</v>
      </c>
      <c r="DG220" s="17">
        <f t="shared" si="290"/>
        <v>167119.16098511394</v>
      </c>
      <c r="DH220" s="110">
        <f t="shared" si="291"/>
        <v>123452.15697788635</v>
      </c>
      <c r="DI220" s="17">
        <f t="shared" si="254"/>
        <v>110741.61823381922</v>
      </c>
      <c r="DJ220" s="17">
        <f t="shared" si="255"/>
        <v>12247.372253324078</v>
      </c>
      <c r="DK220" s="17">
        <f t="shared" si="256"/>
        <v>463.16649074305133</v>
      </c>
      <c r="DL220" s="110">
        <f t="shared" si="292"/>
        <v>934179.76674249349</v>
      </c>
      <c r="DM220" s="17">
        <f t="shared" si="257"/>
        <v>388981.61838159256</v>
      </c>
      <c r="DN220" s="17">
        <f t="shared" si="258"/>
        <v>344945.96347046888</v>
      </c>
      <c r="DO220" s="17">
        <f t="shared" si="259"/>
        <v>200252.18489043208</v>
      </c>
      <c r="DP220" s="110">
        <f t="shared" si="293"/>
        <v>152200.01299999093</v>
      </c>
      <c r="DQ220" s="17">
        <f>SUMIF('20.01'!$BB:$BB,$B:$B,'20.01'!$D:$D)*1.2</f>
        <v>100800</v>
      </c>
      <c r="DR220" s="17">
        <f t="shared" si="260"/>
        <v>51021.784452532265</v>
      </c>
      <c r="DS220" s="17">
        <f t="shared" si="261"/>
        <v>378.22854745865556</v>
      </c>
      <c r="DT220" s="110">
        <f t="shared" si="294"/>
        <v>0</v>
      </c>
      <c r="DU220" s="17">
        <f>SUMIF('20.01'!$BD:$BD,$B:$B,'20.01'!$D:$D)*1.2</f>
        <v>0</v>
      </c>
      <c r="DV220" s="17">
        <f t="shared" si="262"/>
        <v>0</v>
      </c>
      <c r="DW220" s="17">
        <f t="shared" si="263"/>
        <v>0</v>
      </c>
      <c r="DX220" s="110">
        <f t="shared" si="264"/>
        <v>3505695.3463147446</v>
      </c>
      <c r="DY220" s="110"/>
      <c r="DZ220" s="110">
        <f t="shared" si="295"/>
        <v>3505695.3463147446</v>
      </c>
      <c r="EA220" s="257"/>
      <c r="EB220" s="110">
        <f t="shared" si="265"/>
        <v>1773.1084337349396</v>
      </c>
      <c r="EC220" s="110">
        <f>SUMIF(еирц!$B:$B,$B:$B,еирц!$K:$K)</f>
        <v>2900436.2399999998</v>
      </c>
      <c r="ED220" s="110">
        <f>SUMIF(еирц!$B:$B,$B:$B,еирц!$P:$P)</f>
        <v>2848202.16</v>
      </c>
      <c r="EE220" s="110">
        <f>SUMIF(еирц!$B:$B,$B:$B,еирц!$S:$S)</f>
        <v>301488.05</v>
      </c>
      <c r="EF220" s="177">
        <f t="shared" si="296"/>
        <v>-603485.99788100971</v>
      </c>
      <c r="EG220" s="181">
        <f t="shared" si="297"/>
        <v>0</v>
      </c>
      <c r="EH220" s="177">
        <f t="shared" si="298"/>
        <v>-603485.99788100971</v>
      </c>
    </row>
    <row r="221" spans="1:138" ht="12" customHeight="1" x14ac:dyDescent="0.25">
      <c r="A221" s="5">
        <f t="shared" si="299"/>
        <v>217</v>
      </c>
      <c r="B221" s="6" t="s">
        <v>302</v>
      </c>
      <c r="C221" s="7">
        <f t="shared" si="300"/>
        <v>17410.200000000004</v>
      </c>
      <c r="D221" s="8">
        <v>16699.800000000003</v>
      </c>
      <c r="E221" s="8">
        <v>710.4</v>
      </c>
      <c r="F221" s="8">
        <v>4474.6000000000004</v>
      </c>
      <c r="G221" s="91">
        <f t="shared" si="232"/>
        <v>17410.200000000004</v>
      </c>
      <c r="H221" s="87">
        <f t="shared" si="233"/>
        <v>0</v>
      </c>
      <c r="I221" s="91">
        <v>8</v>
      </c>
      <c r="J221" s="112">
        <v>4.6936274034150892E-3</v>
      </c>
      <c r="K221" s="17">
        <v>4</v>
      </c>
      <c r="L221" s="112">
        <f t="shared" si="266"/>
        <v>9.638554216867469E-3</v>
      </c>
      <c r="M221" s="116">
        <v>3.4064169500518253</v>
      </c>
      <c r="N221" s="120">
        <f t="shared" si="267"/>
        <v>17410.200000000004</v>
      </c>
      <c r="O221" s="116">
        <v>2.6059534845344756</v>
      </c>
      <c r="P221" s="120">
        <f t="shared" si="268"/>
        <v>17410.200000000004</v>
      </c>
      <c r="Q221" s="116">
        <v>1.6009269310347001</v>
      </c>
      <c r="R221" s="120">
        <f t="shared" si="269"/>
        <v>17410.200000000004</v>
      </c>
      <c r="S221" s="5" t="s">
        <v>102</v>
      </c>
      <c r="T221" s="87">
        <v>36.54</v>
      </c>
      <c r="U221" s="88">
        <v>4.03</v>
      </c>
      <c r="V221" s="88">
        <v>7</v>
      </c>
      <c r="W221" s="88">
        <v>11</v>
      </c>
      <c r="X221" s="88">
        <v>5.4</v>
      </c>
      <c r="Y221" s="88">
        <v>2.67</v>
      </c>
      <c r="Z221" s="88">
        <v>1.54</v>
      </c>
      <c r="AA221" s="88">
        <v>4.9000000000000004</v>
      </c>
      <c r="AB221" s="88">
        <v>0</v>
      </c>
      <c r="AC221" s="257"/>
      <c r="AD221" s="110">
        <f t="shared" si="270"/>
        <v>492672.32796979352</v>
      </c>
      <c r="AE221" s="110">
        <f t="shared" si="271"/>
        <v>487781.59283473185</v>
      </c>
      <c r="AF221" s="16">
        <f>SUMIF('20.01'!$I:$I,$B:$B,'20.01'!$D:$D)*1.2</f>
        <v>169951.02</v>
      </c>
      <c r="AG221" s="17">
        <f t="shared" si="301"/>
        <v>64750.820283809284</v>
      </c>
      <c r="AH221" s="17">
        <f t="shared" si="272"/>
        <v>13294.411253903023</v>
      </c>
      <c r="AI221" s="16">
        <f>SUMIF('20.01'!$J:$J,$B:$B,'20.01'!$D:$D)*1.2</f>
        <v>0</v>
      </c>
      <c r="AJ221" s="17">
        <f t="shared" si="273"/>
        <v>5402.549847024482</v>
      </c>
      <c r="AK221" s="17">
        <f t="shared" si="274"/>
        <v>13143.203575925612</v>
      </c>
      <c r="AL221" s="17">
        <f t="shared" si="275"/>
        <v>221239.5878740694</v>
      </c>
      <c r="AM221" s="110">
        <f t="shared" si="276"/>
        <v>0</v>
      </c>
      <c r="AN221" s="17">
        <f>SUMIF('20.01'!$K:$K,$B:$B,'20.01'!$D:$D)*1.2</f>
        <v>0</v>
      </c>
      <c r="AO221" s="17">
        <f>SUMIF('20.01'!$L:$L,$B:$B,'20.01'!$D:$D)*1.2</f>
        <v>0</v>
      </c>
      <c r="AP221" s="17">
        <f>SUMIF('20.01'!$M:$M,$B:$B,'20.01'!$D:$D)*1.2</f>
        <v>0</v>
      </c>
      <c r="AQ221" s="110">
        <f t="shared" si="277"/>
        <v>4890.7351350616491</v>
      </c>
      <c r="AR221" s="17">
        <f t="shared" si="278"/>
        <v>4890.7351350616491</v>
      </c>
      <c r="AS221" s="17">
        <f>(SUMIF('20.01'!$N:$N,$B:$B,'20.01'!$D:$D)+SUMIF('20.01'!$O:$O,$B:$B,'20.01'!$D:$D))*1.2</f>
        <v>0</v>
      </c>
      <c r="AT221" s="110">
        <f>SUMIF('20.01'!$P:$P,$B:$B,'20.01'!$D:$D)*1.2</f>
        <v>0</v>
      </c>
      <c r="AU221" s="110">
        <f t="shared" si="279"/>
        <v>0</v>
      </c>
      <c r="AV221" s="17">
        <f>SUMIF('20.01'!$Q:$Q,$B:$B,'20.01'!$D:$D)*1.2</f>
        <v>0</v>
      </c>
      <c r="AW221" s="17">
        <f>SUMIF('20.01'!$R:$R,$B:$B,'20.01'!$D:$D)*1.2</f>
        <v>0</v>
      </c>
      <c r="AX221" s="110">
        <f t="shared" si="280"/>
        <v>0</v>
      </c>
      <c r="AY221" s="17">
        <f>SUMIF('20.01'!$S:$S,$B:$B,'20.01'!$D:$D)*1.2</f>
        <v>0</v>
      </c>
      <c r="AZ221" s="17">
        <f>SUMIF('20.01'!$T:$T,$B:$B,'20.01'!$D:$D)*1.2</f>
        <v>0</v>
      </c>
      <c r="BA221" s="110">
        <f t="shared" si="281"/>
        <v>0</v>
      </c>
      <c r="BB221" s="17">
        <f>SUMIF('20.01'!$U:$U,$B:$B,'20.01'!$D:$D)*1.2</f>
        <v>0</v>
      </c>
      <c r="BC221" s="17">
        <f>SUMIF('20.01'!$V:$V,$B:$B,'20.01'!$D:$D)*1.2</f>
        <v>0</v>
      </c>
      <c r="BD221" s="17">
        <f>SUMIF('20.01'!$W:$W,$B:$B,'20.01'!$D:$D)*1.2</f>
        <v>0</v>
      </c>
      <c r="BE221" s="110">
        <f>SUMIF('20.01'!$X:$X,$B:$B,'20.01'!$D:$D)*1.2</f>
        <v>0</v>
      </c>
      <c r="BF221" s="110">
        <f t="shared" si="282"/>
        <v>0</v>
      </c>
      <c r="BG221" s="17">
        <f>SUMIF('20.01'!$Y:$Y,$B:$B,'20.01'!$D:$D)*1.2</f>
        <v>0</v>
      </c>
      <c r="BH221" s="17">
        <f>SUMIF('20.01'!$Z:$Z,$B:$B,'20.01'!$D:$D)*1.2</f>
        <v>0</v>
      </c>
      <c r="BI221" s="17">
        <f>SUMIF('20.01'!$AA:$AA,$B:$B,'20.01'!$D:$D)*1.2</f>
        <v>0</v>
      </c>
      <c r="BJ221" s="17">
        <f>SUMIF('20.01'!$AB:$AB,$B:$B,'20.01'!$D:$D)*1.2</f>
        <v>0</v>
      </c>
      <c r="BK221" s="17">
        <f>SUMIF('20.01'!$AC:$AC,$B:$B,'20.01'!$D:$D)*1.2</f>
        <v>0</v>
      </c>
      <c r="BL221" s="17">
        <f>SUMIF('20.01'!$AD:$AD,$B:$B,'20.01'!$D:$D)*1.2</f>
        <v>0</v>
      </c>
      <c r="BM221" s="110">
        <f t="shared" si="283"/>
        <v>0</v>
      </c>
      <c r="BN221" s="17">
        <f>SUMIF('20.01'!$AE:$AE,$B:$B,'20.01'!$D:$D)*1.2</f>
        <v>0</v>
      </c>
      <c r="BO221" s="17">
        <f>SUMIF('20.01'!$AF:$AF,$B:$B,'20.01'!$D:$D)*1.2</f>
        <v>0</v>
      </c>
      <c r="BP221" s="110">
        <f>SUMIF('20.01'!$AG:$AG,$B:$B,'20.01'!$D:$D)*1.2</f>
        <v>0</v>
      </c>
      <c r="BQ221" s="110">
        <f>SUMIF('20.01'!$AH:$AH,$B:$B,'20.01'!$D:$D)*1.2</f>
        <v>0</v>
      </c>
      <c r="BR221" s="110">
        <f>SUMIF('20.01'!$AI:$AI,$B:$B,'20.01'!$D:$D)*1.2</f>
        <v>0</v>
      </c>
      <c r="BS221" s="110">
        <f t="shared" si="284"/>
        <v>0</v>
      </c>
      <c r="BT221" s="17">
        <f>SUMIF('20.01'!$AJ:$AJ,$B:$B,'20.01'!$D:$D)*1.2</f>
        <v>0</v>
      </c>
      <c r="BU221" s="17">
        <f>SUMIF('20.01'!$AK:$AK,$B:$B,'20.01'!$D:$D)*1.2</f>
        <v>0</v>
      </c>
      <c r="BV221" s="110">
        <f>SUMIF('20.01'!$AL:$AL,$B:$B,'20.01'!$D:$D)*1.2</f>
        <v>0</v>
      </c>
      <c r="BW221" s="110">
        <f>SUMIF('20.01'!$AM:$AM,$B:$B,'20.01'!$D:$D)*1.2</f>
        <v>0</v>
      </c>
      <c r="BX221" s="110">
        <f>SUMIF('20.01'!$AN:$AN,$B:$B,'20.01'!$D:$D)*1.2</f>
        <v>0</v>
      </c>
      <c r="BY221" s="110">
        <f t="shared" si="234"/>
        <v>2691879.258408396</v>
      </c>
      <c r="BZ221" s="17">
        <f t="shared" si="302"/>
        <v>2426765.5046468913</v>
      </c>
      <c r="CA221" s="17">
        <f t="shared" si="235"/>
        <v>107982.94947695118</v>
      </c>
      <c r="CB221" s="17">
        <f t="shared" si="236"/>
        <v>7178.1534338180754</v>
      </c>
      <c r="CC221" s="17">
        <f>SUMIF('20.01'!$AO:$AO,$B:$B,'20.01'!$D:$D)*1.2</f>
        <v>5394</v>
      </c>
      <c r="CD221" s="17">
        <f t="shared" si="237"/>
        <v>112689.7184125909</v>
      </c>
      <c r="CE221" s="17">
        <f>SUMIF('20.01'!$AQ:$AQ,$B:$B,'20.01'!$D:$D)*1.2</f>
        <v>0</v>
      </c>
      <c r="CF221" s="17">
        <f t="shared" si="238"/>
        <v>10252.982980200568</v>
      </c>
      <c r="CG221" s="17">
        <f>SUMIF('20.01'!$AR:$AR,$B:$B,'20.01'!$D:$D)*1.2</f>
        <v>0</v>
      </c>
      <c r="CH221" s="17">
        <f t="shared" si="239"/>
        <v>6038.2630064769683</v>
      </c>
      <c r="CI221" s="17">
        <f>SUMIF('20.01'!$AT:$AT,$B:$B,'20.01'!$D:$D)*1.2</f>
        <v>0</v>
      </c>
      <c r="CJ221" s="17">
        <f>SUMIF('20.01'!$AU:$AU,$B:$B,'20.01'!$D:$D)*1.2</f>
        <v>0</v>
      </c>
      <c r="CK221" s="17">
        <f>SUMIF('20.01'!$AV:$AV,$B:$B,'20.01'!$D:$D)*1.2</f>
        <v>0</v>
      </c>
      <c r="CL221" s="17">
        <f t="shared" si="240"/>
        <v>5977.686451467117</v>
      </c>
      <c r="CM221" s="17">
        <f>SUMIF('20.01'!$AW:$AW,$B:$B,'20.01'!$D:$D)*1.2</f>
        <v>9600</v>
      </c>
      <c r="CN221" s="17">
        <f>SUMIF('20.01'!$AX:$AX,$B:$B,'20.01'!$D:$D)*1.2</f>
        <v>0</v>
      </c>
      <c r="CO221" s="110">
        <f t="shared" si="285"/>
        <v>2005283.1901887041</v>
      </c>
      <c r="CP221" s="17">
        <f t="shared" si="286"/>
        <v>1581850.3544544398</v>
      </c>
      <c r="CQ221" s="17">
        <f t="shared" si="241"/>
        <v>488022.6000420021</v>
      </c>
      <c r="CR221" s="17">
        <f t="shared" si="242"/>
        <v>1093827.7544124378</v>
      </c>
      <c r="CS221" s="17">
        <f t="shared" si="287"/>
        <v>423432.83573426428</v>
      </c>
      <c r="CT221" s="17">
        <f t="shared" si="243"/>
        <v>15426.029652013471</v>
      </c>
      <c r="CU221" s="17">
        <f t="shared" si="244"/>
        <v>14920.572612769063</v>
      </c>
      <c r="CV221" s="17">
        <f t="shared" si="245"/>
        <v>15420.737900084247</v>
      </c>
      <c r="CW221" s="17">
        <f t="shared" si="246"/>
        <v>161.70341580401833</v>
      </c>
      <c r="CX221" s="17">
        <f t="shared" si="247"/>
        <v>227694.66656005697</v>
      </c>
      <c r="CY221" s="17">
        <f t="shared" si="248"/>
        <v>149809.12559353653</v>
      </c>
      <c r="CZ221" s="110">
        <f t="shared" si="288"/>
        <v>497763.78443733149</v>
      </c>
      <c r="DA221" s="17">
        <f t="shared" si="289"/>
        <v>18802.722767909112</v>
      </c>
      <c r="DB221" s="17">
        <f t="shared" si="249"/>
        <v>17843.094173693655</v>
      </c>
      <c r="DC221" s="17">
        <f t="shared" si="250"/>
        <v>959.62859421545704</v>
      </c>
      <c r="DD221" s="17">
        <f t="shared" si="251"/>
        <v>33132.554348962221</v>
      </c>
      <c r="DE221" s="17">
        <f t="shared" si="252"/>
        <v>11431.604284167708</v>
      </c>
      <c r="DF221" s="17">
        <f t="shared" si="253"/>
        <v>13873.844395453634</v>
      </c>
      <c r="DG221" s="17">
        <f t="shared" si="290"/>
        <v>420523.05864083878</v>
      </c>
      <c r="DH221" s="110">
        <f t="shared" si="291"/>
        <v>310643.48541561904</v>
      </c>
      <c r="DI221" s="17">
        <f t="shared" si="254"/>
        <v>278659.87205781799</v>
      </c>
      <c r="DJ221" s="17">
        <f t="shared" si="255"/>
        <v>30818.14443012638</v>
      </c>
      <c r="DK221" s="17">
        <f t="shared" si="256"/>
        <v>1165.4689276746724</v>
      </c>
      <c r="DL221" s="110">
        <f t="shared" si="292"/>
        <v>2350682.7733890498</v>
      </c>
      <c r="DM221" s="17">
        <f t="shared" si="257"/>
        <v>978797.03890723374</v>
      </c>
      <c r="DN221" s="17">
        <f t="shared" si="258"/>
        <v>867989.82695547154</v>
      </c>
      <c r="DO221" s="17">
        <f t="shared" si="259"/>
        <v>503895.90752634458</v>
      </c>
      <c r="DP221" s="110">
        <f t="shared" si="293"/>
        <v>360747.92368884053</v>
      </c>
      <c r="DQ221" s="17">
        <f>SUMIF('20.01'!$BB:$BB,$B:$B,'20.01'!$D:$D)*1.2</f>
        <v>231119.23199999999</v>
      </c>
      <c r="DR221" s="17">
        <f t="shared" si="260"/>
        <v>128674.81504747774</v>
      </c>
      <c r="DS221" s="17">
        <f t="shared" si="261"/>
        <v>953.87664136280898</v>
      </c>
      <c r="DT221" s="110">
        <f t="shared" si="294"/>
        <v>0</v>
      </c>
      <c r="DU221" s="17">
        <f>SUMIF('20.01'!$BD:$BD,$B:$B,'20.01'!$D:$D)*1.2</f>
        <v>0</v>
      </c>
      <c r="DV221" s="17">
        <f t="shared" si="262"/>
        <v>0</v>
      </c>
      <c r="DW221" s="17">
        <f t="shared" si="263"/>
        <v>0</v>
      </c>
      <c r="DX221" s="110">
        <f t="shared" si="264"/>
        <v>8709672.7434977349</v>
      </c>
      <c r="DY221" s="110"/>
      <c r="DZ221" s="110">
        <f t="shared" si="295"/>
        <v>8709672.7434977349</v>
      </c>
      <c r="EA221" s="257"/>
      <c r="EB221" s="110">
        <f t="shared" si="265"/>
        <v>3546.2168674698792</v>
      </c>
      <c r="EC221" s="110">
        <f>SUMIF(еирц!$B:$B,$B:$B,еирц!$K:$K)</f>
        <v>7327802.0199999996</v>
      </c>
      <c r="ED221" s="110">
        <f>SUMIF(еирц!$B:$B,$B:$B,еирц!$P:$P)</f>
        <v>7284418.3699999992</v>
      </c>
      <c r="EE221" s="110">
        <f>SUMIF(еирц!$B:$B,$B:$B,еирц!$S:$S)</f>
        <v>808546.02</v>
      </c>
      <c r="EF221" s="177">
        <f t="shared" si="296"/>
        <v>-1378324.5066302652</v>
      </c>
      <c r="EG221" s="181">
        <f t="shared" si="297"/>
        <v>0</v>
      </c>
      <c r="EH221" s="177">
        <f t="shared" si="298"/>
        <v>-1378324.5066302652</v>
      </c>
    </row>
    <row r="222" spans="1:138" ht="12" customHeight="1" x14ac:dyDescent="0.25">
      <c r="A222" s="5">
        <f t="shared" si="299"/>
        <v>218</v>
      </c>
      <c r="B222" s="6" t="s">
        <v>303</v>
      </c>
      <c r="C222" s="7">
        <f t="shared" si="300"/>
        <v>8733.14</v>
      </c>
      <c r="D222" s="8">
        <v>8733.14</v>
      </c>
      <c r="E222" s="8">
        <v>0</v>
      </c>
      <c r="F222" s="8">
        <v>2063.9</v>
      </c>
      <c r="G222" s="87">
        <f t="shared" si="232"/>
        <v>8733.14</v>
      </c>
      <c r="H222" s="87">
        <f t="shared" si="233"/>
        <v>8733.14</v>
      </c>
      <c r="I222" s="91">
        <v>4</v>
      </c>
      <c r="J222" s="112">
        <v>2.3544488360315204E-3</v>
      </c>
      <c r="K222" s="17">
        <v>2</v>
      </c>
      <c r="L222" s="112">
        <f t="shared" si="266"/>
        <v>4.8192771084337345E-3</v>
      </c>
      <c r="M222" s="116">
        <v>3.4064173145022019</v>
      </c>
      <c r="N222" s="120">
        <f t="shared" si="267"/>
        <v>8733.14</v>
      </c>
      <c r="O222" s="116">
        <v>2.6059541254563863</v>
      </c>
      <c r="P222" s="120">
        <f t="shared" si="268"/>
        <v>8733.14</v>
      </c>
      <c r="Q222" s="116">
        <v>1.6009263780916303</v>
      </c>
      <c r="R222" s="120">
        <f t="shared" si="269"/>
        <v>8733.14</v>
      </c>
      <c r="S222" s="5" t="s">
        <v>102</v>
      </c>
      <c r="T222" s="87">
        <v>36.75</v>
      </c>
      <c r="U222" s="88">
        <v>4.0199999999999996</v>
      </c>
      <c r="V222" s="88">
        <v>7</v>
      </c>
      <c r="W222" s="88">
        <v>11</v>
      </c>
      <c r="X222" s="88">
        <v>5.4</v>
      </c>
      <c r="Y222" s="88">
        <v>2.67</v>
      </c>
      <c r="Z222" s="88">
        <v>1.54</v>
      </c>
      <c r="AA222" s="88">
        <v>4.9000000000000004</v>
      </c>
      <c r="AB222" s="88">
        <v>0.22</v>
      </c>
      <c r="AC222" s="257"/>
      <c r="AD222" s="110">
        <f t="shared" si="270"/>
        <v>463807.92483174923</v>
      </c>
      <c r="AE222" s="110">
        <f t="shared" si="271"/>
        <v>395710.39649007528</v>
      </c>
      <c r="AF222" s="16">
        <f>SUMIF('20.01'!$I:$I,$B:$B,'20.01'!$D:$D)*1.2</f>
        <v>236283.228</v>
      </c>
      <c r="AG222" s="17">
        <f t="shared" si="301"/>
        <v>32479.694584401444</v>
      </c>
      <c r="AH222" s="17">
        <f t="shared" si="272"/>
        <v>6668.6169428214844</v>
      </c>
      <c r="AI222" s="16">
        <f>SUMIF('20.01'!$J:$J,$B:$B,'20.01'!$D:$D)*1.2</f>
        <v>0</v>
      </c>
      <c r="AJ222" s="17">
        <f t="shared" si="273"/>
        <v>2709.976000910005</v>
      </c>
      <c r="AK222" s="17">
        <f t="shared" si="274"/>
        <v>6592.7695762862559</v>
      </c>
      <c r="AL222" s="17">
        <f t="shared" si="275"/>
        <v>110976.1113856561</v>
      </c>
      <c r="AM222" s="110">
        <f t="shared" si="276"/>
        <v>55125.083999999995</v>
      </c>
      <c r="AN222" s="17">
        <f>SUMIF('20.01'!$K:$K,$B:$B,'20.01'!$D:$D)*1.2</f>
        <v>55125.083999999995</v>
      </c>
      <c r="AO222" s="17">
        <f>SUMIF('20.01'!$L:$L,$B:$B,'20.01'!$D:$D)*1.2</f>
        <v>0</v>
      </c>
      <c r="AP222" s="17">
        <f>SUMIF('20.01'!$M:$M,$B:$B,'20.01'!$D:$D)*1.2</f>
        <v>0</v>
      </c>
      <c r="AQ222" s="110">
        <f t="shared" si="277"/>
        <v>2453.244341673977</v>
      </c>
      <c r="AR222" s="17">
        <f t="shared" si="278"/>
        <v>2453.244341673977</v>
      </c>
      <c r="AS222" s="17">
        <f>(SUMIF('20.01'!$N:$N,$B:$B,'20.01'!$D:$D)+SUMIF('20.01'!$O:$O,$B:$B,'20.01'!$D:$D))*1.2</f>
        <v>0</v>
      </c>
      <c r="AT222" s="110">
        <f>SUMIF('20.01'!$P:$P,$B:$B,'20.01'!$D:$D)*1.2</f>
        <v>0</v>
      </c>
      <c r="AU222" s="110">
        <f t="shared" si="279"/>
        <v>0</v>
      </c>
      <c r="AV222" s="17">
        <f>SUMIF('20.01'!$Q:$Q,$B:$B,'20.01'!$D:$D)*1.2</f>
        <v>0</v>
      </c>
      <c r="AW222" s="17">
        <f>SUMIF('20.01'!$R:$R,$B:$B,'20.01'!$D:$D)*1.2</f>
        <v>0</v>
      </c>
      <c r="AX222" s="110">
        <f t="shared" si="280"/>
        <v>0</v>
      </c>
      <c r="AY222" s="17">
        <f>SUMIF('20.01'!$S:$S,$B:$B,'20.01'!$D:$D)*1.2</f>
        <v>0</v>
      </c>
      <c r="AZ222" s="17">
        <f>SUMIF('20.01'!$T:$T,$B:$B,'20.01'!$D:$D)*1.2</f>
        <v>0</v>
      </c>
      <c r="BA222" s="110">
        <f t="shared" si="281"/>
        <v>0</v>
      </c>
      <c r="BB222" s="17">
        <f>SUMIF('20.01'!$U:$U,$B:$B,'20.01'!$D:$D)*1.2</f>
        <v>0</v>
      </c>
      <c r="BC222" s="17">
        <f>SUMIF('20.01'!$V:$V,$B:$B,'20.01'!$D:$D)*1.2</f>
        <v>0</v>
      </c>
      <c r="BD222" s="17">
        <f>SUMIF('20.01'!$W:$W,$B:$B,'20.01'!$D:$D)*1.2</f>
        <v>0</v>
      </c>
      <c r="BE222" s="110">
        <f>SUMIF('20.01'!$X:$X,$B:$B,'20.01'!$D:$D)*1.2</f>
        <v>0</v>
      </c>
      <c r="BF222" s="110">
        <f t="shared" si="282"/>
        <v>10519.199999999999</v>
      </c>
      <c r="BG222" s="17">
        <f>SUMIF('20.01'!$Y:$Y,$B:$B,'20.01'!$D:$D)*1.2</f>
        <v>0</v>
      </c>
      <c r="BH222" s="17">
        <f>SUMIF('20.01'!$Z:$Z,$B:$B,'20.01'!$D:$D)*1.2</f>
        <v>0</v>
      </c>
      <c r="BI222" s="17">
        <f>SUMIF('20.01'!$AA:$AA,$B:$B,'20.01'!$D:$D)*1.2</f>
        <v>0</v>
      </c>
      <c r="BJ222" s="17">
        <f>SUMIF('20.01'!$AB:$AB,$B:$B,'20.01'!$D:$D)*1.2</f>
        <v>0</v>
      </c>
      <c r="BK222" s="17">
        <f>SUMIF('20.01'!$AC:$AC,$B:$B,'20.01'!$D:$D)*1.2</f>
        <v>0</v>
      </c>
      <c r="BL222" s="17">
        <f>SUMIF('20.01'!$AD:$AD,$B:$B,'20.01'!$D:$D)*1.2</f>
        <v>10519.199999999999</v>
      </c>
      <c r="BM222" s="110">
        <f t="shared" si="283"/>
        <v>0</v>
      </c>
      <c r="BN222" s="17">
        <f>SUMIF('20.01'!$AE:$AE,$B:$B,'20.01'!$D:$D)*1.2</f>
        <v>0</v>
      </c>
      <c r="BO222" s="17">
        <f>SUMIF('20.01'!$AF:$AF,$B:$B,'20.01'!$D:$D)*1.2</f>
        <v>0</v>
      </c>
      <c r="BP222" s="110">
        <f>SUMIF('20.01'!$AG:$AG,$B:$B,'20.01'!$D:$D)*1.2</f>
        <v>0</v>
      </c>
      <c r="BQ222" s="110">
        <f>SUMIF('20.01'!$AH:$AH,$B:$B,'20.01'!$D:$D)*1.2</f>
        <v>0</v>
      </c>
      <c r="BR222" s="110">
        <f>SUMIF('20.01'!$AI:$AI,$B:$B,'20.01'!$D:$D)*1.2</f>
        <v>0</v>
      </c>
      <c r="BS222" s="110">
        <f t="shared" si="284"/>
        <v>0</v>
      </c>
      <c r="BT222" s="17">
        <f>SUMIF('20.01'!$AJ:$AJ,$B:$B,'20.01'!$D:$D)*1.2</f>
        <v>0</v>
      </c>
      <c r="BU222" s="17">
        <f>SUMIF('20.01'!$AK:$AK,$B:$B,'20.01'!$D:$D)*1.2</f>
        <v>0</v>
      </c>
      <c r="BV222" s="110">
        <f>SUMIF('20.01'!$AL:$AL,$B:$B,'20.01'!$D:$D)*1.2</f>
        <v>0</v>
      </c>
      <c r="BW222" s="110">
        <f>SUMIF('20.01'!$AM:$AM,$B:$B,'20.01'!$D:$D)*1.2</f>
        <v>0</v>
      </c>
      <c r="BX222" s="110">
        <f>SUMIF('20.01'!$AN:$AN,$B:$B,'20.01'!$D:$D)*1.2</f>
        <v>0</v>
      </c>
      <c r="BY222" s="110">
        <f t="shared" si="234"/>
        <v>1345625.3551245988</v>
      </c>
      <c r="BZ222" s="17">
        <f t="shared" si="302"/>
        <v>1217291.1798400905</v>
      </c>
      <c r="CA222" s="17">
        <f t="shared" si="235"/>
        <v>54165.386692579123</v>
      </c>
      <c r="CB222" s="17">
        <f t="shared" si="236"/>
        <v>3600.6374929072595</v>
      </c>
      <c r="CC222" s="17">
        <f>SUMIF('20.01'!$AO:$AO,$B:$B,'20.01'!$D:$D)*1.2</f>
        <v>0</v>
      </c>
      <c r="CD222" s="17">
        <f t="shared" si="237"/>
        <v>56526.351647754404</v>
      </c>
      <c r="CE222" s="17">
        <f>SUMIF('20.01'!$AQ:$AQ,$B:$B,'20.01'!$D:$D)*1.2</f>
        <v>0</v>
      </c>
      <c r="CF222" s="17">
        <f t="shared" si="238"/>
        <v>5143.0044332465313</v>
      </c>
      <c r="CG222" s="17">
        <f>SUMIF('20.01'!$AR:$AR,$B:$B,'20.01'!$D:$D)*1.2</f>
        <v>2871.4679999999998</v>
      </c>
      <c r="CH222" s="17">
        <f t="shared" si="239"/>
        <v>3028.8564285524722</v>
      </c>
      <c r="CI222" s="17">
        <f>SUMIF('20.01'!$AT:$AT,$B:$B,'20.01'!$D:$D)*1.2</f>
        <v>0</v>
      </c>
      <c r="CJ222" s="17">
        <f>SUMIF('20.01'!$AU:$AU,$B:$B,'20.01'!$D:$D)*1.2</f>
        <v>0</v>
      </c>
      <c r="CK222" s="17">
        <f>SUMIF('20.01'!$AV:$AV,$B:$B,'20.01'!$D:$D)*1.2</f>
        <v>0</v>
      </c>
      <c r="CL222" s="17">
        <f t="shared" si="240"/>
        <v>2998.4705894685599</v>
      </c>
      <c r="CM222" s="17">
        <f>SUMIF('20.01'!$AW:$AW,$B:$B,'20.01'!$D:$D)*1.2</f>
        <v>0</v>
      </c>
      <c r="CN222" s="17">
        <f>SUMIF('20.01'!$AX:$AX,$B:$B,'20.01'!$D:$D)*1.2</f>
        <v>0</v>
      </c>
      <c r="CO222" s="110">
        <f t="shared" si="285"/>
        <v>1005871.2042115871</v>
      </c>
      <c r="CP222" s="17">
        <f t="shared" si="286"/>
        <v>793472.82653273607</v>
      </c>
      <c r="CQ222" s="17">
        <f t="shared" si="241"/>
        <v>244797.28488649233</v>
      </c>
      <c r="CR222" s="17">
        <f t="shared" si="242"/>
        <v>548675.54164624377</v>
      </c>
      <c r="CS222" s="17">
        <f t="shared" si="287"/>
        <v>212398.37767885101</v>
      </c>
      <c r="CT222" s="17">
        <f t="shared" si="243"/>
        <v>7737.8592201804049</v>
      </c>
      <c r="CU222" s="17">
        <f t="shared" si="244"/>
        <v>7484.3166366542591</v>
      </c>
      <c r="CV222" s="17">
        <f t="shared" si="245"/>
        <v>7735.2048215839959</v>
      </c>
      <c r="CW222" s="17">
        <f t="shared" si="246"/>
        <v>81.112139360530279</v>
      </c>
      <c r="CX222" s="17">
        <f t="shared" si="247"/>
        <v>114214.04695651373</v>
      </c>
      <c r="CY222" s="17">
        <f t="shared" si="248"/>
        <v>75145.837904558095</v>
      </c>
      <c r="CZ222" s="110">
        <f t="shared" si="288"/>
        <v>249683.56575002213</v>
      </c>
      <c r="DA222" s="17">
        <f t="shared" si="289"/>
        <v>9431.6441116895694</v>
      </c>
      <c r="DB222" s="17">
        <f t="shared" si="249"/>
        <v>8950.2842846176936</v>
      </c>
      <c r="DC222" s="17">
        <f t="shared" si="250"/>
        <v>481.35982707187588</v>
      </c>
      <c r="DD222" s="17">
        <f t="shared" si="251"/>
        <v>16619.638814436126</v>
      </c>
      <c r="DE222" s="17">
        <f t="shared" si="252"/>
        <v>5734.2133139330017</v>
      </c>
      <c r="DF222" s="17">
        <f t="shared" si="253"/>
        <v>6959.2667197224564</v>
      </c>
      <c r="DG222" s="17">
        <f t="shared" si="290"/>
        <v>210938.80279024097</v>
      </c>
      <c r="DH222" s="110">
        <f t="shared" si="291"/>
        <v>155822.04961588947</v>
      </c>
      <c r="DI222" s="17">
        <f t="shared" si="254"/>
        <v>139778.73172410496</v>
      </c>
      <c r="DJ222" s="17">
        <f t="shared" si="255"/>
        <v>15458.706381805712</v>
      </c>
      <c r="DK222" s="17">
        <f t="shared" si="256"/>
        <v>584.61150997879326</v>
      </c>
      <c r="DL222" s="110">
        <f t="shared" si="292"/>
        <v>1179127.2791578984</v>
      </c>
      <c r="DM222" s="17">
        <f t="shared" si="257"/>
        <v>490974.92115899397</v>
      </c>
      <c r="DN222" s="17">
        <f t="shared" si="258"/>
        <v>435392.85461269278</v>
      </c>
      <c r="DO222" s="17">
        <f t="shared" si="259"/>
        <v>252759.50338621149</v>
      </c>
      <c r="DP222" s="110">
        <f t="shared" si="293"/>
        <v>177850.41313068278</v>
      </c>
      <c r="DQ222" s="17">
        <f>SUMIF('20.01'!$BB:$BB,$B:$B,'20.01'!$D:$D)*1.2</f>
        <v>112825.2</v>
      </c>
      <c r="DR222" s="17">
        <f t="shared" si="260"/>
        <v>64546.723136709217</v>
      </c>
      <c r="DS222" s="17">
        <f t="shared" si="261"/>
        <v>478.48999397358119</v>
      </c>
      <c r="DT222" s="110">
        <f t="shared" si="294"/>
        <v>20292.599999999999</v>
      </c>
      <c r="DU222" s="17">
        <f>SUMIF('20.01'!$BD:$BD,$B:$B,'20.01'!$D:$D)*1.2</f>
        <v>20292.599999999999</v>
      </c>
      <c r="DV222" s="17">
        <f t="shared" si="262"/>
        <v>0</v>
      </c>
      <c r="DW222" s="17">
        <f t="shared" si="263"/>
        <v>0</v>
      </c>
      <c r="DX222" s="110">
        <f t="shared" si="264"/>
        <v>4598080.3918224275</v>
      </c>
      <c r="DY222" s="110"/>
      <c r="DZ222" s="110">
        <f t="shared" si="295"/>
        <v>4598080.3918224275</v>
      </c>
      <c r="EA222" s="257"/>
      <c r="EB222" s="110">
        <f t="shared" si="265"/>
        <v>1773.1084337349396</v>
      </c>
      <c r="EC222" s="110">
        <f>SUMIF(еирц!$B:$B,$B:$B,еирц!$K:$K)</f>
        <v>3851321.7499999995</v>
      </c>
      <c r="ED222" s="110">
        <f>SUMIF(еирц!$B:$B,$B:$B,еирц!$P:$P)</f>
        <v>3853205.5000000005</v>
      </c>
      <c r="EE222" s="110">
        <f>SUMIF(еирц!$B:$B,$B:$B,еирц!$S:$S)</f>
        <v>616091.32999999996</v>
      </c>
      <c r="EF222" s="177">
        <f t="shared" si="296"/>
        <v>-744985.53338869289</v>
      </c>
      <c r="EG222" s="181">
        <f t="shared" si="297"/>
        <v>0</v>
      </c>
      <c r="EH222" s="177">
        <f t="shared" si="298"/>
        <v>-744985.53338869289</v>
      </c>
    </row>
    <row r="223" spans="1:138" ht="12" customHeight="1" x14ac:dyDescent="0.25">
      <c r="A223" s="5">
        <f t="shared" si="299"/>
        <v>219</v>
      </c>
      <c r="B223" s="6" t="s">
        <v>304</v>
      </c>
      <c r="C223" s="7">
        <f t="shared" si="300"/>
        <v>9293.3900000000012</v>
      </c>
      <c r="D223" s="8">
        <v>8850.19</v>
      </c>
      <c r="E223" s="8">
        <v>443.2</v>
      </c>
      <c r="F223" s="8">
        <v>1859</v>
      </c>
      <c r="G223" s="91">
        <f t="shared" si="232"/>
        <v>9293.3900000000012</v>
      </c>
      <c r="H223" s="87">
        <f t="shared" si="233"/>
        <v>0</v>
      </c>
      <c r="I223" s="91">
        <v>7</v>
      </c>
      <c r="J223" s="112">
        <v>2.5135720267089748E-3</v>
      </c>
      <c r="K223" s="17">
        <v>3</v>
      </c>
      <c r="L223" s="112">
        <f t="shared" si="266"/>
        <v>7.2289156626506026E-3</v>
      </c>
      <c r="M223" s="116">
        <v>3.4064173161769045</v>
      </c>
      <c r="N223" s="120">
        <f t="shared" si="267"/>
        <v>9293.3900000000012</v>
      </c>
      <c r="O223" s="116">
        <v>2.6059537968084077</v>
      </c>
      <c r="P223" s="120">
        <f t="shared" si="268"/>
        <v>9293.3900000000012</v>
      </c>
      <c r="Q223" s="116">
        <v>1.6009270387369945</v>
      </c>
      <c r="R223" s="120">
        <f t="shared" si="269"/>
        <v>9293.3900000000012</v>
      </c>
      <c r="S223" s="5" t="s">
        <v>102</v>
      </c>
      <c r="T223" s="87">
        <v>36.54</v>
      </c>
      <c r="U223" s="88">
        <v>4.03</v>
      </c>
      <c r="V223" s="88">
        <v>7</v>
      </c>
      <c r="W223" s="88">
        <v>11</v>
      </c>
      <c r="X223" s="88">
        <v>5.4</v>
      </c>
      <c r="Y223" s="88">
        <v>2.67</v>
      </c>
      <c r="Z223" s="88">
        <v>1.54</v>
      </c>
      <c r="AA223" s="88">
        <v>4.9000000000000004</v>
      </c>
      <c r="AB223" s="88">
        <v>0</v>
      </c>
      <c r="AC223" s="257"/>
      <c r="AD223" s="110">
        <f t="shared" si="270"/>
        <v>772499.67078428715</v>
      </c>
      <c r="AE223" s="110">
        <f t="shared" si="271"/>
        <v>229613.39346138283</v>
      </c>
      <c r="AF223" s="16">
        <f>SUMIF('20.01'!$I:$I,$B:$B,'20.01'!$D:$D)*1.2</f>
        <v>59958.623999999996</v>
      </c>
      <c r="AG223" s="17">
        <f t="shared" si="301"/>
        <v>34563.337912106137</v>
      </c>
      <c r="AH223" s="17">
        <f t="shared" si="272"/>
        <v>7096.423280772754</v>
      </c>
      <c r="AI223" s="16">
        <f>SUMIF('20.01'!$J:$J,$B:$B,'20.01'!$D:$D)*1.2</f>
        <v>0</v>
      </c>
      <c r="AJ223" s="17">
        <f t="shared" si="273"/>
        <v>2883.82687865957</v>
      </c>
      <c r="AK223" s="17">
        <f t="shared" si="274"/>
        <v>7015.7101400599258</v>
      </c>
      <c r="AL223" s="17">
        <f t="shared" si="275"/>
        <v>118095.47124978446</v>
      </c>
      <c r="AM223" s="110">
        <f t="shared" si="276"/>
        <v>193753.22399999999</v>
      </c>
      <c r="AN223" s="17">
        <f>SUMIF('20.01'!$K:$K,$B:$B,'20.01'!$D:$D)*1.2</f>
        <v>193753.22399999999</v>
      </c>
      <c r="AO223" s="17">
        <f>SUMIF('20.01'!$L:$L,$B:$B,'20.01'!$D:$D)*1.2</f>
        <v>0</v>
      </c>
      <c r="AP223" s="17">
        <f>SUMIF('20.01'!$M:$M,$B:$B,'20.01'!$D:$D)*1.2</f>
        <v>0</v>
      </c>
      <c r="AQ223" s="110">
        <f t="shared" si="277"/>
        <v>2610.6253229044223</v>
      </c>
      <c r="AR223" s="17">
        <f t="shared" si="278"/>
        <v>2610.6253229044223</v>
      </c>
      <c r="AS223" s="17">
        <f>(SUMIF('20.01'!$N:$N,$B:$B,'20.01'!$D:$D)+SUMIF('20.01'!$O:$O,$B:$B,'20.01'!$D:$D))*1.2</f>
        <v>0</v>
      </c>
      <c r="AT223" s="110">
        <f>SUMIF('20.01'!$P:$P,$B:$B,'20.01'!$D:$D)*1.2</f>
        <v>0</v>
      </c>
      <c r="AU223" s="110">
        <f t="shared" si="279"/>
        <v>0</v>
      </c>
      <c r="AV223" s="17">
        <f>SUMIF('20.01'!$Q:$Q,$B:$B,'20.01'!$D:$D)*1.2</f>
        <v>0</v>
      </c>
      <c r="AW223" s="17">
        <f>SUMIF('20.01'!$R:$R,$B:$B,'20.01'!$D:$D)*1.2</f>
        <v>0</v>
      </c>
      <c r="AX223" s="110">
        <f t="shared" si="280"/>
        <v>346522.42799999996</v>
      </c>
      <c r="AY223" s="17">
        <f>SUMIF('20.01'!$S:$S,$B:$B,'20.01'!$D:$D)*1.2</f>
        <v>8092.3559999999998</v>
      </c>
      <c r="AZ223" s="17">
        <f>SUMIF('20.01'!$T:$T,$B:$B,'20.01'!$D:$D)*1.2</f>
        <v>338430.07199999999</v>
      </c>
      <c r="BA223" s="110">
        <f t="shared" si="281"/>
        <v>0</v>
      </c>
      <c r="BB223" s="17">
        <f>SUMIF('20.01'!$U:$U,$B:$B,'20.01'!$D:$D)*1.2</f>
        <v>0</v>
      </c>
      <c r="BC223" s="17">
        <f>SUMIF('20.01'!$V:$V,$B:$B,'20.01'!$D:$D)*1.2</f>
        <v>0</v>
      </c>
      <c r="BD223" s="17">
        <f>SUMIF('20.01'!$W:$W,$B:$B,'20.01'!$D:$D)*1.2</f>
        <v>0</v>
      </c>
      <c r="BE223" s="110">
        <f>SUMIF('20.01'!$X:$X,$B:$B,'20.01'!$D:$D)*1.2</f>
        <v>0</v>
      </c>
      <c r="BF223" s="110">
        <f t="shared" si="282"/>
        <v>0</v>
      </c>
      <c r="BG223" s="17">
        <f>SUMIF('20.01'!$Y:$Y,$B:$B,'20.01'!$D:$D)*1.2</f>
        <v>0</v>
      </c>
      <c r="BH223" s="17">
        <f>SUMIF('20.01'!$Z:$Z,$B:$B,'20.01'!$D:$D)*1.2</f>
        <v>0</v>
      </c>
      <c r="BI223" s="17">
        <f>SUMIF('20.01'!$AA:$AA,$B:$B,'20.01'!$D:$D)*1.2</f>
        <v>0</v>
      </c>
      <c r="BJ223" s="17">
        <f>SUMIF('20.01'!$AB:$AB,$B:$B,'20.01'!$D:$D)*1.2</f>
        <v>0</v>
      </c>
      <c r="BK223" s="17">
        <f>SUMIF('20.01'!$AC:$AC,$B:$B,'20.01'!$D:$D)*1.2</f>
        <v>0</v>
      </c>
      <c r="BL223" s="17">
        <f>SUMIF('20.01'!$AD:$AD,$B:$B,'20.01'!$D:$D)*1.2</f>
        <v>0</v>
      </c>
      <c r="BM223" s="110">
        <f t="shared" si="283"/>
        <v>0</v>
      </c>
      <c r="BN223" s="17">
        <f>SUMIF('20.01'!$AE:$AE,$B:$B,'20.01'!$D:$D)*1.2</f>
        <v>0</v>
      </c>
      <c r="BO223" s="17">
        <f>SUMIF('20.01'!$AF:$AF,$B:$B,'20.01'!$D:$D)*1.2</f>
        <v>0</v>
      </c>
      <c r="BP223" s="110">
        <f>SUMIF('20.01'!$AG:$AG,$B:$B,'20.01'!$D:$D)*1.2</f>
        <v>0</v>
      </c>
      <c r="BQ223" s="110">
        <f>SUMIF('20.01'!$AH:$AH,$B:$B,'20.01'!$D:$D)*1.2</f>
        <v>0</v>
      </c>
      <c r="BR223" s="110">
        <f>SUMIF('20.01'!$AI:$AI,$B:$B,'20.01'!$D:$D)*1.2</f>
        <v>0</v>
      </c>
      <c r="BS223" s="110">
        <f t="shared" si="284"/>
        <v>0</v>
      </c>
      <c r="BT223" s="17">
        <f>SUMIF('20.01'!$AJ:$AJ,$B:$B,'20.01'!$D:$D)*1.2</f>
        <v>0</v>
      </c>
      <c r="BU223" s="17">
        <f>SUMIF('20.01'!$AK:$AK,$B:$B,'20.01'!$D:$D)*1.2</f>
        <v>0</v>
      </c>
      <c r="BV223" s="110">
        <f>SUMIF('20.01'!$AL:$AL,$B:$B,'20.01'!$D:$D)*1.2</f>
        <v>0</v>
      </c>
      <c r="BW223" s="110">
        <f>SUMIF('20.01'!$AM:$AM,$B:$B,'20.01'!$D:$D)*1.2</f>
        <v>0</v>
      </c>
      <c r="BX223" s="110">
        <f>SUMIF('20.01'!$AN:$AN,$B:$B,'20.01'!$D:$D)*1.2</f>
        <v>0</v>
      </c>
      <c r="BY223" s="110">
        <f t="shared" si="234"/>
        <v>1428894.4809157848</v>
      </c>
      <c r="BZ223" s="17">
        <f t="shared" si="302"/>
        <v>1295383.0670084415</v>
      </c>
      <c r="CA223" s="17">
        <f t="shared" si="235"/>
        <v>57640.214520200985</v>
      </c>
      <c r="CB223" s="17">
        <f t="shared" si="236"/>
        <v>3831.6262501470719</v>
      </c>
      <c r="CC223" s="17">
        <f>SUMIF('20.01'!$AO:$AO,$B:$B,'20.01'!$D:$D)*1.2</f>
        <v>0</v>
      </c>
      <c r="CD223" s="17">
        <f t="shared" si="237"/>
        <v>60152.64053246878</v>
      </c>
      <c r="CE223" s="17">
        <f>SUMIF('20.01'!$AQ:$AQ,$B:$B,'20.01'!$D:$D)*1.2</f>
        <v>0</v>
      </c>
      <c r="CF223" s="17">
        <f t="shared" si="238"/>
        <v>5472.9393975006687</v>
      </c>
      <c r="CG223" s="17">
        <f>SUMIF('20.01'!$AR:$AR,$B:$B,'20.01'!$D:$D)*1.2</f>
        <v>0</v>
      </c>
      <c r="CH223" s="17">
        <f t="shared" si="239"/>
        <v>3223.1641820176096</v>
      </c>
      <c r="CI223" s="17">
        <f>SUMIF('20.01'!$AT:$AT,$B:$B,'20.01'!$D:$D)*1.2</f>
        <v>0</v>
      </c>
      <c r="CJ223" s="17">
        <f>SUMIF('20.01'!$AU:$AU,$B:$B,'20.01'!$D:$D)*1.2</f>
        <v>0</v>
      </c>
      <c r="CK223" s="17">
        <f>SUMIF('20.01'!$AV:$AV,$B:$B,'20.01'!$D:$D)*1.2</f>
        <v>0</v>
      </c>
      <c r="CL223" s="17">
        <f t="shared" si="240"/>
        <v>3190.8290250083278</v>
      </c>
      <c r="CM223" s="17">
        <f>SUMIF('20.01'!$AW:$AW,$B:$B,'20.01'!$D:$D)*1.2</f>
        <v>0</v>
      </c>
      <c r="CN223" s="17">
        <f>SUMIF('20.01'!$AX:$AX,$B:$B,'20.01'!$D:$D)*1.2</f>
        <v>0</v>
      </c>
      <c r="CO223" s="110">
        <f t="shared" si="285"/>
        <v>1070400.0383032821</v>
      </c>
      <c r="CP223" s="17">
        <f t="shared" si="286"/>
        <v>844375.84091988299</v>
      </c>
      <c r="CQ223" s="17">
        <f t="shared" si="241"/>
        <v>260501.56523212494</v>
      </c>
      <c r="CR223" s="17">
        <f t="shared" si="242"/>
        <v>583874.275687758</v>
      </c>
      <c r="CS223" s="17">
        <f t="shared" si="287"/>
        <v>226024.19738339903</v>
      </c>
      <c r="CT223" s="17">
        <f t="shared" si="243"/>
        <v>8234.2597849378781</v>
      </c>
      <c r="CU223" s="17">
        <f t="shared" si="244"/>
        <v>7964.4518910628176</v>
      </c>
      <c r="CV223" s="17">
        <f t="shared" si="245"/>
        <v>8231.435100875573</v>
      </c>
      <c r="CW223" s="17">
        <f t="shared" si="246"/>
        <v>86.315660210618248</v>
      </c>
      <c r="CX223" s="17">
        <f t="shared" si="247"/>
        <v>121541.12745761493</v>
      </c>
      <c r="CY223" s="17">
        <f t="shared" si="248"/>
        <v>79966.60748869722</v>
      </c>
      <c r="CZ223" s="110">
        <f t="shared" si="288"/>
        <v>265701.31168235006</v>
      </c>
      <c r="DA223" s="17">
        <f t="shared" si="289"/>
        <v>10036.704675653287</v>
      </c>
      <c r="DB223" s="17">
        <f t="shared" si="249"/>
        <v>9524.4645646151603</v>
      </c>
      <c r="DC223" s="17">
        <f t="shared" si="250"/>
        <v>512.2401110381262</v>
      </c>
      <c r="DD223" s="17">
        <f t="shared" si="251"/>
        <v>17685.824933722874</v>
      </c>
      <c r="DE223" s="17">
        <f t="shared" si="252"/>
        <v>6102.0756188005489</v>
      </c>
      <c r="DF223" s="17">
        <f t="shared" si="253"/>
        <v>7405.7188755019952</v>
      </c>
      <c r="DG223" s="17">
        <f t="shared" si="290"/>
        <v>224470.98757867137</v>
      </c>
      <c r="DH223" s="110">
        <f t="shared" si="291"/>
        <v>165818.37433956299</v>
      </c>
      <c r="DI223" s="17">
        <f t="shared" si="254"/>
        <v>148745.84257408904</v>
      </c>
      <c r="DJ223" s="17">
        <f t="shared" si="255"/>
        <v>16450.416150618152</v>
      </c>
      <c r="DK223" s="17">
        <f t="shared" si="256"/>
        <v>622.11561485580421</v>
      </c>
      <c r="DL223" s="110">
        <f t="shared" si="292"/>
        <v>1254770.8687657844</v>
      </c>
      <c r="DM223" s="17">
        <f t="shared" si="257"/>
        <v>522472.03440569871</v>
      </c>
      <c r="DN223" s="17">
        <f t="shared" si="258"/>
        <v>463324.25692580832</v>
      </c>
      <c r="DO223" s="17">
        <f t="shared" si="259"/>
        <v>268974.57743427728</v>
      </c>
      <c r="DP223" s="110">
        <f t="shared" si="293"/>
        <v>238657.68046406849</v>
      </c>
      <c r="DQ223" s="17">
        <f>SUMIF('20.01'!$BB:$BB,$B:$B,'20.01'!$D:$D)*1.2</f>
        <v>169237.8</v>
      </c>
      <c r="DR223" s="17">
        <f t="shared" si="260"/>
        <v>68909.052177844482</v>
      </c>
      <c r="DS223" s="17">
        <f t="shared" si="261"/>
        <v>510.82828622402826</v>
      </c>
      <c r="DT223" s="110">
        <f t="shared" si="294"/>
        <v>0</v>
      </c>
      <c r="DU223" s="17">
        <f>SUMIF('20.01'!$BD:$BD,$B:$B,'20.01'!$D:$D)*1.2</f>
        <v>0</v>
      </c>
      <c r="DV223" s="17">
        <f t="shared" si="262"/>
        <v>0</v>
      </c>
      <c r="DW223" s="17">
        <f t="shared" si="263"/>
        <v>0</v>
      </c>
      <c r="DX223" s="110">
        <f t="shared" si="264"/>
        <v>5196742.4252551198</v>
      </c>
      <c r="DY223" s="110"/>
      <c r="DZ223" s="110">
        <f t="shared" si="295"/>
        <v>5196742.4252551198</v>
      </c>
      <c r="EA223" s="257"/>
      <c r="EB223" s="110">
        <f t="shared" si="265"/>
        <v>2659.6626506024099</v>
      </c>
      <c r="EC223" s="110">
        <f>SUMIF(еирц!$B:$B,$B:$B,еирц!$K:$K)</f>
        <v>3658245.5999999996</v>
      </c>
      <c r="ED223" s="110">
        <f>SUMIF(еирц!$B:$B,$B:$B,еирц!$P:$P)</f>
        <v>3643998.57</v>
      </c>
      <c r="EE223" s="110">
        <f>SUMIF(еирц!$B:$B,$B:$B,еирц!$S:$S)</f>
        <v>622648.13</v>
      </c>
      <c r="EF223" s="177">
        <f t="shared" si="296"/>
        <v>-1535837.1626045178</v>
      </c>
      <c r="EG223" s="181">
        <f t="shared" si="297"/>
        <v>0</v>
      </c>
      <c r="EH223" s="177">
        <f t="shared" si="298"/>
        <v>-1535837.1626045178</v>
      </c>
    </row>
    <row r="224" spans="1:138" ht="12" customHeight="1" x14ac:dyDescent="0.25">
      <c r="A224" s="5">
        <f t="shared" si="299"/>
        <v>220</v>
      </c>
      <c r="B224" s="6" t="s">
        <v>305</v>
      </c>
      <c r="C224" s="7">
        <f t="shared" si="300"/>
        <v>3385.67</v>
      </c>
      <c r="D224" s="8">
        <v>3385.67</v>
      </c>
      <c r="E224" s="8">
        <v>0</v>
      </c>
      <c r="F224" s="8">
        <v>310.8</v>
      </c>
      <c r="G224" s="87">
        <f t="shared" si="232"/>
        <v>3385.67</v>
      </c>
      <c r="H224" s="87">
        <f t="shared" si="233"/>
        <v>3385.67</v>
      </c>
      <c r="I224" s="91">
        <v>0</v>
      </c>
      <c r="J224" s="112">
        <v>0</v>
      </c>
      <c r="K224" s="17">
        <v>0</v>
      </c>
      <c r="L224" s="112">
        <f t="shared" si="266"/>
        <v>0</v>
      </c>
      <c r="M224" s="116">
        <v>3.4064187703240325</v>
      </c>
      <c r="N224" s="120">
        <f t="shared" si="267"/>
        <v>3385.67</v>
      </c>
      <c r="O224" s="116">
        <v>2.6059542378838496</v>
      </c>
      <c r="P224" s="120">
        <f t="shared" si="268"/>
        <v>3385.67</v>
      </c>
      <c r="Q224" s="116">
        <v>0</v>
      </c>
      <c r="R224" s="120">
        <f t="shared" si="269"/>
        <v>0</v>
      </c>
      <c r="S224" s="5" t="s">
        <v>102</v>
      </c>
      <c r="T224" s="87">
        <v>25.29</v>
      </c>
      <c r="U224" s="88">
        <v>4.32</v>
      </c>
      <c r="V224" s="88">
        <v>5.61</v>
      </c>
      <c r="W224" s="88">
        <v>7.16</v>
      </c>
      <c r="X224" s="88">
        <v>5.31</v>
      </c>
      <c r="Y224" s="88">
        <v>2.67</v>
      </c>
      <c r="Z224" s="88">
        <v>0</v>
      </c>
      <c r="AA224" s="88">
        <v>0</v>
      </c>
      <c r="AB224" s="88">
        <v>0.22</v>
      </c>
      <c r="AC224" s="257"/>
      <c r="AD224" s="110">
        <f t="shared" si="270"/>
        <v>133544.76294377379</v>
      </c>
      <c r="AE224" s="110">
        <f t="shared" si="271"/>
        <v>129908.23141191751</v>
      </c>
      <c r="AF224" s="16">
        <f>SUMIF('20.01'!$I:$I,$B:$B,'20.01'!$D:$D)*1.2</f>
        <v>68101.392000000007</v>
      </c>
      <c r="AG224" s="17">
        <f t="shared" si="301"/>
        <v>12591.751370477336</v>
      </c>
      <c r="AH224" s="17">
        <f t="shared" si="272"/>
        <v>2585.2942154600082</v>
      </c>
      <c r="AI224" s="16">
        <f>SUMIF('20.01'!$J:$J,$B:$B,'20.01'!$D:$D)*1.2</f>
        <v>0</v>
      </c>
      <c r="AJ224" s="17">
        <f t="shared" si="273"/>
        <v>1050.6054462657162</v>
      </c>
      <c r="AK224" s="17">
        <f t="shared" si="274"/>
        <v>2555.8896538181102</v>
      </c>
      <c r="AL224" s="17">
        <f t="shared" si="275"/>
        <v>43023.298725896333</v>
      </c>
      <c r="AM224" s="110">
        <f t="shared" si="276"/>
        <v>0</v>
      </c>
      <c r="AN224" s="17">
        <f>SUMIF('20.01'!$K:$K,$B:$B,'20.01'!$D:$D)*1.2</f>
        <v>0</v>
      </c>
      <c r="AO224" s="17">
        <f>SUMIF('20.01'!$L:$L,$B:$B,'20.01'!$D:$D)*1.2</f>
        <v>0</v>
      </c>
      <c r="AP224" s="17">
        <f>SUMIF('20.01'!$M:$M,$B:$B,'20.01'!$D:$D)*1.2</f>
        <v>0</v>
      </c>
      <c r="AQ224" s="110">
        <f t="shared" si="277"/>
        <v>951.07553185627796</v>
      </c>
      <c r="AR224" s="17">
        <f t="shared" si="278"/>
        <v>951.07553185627796</v>
      </c>
      <c r="AS224" s="17">
        <f>(SUMIF('20.01'!$N:$N,$B:$B,'20.01'!$D:$D)+SUMIF('20.01'!$O:$O,$B:$B,'20.01'!$D:$D))*1.2</f>
        <v>0</v>
      </c>
      <c r="AT224" s="110">
        <f>SUMIF('20.01'!$P:$P,$B:$B,'20.01'!$D:$D)*1.2</f>
        <v>0</v>
      </c>
      <c r="AU224" s="110">
        <f t="shared" si="279"/>
        <v>0</v>
      </c>
      <c r="AV224" s="17">
        <f>SUMIF('20.01'!$Q:$Q,$B:$B,'20.01'!$D:$D)*1.2</f>
        <v>0</v>
      </c>
      <c r="AW224" s="17">
        <f>SUMIF('20.01'!$R:$R,$B:$B,'20.01'!$D:$D)*1.2</f>
        <v>0</v>
      </c>
      <c r="AX224" s="110">
        <f t="shared" si="280"/>
        <v>0</v>
      </c>
      <c r="AY224" s="17">
        <f>SUMIF('20.01'!$S:$S,$B:$B,'20.01'!$D:$D)*1.2</f>
        <v>0</v>
      </c>
      <c r="AZ224" s="17">
        <f>SUMIF('20.01'!$T:$T,$B:$B,'20.01'!$D:$D)*1.2</f>
        <v>0</v>
      </c>
      <c r="BA224" s="110">
        <f t="shared" si="281"/>
        <v>0</v>
      </c>
      <c r="BB224" s="17">
        <f>SUMIF('20.01'!$U:$U,$B:$B,'20.01'!$D:$D)*1.2</f>
        <v>0</v>
      </c>
      <c r="BC224" s="17">
        <f>SUMIF('20.01'!$V:$V,$B:$B,'20.01'!$D:$D)*1.2</f>
        <v>0</v>
      </c>
      <c r="BD224" s="17">
        <f>SUMIF('20.01'!$W:$W,$B:$B,'20.01'!$D:$D)*1.2</f>
        <v>0</v>
      </c>
      <c r="BE224" s="110">
        <f>SUMIF('20.01'!$X:$X,$B:$B,'20.01'!$D:$D)*1.2</f>
        <v>0</v>
      </c>
      <c r="BF224" s="110">
        <f t="shared" si="282"/>
        <v>0</v>
      </c>
      <c r="BG224" s="17">
        <f>SUMIF('20.01'!$Y:$Y,$B:$B,'20.01'!$D:$D)*1.2</f>
        <v>0</v>
      </c>
      <c r="BH224" s="17">
        <f>SUMIF('20.01'!$Z:$Z,$B:$B,'20.01'!$D:$D)*1.2</f>
        <v>0</v>
      </c>
      <c r="BI224" s="17">
        <f>SUMIF('20.01'!$AA:$AA,$B:$B,'20.01'!$D:$D)*1.2</f>
        <v>0</v>
      </c>
      <c r="BJ224" s="17">
        <f>SUMIF('20.01'!$AB:$AB,$B:$B,'20.01'!$D:$D)*1.2</f>
        <v>0</v>
      </c>
      <c r="BK224" s="17">
        <f>SUMIF('20.01'!$AC:$AC,$B:$B,'20.01'!$D:$D)*1.2</f>
        <v>0</v>
      </c>
      <c r="BL224" s="17">
        <f>SUMIF('20.01'!$AD:$AD,$B:$B,'20.01'!$D:$D)*1.2</f>
        <v>0</v>
      </c>
      <c r="BM224" s="110">
        <f t="shared" si="283"/>
        <v>0</v>
      </c>
      <c r="BN224" s="17">
        <f>SUMIF('20.01'!$AE:$AE,$B:$B,'20.01'!$D:$D)*1.2</f>
        <v>0</v>
      </c>
      <c r="BO224" s="17">
        <f>SUMIF('20.01'!$AF:$AF,$B:$B,'20.01'!$D:$D)*1.2</f>
        <v>0</v>
      </c>
      <c r="BP224" s="110">
        <f>SUMIF('20.01'!$AG:$AG,$B:$B,'20.01'!$D:$D)*1.2</f>
        <v>0</v>
      </c>
      <c r="BQ224" s="110">
        <f>SUMIF('20.01'!$AH:$AH,$B:$B,'20.01'!$D:$D)*1.2</f>
        <v>0</v>
      </c>
      <c r="BR224" s="110">
        <f>SUMIF('20.01'!$AI:$AI,$B:$B,'20.01'!$D:$D)*1.2</f>
        <v>0</v>
      </c>
      <c r="BS224" s="110">
        <f t="shared" si="284"/>
        <v>2685.4560000000001</v>
      </c>
      <c r="BT224" s="17">
        <f>SUMIF('20.01'!$AJ:$AJ,$B:$B,'20.01'!$D:$D)*1.2</f>
        <v>2685.4560000000001</v>
      </c>
      <c r="BU224" s="17">
        <f>SUMIF('20.01'!$AK:$AK,$B:$B,'20.01'!$D:$D)*1.2</f>
        <v>0</v>
      </c>
      <c r="BV224" s="110">
        <f>SUMIF('20.01'!$AL:$AL,$B:$B,'20.01'!$D:$D)*1.2</f>
        <v>0</v>
      </c>
      <c r="BW224" s="110">
        <f>SUMIF('20.01'!$AM:$AM,$B:$B,'20.01'!$D:$D)*1.2</f>
        <v>0</v>
      </c>
      <c r="BX224" s="110">
        <f>SUMIF('20.01'!$AN:$AN,$B:$B,'20.01'!$D:$D)*1.2</f>
        <v>0</v>
      </c>
      <c r="BY224" s="110">
        <f t="shared" si="234"/>
        <v>593763.16527265345</v>
      </c>
      <c r="BZ224" s="17">
        <f t="shared" si="302"/>
        <v>471920.32062341832</v>
      </c>
      <c r="CA224" s="17">
        <f t="shared" si="235"/>
        <v>20998.876093073555</v>
      </c>
      <c r="CB224" s="17">
        <f t="shared" si="236"/>
        <v>1395.8977344473262</v>
      </c>
      <c r="CC224" s="17">
        <f>SUMIF('20.01'!$AO:$AO,$B:$B,'20.01'!$D:$D)*1.2</f>
        <v>0</v>
      </c>
      <c r="CD224" s="17">
        <f t="shared" si="237"/>
        <v>21914.176685963201</v>
      </c>
      <c r="CE224" s="17">
        <f>SUMIF('20.01'!$AQ:$AQ,$B:$B,'20.01'!$D:$D)*1.2</f>
        <v>0</v>
      </c>
      <c r="CF224" s="17">
        <f t="shared" si="238"/>
        <v>1993.8436598416818</v>
      </c>
      <c r="CG224" s="17">
        <f>SUMIF('20.01'!$AR:$AR,$B:$B,'20.01'!$D:$D)*1.2</f>
        <v>73203.371999999988</v>
      </c>
      <c r="CH224" s="17">
        <f t="shared" si="239"/>
        <v>1174.2292399362943</v>
      </c>
      <c r="CI224" s="17">
        <f>SUMIF('20.01'!$AT:$AT,$B:$B,'20.01'!$D:$D)*1.2</f>
        <v>0</v>
      </c>
      <c r="CJ224" s="17">
        <f>SUMIF('20.01'!$AU:$AU,$B:$B,'20.01'!$D:$D)*1.2</f>
        <v>0</v>
      </c>
      <c r="CK224" s="17">
        <f>SUMIF('20.01'!$AV:$AV,$B:$B,'20.01'!$D:$D)*1.2</f>
        <v>0</v>
      </c>
      <c r="CL224" s="17">
        <f t="shared" si="240"/>
        <v>1162.4492359730889</v>
      </c>
      <c r="CM224" s="17">
        <f>SUMIF('20.01'!$AW:$AW,$B:$B,'20.01'!$D:$D)*1.2</f>
        <v>0</v>
      </c>
      <c r="CN224" s="17">
        <f>SUMIF('20.01'!$AX:$AX,$B:$B,'20.01'!$D:$D)*1.2</f>
        <v>0</v>
      </c>
      <c r="CO224" s="110">
        <f t="shared" si="285"/>
        <v>389956.87232347642</v>
      </c>
      <c r="CP224" s="17">
        <f t="shared" si="286"/>
        <v>307614.11641254911</v>
      </c>
      <c r="CQ224" s="17">
        <f t="shared" si="241"/>
        <v>94903.187573043673</v>
      </c>
      <c r="CR224" s="17">
        <f t="shared" si="242"/>
        <v>212710.92883950542</v>
      </c>
      <c r="CS224" s="17">
        <f t="shared" si="287"/>
        <v>82342.755910927299</v>
      </c>
      <c r="CT224" s="17">
        <f t="shared" si="243"/>
        <v>2999.8188310262049</v>
      </c>
      <c r="CU224" s="17">
        <f t="shared" si="244"/>
        <v>2901.5252597829908</v>
      </c>
      <c r="CV224" s="17">
        <f t="shared" si="245"/>
        <v>2998.7897718681129</v>
      </c>
      <c r="CW224" s="17">
        <f t="shared" si="246"/>
        <v>31.445612559602456</v>
      </c>
      <c r="CX224" s="17">
        <f t="shared" si="247"/>
        <v>44278.583918185199</v>
      </c>
      <c r="CY224" s="17">
        <f t="shared" si="248"/>
        <v>29132.592517505185</v>
      </c>
      <c r="CZ224" s="110">
        <f t="shared" si="288"/>
        <v>96797.504454626571</v>
      </c>
      <c r="DA224" s="17">
        <f t="shared" si="289"/>
        <v>3656.4665766979601</v>
      </c>
      <c r="DB224" s="17">
        <f t="shared" si="249"/>
        <v>3469.8526525283673</v>
      </c>
      <c r="DC224" s="17">
        <f t="shared" si="250"/>
        <v>186.61392416959285</v>
      </c>
      <c r="DD224" s="17">
        <f t="shared" si="251"/>
        <v>6443.1135358956763</v>
      </c>
      <c r="DE224" s="17">
        <f t="shared" si="252"/>
        <v>2223.0439441693993</v>
      </c>
      <c r="DF224" s="17">
        <f t="shared" si="253"/>
        <v>2697.9735301349492</v>
      </c>
      <c r="DG224" s="17">
        <f t="shared" si="290"/>
        <v>81776.906867728583</v>
      </c>
      <c r="DH224" s="110">
        <f t="shared" si="291"/>
        <v>60409.204332351073</v>
      </c>
      <c r="DI224" s="17">
        <f t="shared" si="254"/>
        <v>54189.519306498056</v>
      </c>
      <c r="DJ224" s="17">
        <f t="shared" si="255"/>
        <v>5993.04241494905</v>
      </c>
      <c r="DK224" s="17">
        <f t="shared" si="256"/>
        <v>226.64261090397051</v>
      </c>
      <c r="DL224" s="110">
        <f t="shared" si="292"/>
        <v>359134.92597129173</v>
      </c>
      <c r="DM224" s="17">
        <f t="shared" si="257"/>
        <v>190341.51076478462</v>
      </c>
      <c r="DN224" s="17">
        <f t="shared" si="258"/>
        <v>168793.41520650714</v>
      </c>
      <c r="DO224" s="17">
        <f t="shared" si="259"/>
        <v>0</v>
      </c>
      <c r="DP224" s="110">
        <f t="shared" si="293"/>
        <v>0</v>
      </c>
      <c r="DQ224" s="17">
        <f>SUMIF('20.01'!$BB:$BB,$B:$B,'20.01'!$D:$D)*1.2</f>
        <v>0</v>
      </c>
      <c r="DR224" s="17">
        <f t="shared" si="260"/>
        <v>0</v>
      </c>
      <c r="DS224" s="17">
        <f t="shared" si="261"/>
        <v>0</v>
      </c>
      <c r="DT224" s="110">
        <f t="shared" si="294"/>
        <v>6542.94</v>
      </c>
      <c r="DU224" s="17">
        <f>SUMIF('20.01'!$BD:$BD,$B:$B,'20.01'!$D:$D)*1.2</f>
        <v>6542.94</v>
      </c>
      <c r="DV224" s="17">
        <f t="shared" si="262"/>
        <v>0</v>
      </c>
      <c r="DW224" s="17">
        <f t="shared" si="263"/>
        <v>0</v>
      </c>
      <c r="DX224" s="110">
        <f t="shared" si="264"/>
        <v>1640149.3752981727</v>
      </c>
      <c r="DY224" s="110"/>
      <c r="DZ224" s="110">
        <f t="shared" si="295"/>
        <v>1640149.3752981727</v>
      </c>
      <c r="EA224" s="257"/>
      <c r="EB224" s="110">
        <f t="shared" si="265"/>
        <v>0</v>
      </c>
      <c r="EC224" s="110">
        <f>SUMIF(еирц!$B:$B,$B:$B,еирц!$K:$K)</f>
        <v>1027484.04</v>
      </c>
      <c r="ED224" s="110">
        <f>SUMIF(еирц!$B:$B,$B:$B,еирц!$P:$P)</f>
        <v>986543.85</v>
      </c>
      <c r="EE224" s="110">
        <f>SUMIF(еирц!$B:$B,$B:$B,еирц!$S:$S)</f>
        <v>248287.84</v>
      </c>
      <c r="EF224" s="177">
        <f t="shared" si="296"/>
        <v>-612665.33529817266</v>
      </c>
      <c r="EG224" s="181">
        <f t="shared" si="297"/>
        <v>0</v>
      </c>
      <c r="EH224" s="177">
        <f t="shared" si="298"/>
        <v>-612665.33529817266</v>
      </c>
    </row>
    <row r="225" spans="1:138" ht="12" customHeight="1" x14ac:dyDescent="0.25">
      <c r="A225" s="5">
        <f t="shared" si="299"/>
        <v>221</v>
      </c>
      <c r="B225" s="6" t="s">
        <v>306</v>
      </c>
      <c r="C225" s="7">
        <f t="shared" si="300"/>
        <v>5287.1</v>
      </c>
      <c r="D225" s="8">
        <v>5287.1</v>
      </c>
      <c r="E225" s="8">
        <v>0</v>
      </c>
      <c r="F225" s="8">
        <v>1016.1</v>
      </c>
      <c r="G225" s="91">
        <f t="shared" si="232"/>
        <v>5287.1</v>
      </c>
      <c r="H225" s="87">
        <f t="shared" si="233"/>
        <v>0</v>
      </c>
      <c r="I225" s="91">
        <v>2</v>
      </c>
      <c r="J225" s="112">
        <v>1.4245262305063952E-3</v>
      </c>
      <c r="K225" s="17">
        <v>1</v>
      </c>
      <c r="L225" s="112">
        <f t="shared" si="266"/>
        <v>2.4096385542168672E-3</v>
      </c>
      <c r="M225" s="116">
        <v>3.4064183099999812</v>
      </c>
      <c r="N225" s="120">
        <f t="shared" si="267"/>
        <v>5287.1</v>
      </c>
      <c r="O225" s="116">
        <v>3.0862306823048233</v>
      </c>
      <c r="P225" s="120">
        <f t="shared" si="268"/>
        <v>5287.1</v>
      </c>
      <c r="Q225" s="116">
        <v>1.6009278002380813</v>
      </c>
      <c r="R225" s="120">
        <f t="shared" si="269"/>
        <v>5287.1</v>
      </c>
      <c r="S225" s="5" t="s">
        <v>102</v>
      </c>
      <c r="T225" s="87">
        <v>36.54</v>
      </c>
      <c r="U225" s="88">
        <v>4.03</v>
      </c>
      <c r="V225" s="88">
        <v>7</v>
      </c>
      <c r="W225" s="88">
        <v>11</v>
      </c>
      <c r="X225" s="88">
        <v>5.4</v>
      </c>
      <c r="Y225" s="88">
        <v>2.67</v>
      </c>
      <c r="Z225" s="88">
        <v>1.54</v>
      </c>
      <c r="AA225" s="88">
        <v>4.9000000000000004</v>
      </c>
      <c r="AB225" s="88">
        <v>0</v>
      </c>
      <c r="AC225" s="257"/>
      <c r="AD225" s="110">
        <f t="shared" si="270"/>
        <v>153302.96331506211</v>
      </c>
      <c r="AE225" s="110">
        <f t="shared" si="271"/>
        <v>151817.75316626517</v>
      </c>
      <c r="AF225" s="16">
        <f>SUMIF('20.01'!$I:$I,$B:$B,'20.01'!$D:$D)*1.2</f>
        <v>55299.503999999994</v>
      </c>
      <c r="AG225" s="17">
        <f t="shared" si="301"/>
        <v>19663.419255524233</v>
      </c>
      <c r="AH225" s="17">
        <f t="shared" si="272"/>
        <v>4037.2242559253</v>
      </c>
      <c r="AI225" s="16">
        <f>SUMIF('20.01'!$J:$J,$B:$B,'20.01'!$D:$D)*1.2</f>
        <v>0</v>
      </c>
      <c r="AJ225" s="17">
        <f t="shared" si="273"/>
        <v>1640.6371722440369</v>
      </c>
      <c r="AK225" s="17">
        <f t="shared" si="274"/>
        <v>3991.3057647974347</v>
      </c>
      <c r="AL225" s="17">
        <f t="shared" si="275"/>
        <v>67185.662717774176</v>
      </c>
      <c r="AM225" s="110">
        <f t="shared" si="276"/>
        <v>0</v>
      </c>
      <c r="AN225" s="17">
        <f>SUMIF('20.01'!$K:$K,$B:$B,'20.01'!$D:$D)*1.2</f>
        <v>0</v>
      </c>
      <c r="AO225" s="17">
        <f>SUMIF('20.01'!$L:$L,$B:$B,'20.01'!$D:$D)*1.2</f>
        <v>0</v>
      </c>
      <c r="AP225" s="17">
        <f>SUMIF('20.01'!$M:$M,$B:$B,'20.01'!$D:$D)*1.2</f>
        <v>0</v>
      </c>
      <c r="AQ225" s="110">
        <f t="shared" si="277"/>
        <v>1485.2101487969373</v>
      </c>
      <c r="AR225" s="17">
        <f t="shared" si="278"/>
        <v>1485.2101487969373</v>
      </c>
      <c r="AS225" s="17">
        <f>(SUMIF('20.01'!$N:$N,$B:$B,'20.01'!$D:$D)+SUMIF('20.01'!$O:$O,$B:$B,'20.01'!$D:$D))*1.2</f>
        <v>0</v>
      </c>
      <c r="AT225" s="110">
        <f>SUMIF('20.01'!$P:$P,$B:$B,'20.01'!$D:$D)*1.2</f>
        <v>0</v>
      </c>
      <c r="AU225" s="110">
        <f t="shared" si="279"/>
        <v>0</v>
      </c>
      <c r="AV225" s="17">
        <f>SUMIF('20.01'!$Q:$Q,$B:$B,'20.01'!$D:$D)*1.2</f>
        <v>0</v>
      </c>
      <c r="AW225" s="17">
        <f>SUMIF('20.01'!$R:$R,$B:$B,'20.01'!$D:$D)*1.2</f>
        <v>0</v>
      </c>
      <c r="AX225" s="110">
        <f t="shared" si="280"/>
        <v>0</v>
      </c>
      <c r="AY225" s="17">
        <f>SUMIF('20.01'!$S:$S,$B:$B,'20.01'!$D:$D)*1.2</f>
        <v>0</v>
      </c>
      <c r="AZ225" s="17">
        <f>SUMIF('20.01'!$T:$T,$B:$B,'20.01'!$D:$D)*1.2</f>
        <v>0</v>
      </c>
      <c r="BA225" s="110">
        <f t="shared" si="281"/>
        <v>0</v>
      </c>
      <c r="BB225" s="17">
        <f>SUMIF('20.01'!$U:$U,$B:$B,'20.01'!$D:$D)*1.2</f>
        <v>0</v>
      </c>
      <c r="BC225" s="17">
        <f>SUMIF('20.01'!$V:$V,$B:$B,'20.01'!$D:$D)*1.2</f>
        <v>0</v>
      </c>
      <c r="BD225" s="17">
        <f>SUMIF('20.01'!$W:$W,$B:$B,'20.01'!$D:$D)*1.2</f>
        <v>0</v>
      </c>
      <c r="BE225" s="110">
        <f>SUMIF('20.01'!$X:$X,$B:$B,'20.01'!$D:$D)*1.2</f>
        <v>0</v>
      </c>
      <c r="BF225" s="110">
        <f t="shared" si="282"/>
        <v>0</v>
      </c>
      <c r="BG225" s="17">
        <f>SUMIF('20.01'!$Y:$Y,$B:$B,'20.01'!$D:$D)*1.2</f>
        <v>0</v>
      </c>
      <c r="BH225" s="17">
        <f>SUMIF('20.01'!$Z:$Z,$B:$B,'20.01'!$D:$D)*1.2</f>
        <v>0</v>
      </c>
      <c r="BI225" s="17">
        <f>SUMIF('20.01'!$AA:$AA,$B:$B,'20.01'!$D:$D)*1.2</f>
        <v>0</v>
      </c>
      <c r="BJ225" s="17">
        <f>SUMIF('20.01'!$AB:$AB,$B:$B,'20.01'!$D:$D)*1.2</f>
        <v>0</v>
      </c>
      <c r="BK225" s="17">
        <f>SUMIF('20.01'!$AC:$AC,$B:$B,'20.01'!$D:$D)*1.2</f>
        <v>0</v>
      </c>
      <c r="BL225" s="17">
        <f>SUMIF('20.01'!$AD:$AD,$B:$B,'20.01'!$D:$D)*1.2</f>
        <v>0</v>
      </c>
      <c r="BM225" s="110">
        <f t="shared" si="283"/>
        <v>0</v>
      </c>
      <c r="BN225" s="17">
        <f>SUMIF('20.01'!$AE:$AE,$B:$B,'20.01'!$D:$D)*1.2</f>
        <v>0</v>
      </c>
      <c r="BO225" s="17">
        <f>SUMIF('20.01'!$AF:$AF,$B:$B,'20.01'!$D:$D)*1.2</f>
        <v>0</v>
      </c>
      <c r="BP225" s="110">
        <f>SUMIF('20.01'!$AG:$AG,$B:$B,'20.01'!$D:$D)*1.2</f>
        <v>0</v>
      </c>
      <c r="BQ225" s="110">
        <f>SUMIF('20.01'!$AH:$AH,$B:$B,'20.01'!$D:$D)*1.2</f>
        <v>0</v>
      </c>
      <c r="BR225" s="110">
        <f>SUMIF('20.01'!$AI:$AI,$B:$B,'20.01'!$D:$D)*1.2</f>
        <v>0</v>
      </c>
      <c r="BS225" s="110">
        <f t="shared" si="284"/>
        <v>0</v>
      </c>
      <c r="BT225" s="17">
        <f>SUMIF('20.01'!$AJ:$AJ,$B:$B,'20.01'!$D:$D)*1.2</f>
        <v>0</v>
      </c>
      <c r="BU225" s="17">
        <f>SUMIF('20.01'!$AK:$AK,$B:$B,'20.01'!$D:$D)*1.2</f>
        <v>0</v>
      </c>
      <c r="BV225" s="110">
        <f>SUMIF('20.01'!$AL:$AL,$B:$B,'20.01'!$D:$D)*1.2</f>
        <v>0</v>
      </c>
      <c r="BW225" s="110">
        <f>SUMIF('20.01'!$AM:$AM,$B:$B,'20.01'!$D:$D)*1.2</f>
        <v>0</v>
      </c>
      <c r="BX225" s="110">
        <f>SUMIF('20.01'!$AN:$AN,$B:$B,'20.01'!$D:$D)*1.2</f>
        <v>0</v>
      </c>
      <c r="BY225" s="110">
        <f t="shared" si="234"/>
        <v>812911.9739997834</v>
      </c>
      <c r="BZ225" s="17">
        <f t="shared" si="302"/>
        <v>736956.03149984358</v>
      </c>
      <c r="CA225" s="17">
        <f t="shared" si="235"/>
        <v>32792.078906594325</v>
      </c>
      <c r="CB225" s="17">
        <f t="shared" si="236"/>
        <v>2179.8494572112636</v>
      </c>
      <c r="CC225" s="17">
        <f>SUMIF('20.01'!$AO:$AO,$B:$B,'20.01'!$D:$D)*1.2</f>
        <v>0</v>
      </c>
      <c r="CD225" s="17">
        <f t="shared" si="237"/>
        <v>34221.422512045196</v>
      </c>
      <c r="CE225" s="17">
        <f>SUMIF('20.01'!$AQ:$AQ,$B:$B,'20.01'!$D:$D)*1.2</f>
        <v>0</v>
      </c>
      <c r="CF225" s="17">
        <f t="shared" si="238"/>
        <v>3113.6084774797769</v>
      </c>
      <c r="CG225" s="17">
        <f>SUMIF('20.01'!$AR:$AR,$B:$B,'20.01'!$D:$D)*1.2</f>
        <v>0</v>
      </c>
      <c r="CH225" s="17">
        <f t="shared" si="239"/>
        <v>1833.6894660339556</v>
      </c>
      <c r="CI225" s="17">
        <f>SUMIF('20.01'!$AT:$AT,$B:$B,'20.01'!$D:$D)*1.2</f>
        <v>0</v>
      </c>
      <c r="CJ225" s="17">
        <f>SUMIF('20.01'!$AU:$AU,$B:$B,'20.01'!$D:$D)*1.2</f>
        <v>0</v>
      </c>
      <c r="CK225" s="17">
        <f>SUMIF('20.01'!$AV:$AV,$B:$B,'20.01'!$D:$D)*1.2</f>
        <v>0</v>
      </c>
      <c r="CL225" s="17">
        <f t="shared" si="240"/>
        <v>1815.2936805752829</v>
      </c>
      <c r="CM225" s="17">
        <f>SUMIF('20.01'!$AW:$AW,$B:$B,'20.01'!$D:$D)*1.2</f>
        <v>0</v>
      </c>
      <c r="CN225" s="17">
        <f>SUMIF('20.01'!$AX:$AX,$B:$B,'20.01'!$D:$D)*1.2</f>
        <v>0</v>
      </c>
      <c r="CO225" s="110">
        <f t="shared" si="285"/>
        <v>608960.99728014006</v>
      </c>
      <c r="CP225" s="17">
        <f t="shared" si="286"/>
        <v>480373.63206833159</v>
      </c>
      <c r="CQ225" s="17">
        <f t="shared" si="241"/>
        <v>148201.87526174707</v>
      </c>
      <c r="CR225" s="17">
        <f t="shared" si="242"/>
        <v>332171.75680658454</v>
      </c>
      <c r="CS225" s="17">
        <f t="shared" si="287"/>
        <v>128587.3652118085</v>
      </c>
      <c r="CT225" s="17">
        <f t="shared" si="243"/>
        <v>4684.5505148223692</v>
      </c>
      <c r="CU225" s="17">
        <f t="shared" si="244"/>
        <v>4531.0541786407566</v>
      </c>
      <c r="CV225" s="17">
        <f t="shared" si="245"/>
        <v>4682.9435245738359</v>
      </c>
      <c r="CW225" s="17">
        <f t="shared" si="246"/>
        <v>49.105818985274453</v>
      </c>
      <c r="CX225" s="17">
        <f t="shared" si="247"/>
        <v>69145.930062243802</v>
      </c>
      <c r="CY225" s="17">
        <f t="shared" si="248"/>
        <v>45493.781112542471</v>
      </c>
      <c r="CZ225" s="110">
        <f t="shared" si="288"/>
        <v>151160.06161322756</v>
      </c>
      <c r="DA225" s="17">
        <f t="shared" si="289"/>
        <v>5709.9789517761001</v>
      </c>
      <c r="DB225" s="17">
        <f t="shared" si="249"/>
        <v>5418.5605682723753</v>
      </c>
      <c r="DC225" s="17">
        <f t="shared" si="250"/>
        <v>291.41838350372439</v>
      </c>
      <c r="DD225" s="17">
        <f t="shared" si="251"/>
        <v>10061.637896083797</v>
      </c>
      <c r="DE225" s="17">
        <f t="shared" si="252"/>
        <v>3471.5301955648456</v>
      </c>
      <c r="DF225" s="17">
        <f t="shared" si="253"/>
        <v>4213.1855293565204</v>
      </c>
      <c r="DG225" s="17">
        <f t="shared" si="290"/>
        <v>127703.7290404463</v>
      </c>
      <c r="DH225" s="110">
        <f t="shared" si="291"/>
        <v>94335.686651555952</v>
      </c>
      <c r="DI225" s="17">
        <f t="shared" si="254"/>
        <v>84622.957206516265</v>
      </c>
      <c r="DJ225" s="17">
        <f t="shared" si="255"/>
        <v>9358.8018182744108</v>
      </c>
      <c r="DK225" s="17">
        <f t="shared" si="256"/>
        <v>353.9276267652732</v>
      </c>
      <c r="DL225" s="110">
        <f t="shared" si="292"/>
        <v>713851.35674404912</v>
      </c>
      <c r="DM225" s="17">
        <f t="shared" si="257"/>
        <v>297239.42426890181</v>
      </c>
      <c r="DN225" s="17">
        <f t="shared" si="258"/>
        <v>263589.6781252526</v>
      </c>
      <c r="DO225" s="17">
        <f t="shared" si="259"/>
        <v>153022.25434989465</v>
      </c>
      <c r="DP225" s="110">
        <f t="shared" si="293"/>
        <v>46448.96876793493</v>
      </c>
      <c r="DQ225" s="17">
        <f>SUMIF('20.01'!$BB:$BB,$B:$B,'20.01'!$D:$D)*1.2</f>
        <v>7106.3759999999993</v>
      </c>
      <c r="DR225" s="17">
        <f t="shared" si="260"/>
        <v>39053.089111274843</v>
      </c>
      <c r="DS225" s="17">
        <f t="shared" si="261"/>
        <v>289.5036566600881</v>
      </c>
      <c r="DT225" s="110">
        <f t="shared" si="294"/>
        <v>0</v>
      </c>
      <c r="DU225" s="17">
        <f>SUMIF('20.01'!$BD:$BD,$B:$B,'20.01'!$D:$D)*1.2</f>
        <v>0</v>
      </c>
      <c r="DV225" s="17">
        <f t="shared" si="262"/>
        <v>0</v>
      </c>
      <c r="DW225" s="17">
        <f t="shared" si="263"/>
        <v>0</v>
      </c>
      <c r="DX225" s="110">
        <f t="shared" si="264"/>
        <v>2580972.0083717532</v>
      </c>
      <c r="DY225" s="110"/>
      <c r="DZ225" s="110">
        <f t="shared" si="295"/>
        <v>2580972.0083717532</v>
      </c>
      <c r="EA225" s="257"/>
      <c r="EB225" s="110">
        <f t="shared" si="265"/>
        <v>886.55421686746979</v>
      </c>
      <c r="EC225" s="110">
        <f>SUMIF(еирц!$B:$B,$B:$B,еирц!$K:$K)</f>
        <v>2318057.2200000002</v>
      </c>
      <c r="ED225" s="110">
        <f>SUMIF(еирц!$B:$B,$B:$B,еирц!$P:$P)</f>
        <v>2285203.7599999998</v>
      </c>
      <c r="EE225" s="110">
        <f>SUMIF(еирц!$B:$B,$B:$B,еирц!$S:$S)</f>
        <v>291467.63</v>
      </c>
      <c r="EF225" s="177">
        <f t="shared" si="296"/>
        <v>-262028.23415488563</v>
      </c>
      <c r="EG225" s="181">
        <f t="shared" si="297"/>
        <v>0</v>
      </c>
      <c r="EH225" s="177">
        <f t="shared" si="298"/>
        <v>-262028.23415488563</v>
      </c>
    </row>
    <row r="226" spans="1:138" s="24" customFormat="1" ht="12" customHeight="1" x14ac:dyDescent="0.25">
      <c r="A226" s="5">
        <f t="shared" si="299"/>
        <v>222</v>
      </c>
      <c r="B226" s="6" t="s">
        <v>307</v>
      </c>
      <c r="C226" s="7">
        <f t="shared" si="300"/>
        <v>5321.2</v>
      </c>
      <c r="D226" s="8">
        <v>5321.2</v>
      </c>
      <c r="E226" s="8">
        <v>0</v>
      </c>
      <c r="F226" s="8">
        <v>1014.6</v>
      </c>
      <c r="G226" s="91">
        <f t="shared" si="232"/>
        <v>5321.2</v>
      </c>
      <c r="H226" s="87">
        <f t="shared" si="233"/>
        <v>0</v>
      </c>
      <c r="I226" s="91">
        <v>2</v>
      </c>
      <c r="J226" s="112">
        <v>1.4344126029448775E-3</v>
      </c>
      <c r="K226" s="17">
        <v>1</v>
      </c>
      <c r="L226" s="112">
        <f t="shared" si="266"/>
        <v>2.4096385542168672E-3</v>
      </c>
      <c r="M226" s="116">
        <v>3.406418178065485</v>
      </c>
      <c r="N226" s="120">
        <f t="shared" si="267"/>
        <v>5321.2</v>
      </c>
      <c r="O226" s="116">
        <v>2.6059546449010229</v>
      </c>
      <c r="P226" s="120">
        <f t="shared" si="268"/>
        <v>5321.2</v>
      </c>
      <c r="Q226" s="116">
        <v>1.6009270663289241</v>
      </c>
      <c r="R226" s="120">
        <f t="shared" si="269"/>
        <v>5321.2</v>
      </c>
      <c r="S226" s="5" t="s">
        <v>102</v>
      </c>
      <c r="T226" s="87">
        <v>36.54</v>
      </c>
      <c r="U226" s="88">
        <v>4.03</v>
      </c>
      <c r="V226" s="88">
        <v>7</v>
      </c>
      <c r="W226" s="88">
        <v>11</v>
      </c>
      <c r="X226" s="88">
        <v>5.4</v>
      </c>
      <c r="Y226" s="88">
        <v>2.67</v>
      </c>
      <c r="Z226" s="88">
        <v>1.54</v>
      </c>
      <c r="AA226" s="88">
        <v>4.9000000000000004</v>
      </c>
      <c r="AB226" s="88">
        <v>0</v>
      </c>
      <c r="AC226" s="257"/>
      <c r="AD226" s="110">
        <f t="shared" si="270"/>
        <v>200184.86435492209</v>
      </c>
      <c r="AE226" s="110">
        <f t="shared" si="271"/>
        <v>153309.48310490255</v>
      </c>
      <c r="AF226" s="16">
        <f>SUMIF('20.01'!$I:$I,$B:$B,'20.01'!$D:$D)*1.2</f>
        <v>56168.723999999995</v>
      </c>
      <c r="AG226" s="17">
        <f t="shared" si="301"/>
        <v>19790.241633881626</v>
      </c>
      <c r="AH226" s="17">
        <f t="shared" si="272"/>
        <v>4063.2629817158186</v>
      </c>
      <c r="AI226" s="16">
        <f>SUMIF('20.01'!$J:$J,$B:$B,'20.01'!$D:$D)*1.2</f>
        <v>0</v>
      </c>
      <c r="AJ226" s="17">
        <f t="shared" si="273"/>
        <v>1651.2187249995213</v>
      </c>
      <c r="AK226" s="17">
        <f t="shared" si="274"/>
        <v>4017.048331909763</v>
      </c>
      <c r="AL226" s="17">
        <f t="shared" si="275"/>
        <v>67618.987432395821</v>
      </c>
      <c r="AM226" s="110">
        <f t="shared" si="276"/>
        <v>45380.592000000004</v>
      </c>
      <c r="AN226" s="17">
        <f>SUMIF('20.01'!$K:$K,$B:$B,'20.01'!$D:$D)*1.2</f>
        <v>45380.592000000004</v>
      </c>
      <c r="AO226" s="17">
        <f>SUMIF('20.01'!$L:$L,$B:$B,'20.01'!$D:$D)*1.2</f>
        <v>0</v>
      </c>
      <c r="AP226" s="17">
        <f>SUMIF('20.01'!$M:$M,$B:$B,'20.01'!$D:$D)*1.2</f>
        <v>0</v>
      </c>
      <c r="AQ226" s="110">
        <f t="shared" si="277"/>
        <v>1494.789250019531</v>
      </c>
      <c r="AR226" s="17">
        <f t="shared" si="278"/>
        <v>1494.789250019531</v>
      </c>
      <c r="AS226" s="17">
        <f>(SUMIF('20.01'!$N:$N,$B:$B,'20.01'!$D:$D)+SUMIF('20.01'!$O:$O,$B:$B,'20.01'!$D:$D))*1.2</f>
        <v>0</v>
      </c>
      <c r="AT226" s="110">
        <f>SUMIF('20.01'!$P:$P,$B:$B,'20.01'!$D:$D)*1.2</f>
        <v>0</v>
      </c>
      <c r="AU226" s="110">
        <f t="shared" si="279"/>
        <v>0</v>
      </c>
      <c r="AV226" s="17">
        <f>SUMIF('20.01'!$Q:$Q,$B:$B,'20.01'!$D:$D)*1.2</f>
        <v>0</v>
      </c>
      <c r="AW226" s="17">
        <f>SUMIF('20.01'!$R:$R,$B:$B,'20.01'!$D:$D)*1.2</f>
        <v>0</v>
      </c>
      <c r="AX226" s="110">
        <f t="shared" si="280"/>
        <v>0</v>
      </c>
      <c r="AY226" s="17">
        <f>SUMIF('20.01'!$S:$S,$B:$B,'20.01'!$D:$D)*1.2</f>
        <v>0</v>
      </c>
      <c r="AZ226" s="17">
        <f>SUMIF('20.01'!$T:$T,$B:$B,'20.01'!$D:$D)*1.2</f>
        <v>0</v>
      </c>
      <c r="BA226" s="110">
        <f t="shared" si="281"/>
        <v>0</v>
      </c>
      <c r="BB226" s="17">
        <f>SUMIF('20.01'!$U:$U,$B:$B,'20.01'!$D:$D)*1.2</f>
        <v>0</v>
      </c>
      <c r="BC226" s="17">
        <f>SUMIF('20.01'!$V:$V,$B:$B,'20.01'!$D:$D)*1.2</f>
        <v>0</v>
      </c>
      <c r="BD226" s="17">
        <f>SUMIF('20.01'!$W:$W,$B:$B,'20.01'!$D:$D)*1.2</f>
        <v>0</v>
      </c>
      <c r="BE226" s="110">
        <f>SUMIF('20.01'!$X:$X,$B:$B,'20.01'!$D:$D)*1.2</f>
        <v>0</v>
      </c>
      <c r="BF226" s="110">
        <f t="shared" si="282"/>
        <v>0</v>
      </c>
      <c r="BG226" s="17">
        <f>SUMIF('20.01'!$Y:$Y,$B:$B,'20.01'!$D:$D)*1.2</f>
        <v>0</v>
      </c>
      <c r="BH226" s="17">
        <f>SUMIF('20.01'!$Z:$Z,$B:$B,'20.01'!$D:$D)*1.2</f>
        <v>0</v>
      </c>
      <c r="BI226" s="17">
        <f>SUMIF('20.01'!$AA:$AA,$B:$B,'20.01'!$D:$D)*1.2</f>
        <v>0</v>
      </c>
      <c r="BJ226" s="17">
        <f>SUMIF('20.01'!$AB:$AB,$B:$B,'20.01'!$D:$D)*1.2</f>
        <v>0</v>
      </c>
      <c r="BK226" s="17">
        <f>SUMIF('20.01'!$AC:$AC,$B:$B,'20.01'!$D:$D)*1.2</f>
        <v>0</v>
      </c>
      <c r="BL226" s="17">
        <f>SUMIF('20.01'!$AD:$AD,$B:$B,'20.01'!$D:$D)*1.2</f>
        <v>0</v>
      </c>
      <c r="BM226" s="110">
        <f t="shared" si="283"/>
        <v>0</v>
      </c>
      <c r="BN226" s="17">
        <f>SUMIF('20.01'!$AE:$AE,$B:$B,'20.01'!$D:$D)*1.2</f>
        <v>0</v>
      </c>
      <c r="BO226" s="17">
        <f>SUMIF('20.01'!$AF:$AF,$B:$B,'20.01'!$D:$D)*1.2</f>
        <v>0</v>
      </c>
      <c r="BP226" s="110">
        <f>SUMIF('20.01'!$AG:$AG,$B:$B,'20.01'!$D:$D)*1.2</f>
        <v>0</v>
      </c>
      <c r="BQ226" s="110">
        <f>SUMIF('20.01'!$AH:$AH,$B:$B,'20.01'!$D:$D)*1.2</f>
        <v>0</v>
      </c>
      <c r="BR226" s="110">
        <f>SUMIF('20.01'!$AI:$AI,$B:$B,'20.01'!$D:$D)*1.2</f>
        <v>0</v>
      </c>
      <c r="BS226" s="110">
        <f t="shared" si="284"/>
        <v>0</v>
      </c>
      <c r="BT226" s="17">
        <f>SUMIF('20.01'!$AJ:$AJ,$B:$B,'20.01'!$D:$D)*1.2</f>
        <v>0</v>
      </c>
      <c r="BU226" s="17">
        <f>SUMIF('20.01'!$AK:$AK,$B:$B,'20.01'!$D:$D)*1.2</f>
        <v>0</v>
      </c>
      <c r="BV226" s="110">
        <f>SUMIF('20.01'!$AL:$AL,$B:$B,'20.01'!$D:$D)*1.2</f>
        <v>0</v>
      </c>
      <c r="BW226" s="110">
        <f>SUMIF('20.01'!$AM:$AM,$B:$B,'20.01'!$D:$D)*1.2</f>
        <v>0</v>
      </c>
      <c r="BX226" s="110">
        <f>SUMIF('20.01'!$AN:$AN,$B:$B,'20.01'!$D:$D)*1.2</f>
        <v>0</v>
      </c>
      <c r="BY226" s="110">
        <f t="shared" si="234"/>
        <v>818154.98024392338</v>
      </c>
      <c r="BZ226" s="17">
        <f t="shared" si="302"/>
        <v>741709.14770232583</v>
      </c>
      <c r="CA226" s="17">
        <f t="shared" si="235"/>
        <v>33003.576682447783</v>
      </c>
      <c r="CB226" s="17">
        <f t="shared" si="236"/>
        <v>2193.9087461392019</v>
      </c>
      <c r="CC226" s="17">
        <f>SUMIF('20.01'!$AO:$AO,$B:$B,'20.01'!$D:$D)*1.2</f>
        <v>0</v>
      </c>
      <c r="CD226" s="17">
        <f t="shared" si="237"/>
        <v>34442.139068883669</v>
      </c>
      <c r="CE226" s="17">
        <f>SUMIF('20.01'!$AQ:$AQ,$B:$B,'20.01'!$D:$D)*1.2</f>
        <v>0</v>
      </c>
      <c r="CF226" s="17">
        <f t="shared" si="238"/>
        <v>3133.6901950720408</v>
      </c>
      <c r="CG226" s="17">
        <f>SUMIF('20.01'!$AR:$AR,$B:$B,'20.01'!$D:$D)*1.2</f>
        <v>0</v>
      </c>
      <c r="CH226" s="17">
        <f t="shared" si="239"/>
        <v>1845.516140542052</v>
      </c>
      <c r="CI226" s="17">
        <f>SUMIF('20.01'!$AT:$AT,$B:$B,'20.01'!$D:$D)*1.2</f>
        <v>0</v>
      </c>
      <c r="CJ226" s="17">
        <f>SUMIF('20.01'!$AU:$AU,$B:$B,'20.01'!$D:$D)*1.2</f>
        <v>0</v>
      </c>
      <c r="CK226" s="17">
        <f>SUMIF('20.01'!$AV:$AV,$B:$B,'20.01'!$D:$D)*1.2</f>
        <v>0</v>
      </c>
      <c r="CL226" s="17">
        <f t="shared" si="240"/>
        <v>1827.0017085126428</v>
      </c>
      <c r="CM226" s="17">
        <f>SUMIF('20.01'!$AW:$AW,$B:$B,'20.01'!$D:$D)*1.2</f>
        <v>0</v>
      </c>
      <c r="CN226" s="17">
        <f>SUMIF('20.01'!$AX:$AX,$B:$B,'20.01'!$D:$D)*1.2</f>
        <v>0</v>
      </c>
      <c r="CO226" s="110">
        <f t="shared" si="285"/>
        <v>612888.58896693494</v>
      </c>
      <c r="CP226" s="17">
        <f t="shared" si="286"/>
        <v>483471.8789056394</v>
      </c>
      <c r="CQ226" s="17">
        <f t="shared" si="241"/>
        <v>149157.72704182036</v>
      </c>
      <c r="CR226" s="17">
        <f t="shared" si="242"/>
        <v>334314.15186381905</v>
      </c>
      <c r="CS226" s="17">
        <f t="shared" si="287"/>
        <v>129416.71006129548</v>
      </c>
      <c r="CT226" s="17">
        <f t="shared" si="243"/>
        <v>4714.7642752118909</v>
      </c>
      <c r="CU226" s="17">
        <f t="shared" si="244"/>
        <v>4560.2779397747709</v>
      </c>
      <c r="CV226" s="17">
        <f t="shared" si="245"/>
        <v>4713.1469204218374</v>
      </c>
      <c r="CW226" s="17">
        <f t="shared" si="246"/>
        <v>49.422534846029464</v>
      </c>
      <c r="CX226" s="17">
        <f t="shared" si="247"/>
        <v>69591.897835715543</v>
      </c>
      <c r="CY226" s="17">
        <f t="shared" si="248"/>
        <v>45787.200555325406</v>
      </c>
      <c r="CZ226" s="110">
        <f t="shared" si="288"/>
        <v>152134.99269094711</v>
      </c>
      <c r="DA226" s="17">
        <f t="shared" si="289"/>
        <v>5746.8063774452867</v>
      </c>
      <c r="DB226" s="17">
        <f t="shared" si="249"/>
        <v>5453.5084443061332</v>
      </c>
      <c r="DC226" s="17">
        <f t="shared" si="250"/>
        <v>293.29793313915337</v>
      </c>
      <c r="DD226" s="17">
        <f t="shared" si="251"/>
        <v>10126.532044531237</v>
      </c>
      <c r="DE226" s="17">
        <f t="shared" si="252"/>
        <v>3493.9203867223346</v>
      </c>
      <c r="DF226" s="17">
        <f t="shared" si="253"/>
        <v>4240.3591456208351</v>
      </c>
      <c r="DG226" s="17">
        <f t="shared" si="290"/>
        <v>128527.37473662742</v>
      </c>
      <c r="DH226" s="110">
        <f t="shared" si="291"/>
        <v>94944.119802965593</v>
      </c>
      <c r="DI226" s="17">
        <f t="shared" si="254"/>
        <v>85168.746550531345</v>
      </c>
      <c r="DJ226" s="17">
        <f t="shared" si="255"/>
        <v>9419.1629126367552</v>
      </c>
      <c r="DK226" s="17">
        <f t="shared" si="256"/>
        <v>356.21033979750177</v>
      </c>
      <c r="DL226" s="110">
        <f t="shared" si="292"/>
        <v>718455.45563852275</v>
      </c>
      <c r="DM226" s="17">
        <f t="shared" si="257"/>
        <v>299156.51764099038</v>
      </c>
      <c r="DN226" s="17">
        <f t="shared" si="258"/>
        <v>265289.74205899151</v>
      </c>
      <c r="DO226" s="17">
        <f t="shared" si="259"/>
        <v>154009.19593854086</v>
      </c>
      <c r="DP226" s="110">
        <f t="shared" si="293"/>
        <v>97122.010791640656</v>
      </c>
      <c r="DQ226" s="17">
        <f>SUMIF('20.01'!$BB:$BB,$B:$B,'20.01'!$D:$D)*1.2</f>
        <v>57506.376000000004</v>
      </c>
      <c r="DR226" s="17">
        <f t="shared" si="260"/>
        <v>39324.12194700582</v>
      </c>
      <c r="DS226" s="17">
        <f t="shared" si="261"/>
        <v>291.51284463483444</v>
      </c>
      <c r="DT226" s="110">
        <f t="shared" si="294"/>
        <v>0</v>
      </c>
      <c r="DU226" s="17">
        <f>SUMIF('20.01'!$BD:$BD,$B:$B,'20.01'!$D:$D)*1.2</f>
        <v>0</v>
      </c>
      <c r="DV226" s="17">
        <f t="shared" si="262"/>
        <v>0</v>
      </c>
      <c r="DW226" s="17">
        <f t="shared" si="263"/>
        <v>0</v>
      </c>
      <c r="DX226" s="110">
        <f t="shared" si="264"/>
        <v>2693885.0124898567</v>
      </c>
      <c r="DY226" s="110"/>
      <c r="DZ226" s="110">
        <f t="shared" si="295"/>
        <v>2693885.0124898567</v>
      </c>
      <c r="EA226" s="257"/>
      <c r="EB226" s="110">
        <f t="shared" si="265"/>
        <v>886.55421686746979</v>
      </c>
      <c r="EC226" s="110">
        <f>SUMIF(еирц!$B:$B,$B:$B,еирц!$K:$K)</f>
        <v>2333239.92</v>
      </c>
      <c r="ED226" s="110">
        <f>SUMIF(еирц!$B:$B,$B:$B,еирц!$P:$P)</f>
        <v>2271787.67</v>
      </c>
      <c r="EE226" s="110">
        <f>SUMIF(еирц!$B:$B,$B:$B,еирц!$S:$S)</f>
        <v>391063.48</v>
      </c>
      <c r="EF226" s="177">
        <f t="shared" si="296"/>
        <v>-359758.53827298945</v>
      </c>
      <c r="EG226" s="181">
        <f t="shared" si="297"/>
        <v>0</v>
      </c>
      <c r="EH226" s="177">
        <f t="shared" si="298"/>
        <v>-359758.53827298945</v>
      </c>
    </row>
    <row r="227" spans="1:138" s="24" customFormat="1" ht="12" customHeight="1" x14ac:dyDescent="0.25">
      <c r="A227" s="5">
        <f t="shared" si="299"/>
        <v>223</v>
      </c>
      <c r="B227" s="6" t="s">
        <v>308</v>
      </c>
      <c r="C227" s="7">
        <f t="shared" si="300"/>
        <v>3691.5</v>
      </c>
      <c r="D227" s="8">
        <v>3691.5</v>
      </c>
      <c r="E227" s="8">
        <v>0</v>
      </c>
      <c r="F227" s="8">
        <v>1017.5</v>
      </c>
      <c r="G227" s="91">
        <f t="shared" si="232"/>
        <v>3691.5</v>
      </c>
      <c r="H227" s="87">
        <f t="shared" si="233"/>
        <v>0</v>
      </c>
      <c r="I227" s="91">
        <v>2</v>
      </c>
      <c r="J227" s="112">
        <v>5.8159044723779937E-3</v>
      </c>
      <c r="K227" s="17">
        <v>1</v>
      </c>
      <c r="L227" s="112">
        <f t="shared" si="266"/>
        <v>2.4096385542168672E-3</v>
      </c>
      <c r="M227" s="116">
        <v>3.4064185268158385</v>
      </c>
      <c r="N227" s="120">
        <f t="shared" si="267"/>
        <v>3691.5</v>
      </c>
      <c r="O227" s="116">
        <v>3.0862329347620725</v>
      </c>
      <c r="P227" s="120">
        <f t="shared" si="268"/>
        <v>3691.5</v>
      </c>
      <c r="Q227" s="116">
        <v>1.6009279602688331</v>
      </c>
      <c r="R227" s="120">
        <f t="shared" si="269"/>
        <v>3691.5</v>
      </c>
      <c r="S227" s="5" t="s">
        <v>98</v>
      </c>
      <c r="T227" s="87">
        <v>41.1</v>
      </c>
      <c r="U227" s="88">
        <v>4.68</v>
      </c>
      <c r="V227" s="88">
        <v>7.92</v>
      </c>
      <c r="W227" s="88">
        <v>12.32</v>
      </c>
      <c r="X227" s="88">
        <v>6.34</v>
      </c>
      <c r="Y227" s="88">
        <v>2.89</v>
      </c>
      <c r="Z227" s="88">
        <v>1.66</v>
      </c>
      <c r="AA227" s="88">
        <v>5.29</v>
      </c>
      <c r="AB227" s="88">
        <v>0</v>
      </c>
      <c r="AC227" s="257"/>
      <c r="AD227" s="110">
        <f t="shared" si="270"/>
        <v>450779.16651617025</v>
      </c>
      <c r="AE227" s="110">
        <f t="shared" si="271"/>
        <v>104537.42364921414</v>
      </c>
      <c r="AF227" s="16">
        <f>SUMIF('20.01'!$I:$I,$B:$B,'20.01'!$D:$D)*1.2</f>
        <v>43034.039999999994</v>
      </c>
      <c r="AG227" s="17">
        <f>IF(S227=$S$248,$AG$248,0)/$G$248*G227</f>
        <v>7842.6613977908291</v>
      </c>
      <c r="AH227" s="17">
        <f t="shared" si="272"/>
        <v>2818.825696648114</v>
      </c>
      <c r="AI227" s="16">
        <f>SUMIF('20.01'!$J:$J,$B:$B,'20.01'!$D:$D)*1.2</f>
        <v>0</v>
      </c>
      <c r="AJ227" s="17">
        <f t="shared" si="273"/>
        <v>1145.5073899375579</v>
      </c>
      <c r="AK227" s="17">
        <f t="shared" si="274"/>
        <v>2786.7649998580941</v>
      </c>
      <c r="AL227" s="17">
        <f t="shared" si="275"/>
        <v>46909.624164979548</v>
      </c>
      <c r="AM227" s="110">
        <f t="shared" si="276"/>
        <v>0</v>
      </c>
      <c r="AN227" s="17">
        <f>SUMIF('20.01'!$K:$K,$B:$B,'20.01'!$D:$D)*1.2</f>
        <v>0</v>
      </c>
      <c r="AO227" s="17">
        <f>SUMIF('20.01'!$L:$L,$B:$B,'20.01'!$D:$D)*1.2</f>
        <v>0</v>
      </c>
      <c r="AP227" s="17">
        <f>SUMIF('20.01'!$M:$M,$B:$B,'20.01'!$D:$D)*1.2</f>
        <v>0</v>
      </c>
      <c r="AQ227" s="110">
        <f t="shared" si="277"/>
        <v>1036.9868669561563</v>
      </c>
      <c r="AR227" s="17">
        <f t="shared" si="278"/>
        <v>1036.9868669561563</v>
      </c>
      <c r="AS227" s="17">
        <f>(SUMIF('20.01'!$N:$N,$B:$B,'20.01'!$D:$D)+SUMIF('20.01'!$O:$O,$B:$B,'20.01'!$D:$D))*1.2</f>
        <v>0</v>
      </c>
      <c r="AT227" s="110">
        <f>SUMIF('20.01'!$P:$P,$B:$B,'20.01'!$D:$D)*1.2</f>
        <v>0</v>
      </c>
      <c r="AU227" s="110">
        <f t="shared" si="279"/>
        <v>0</v>
      </c>
      <c r="AV227" s="17">
        <f>SUMIF('20.01'!$Q:$Q,$B:$B,'20.01'!$D:$D)*1.2</f>
        <v>0</v>
      </c>
      <c r="AW227" s="17">
        <f>SUMIF('20.01'!$R:$R,$B:$B,'20.01'!$D:$D)*1.2</f>
        <v>0</v>
      </c>
      <c r="AX227" s="110">
        <f t="shared" si="280"/>
        <v>0</v>
      </c>
      <c r="AY227" s="17">
        <f>SUMIF('20.01'!$S:$S,$B:$B,'20.01'!$D:$D)*1.2</f>
        <v>0</v>
      </c>
      <c r="AZ227" s="17">
        <f>SUMIF('20.01'!$T:$T,$B:$B,'20.01'!$D:$D)*1.2</f>
        <v>0</v>
      </c>
      <c r="BA227" s="110">
        <f t="shared" si="281"/>
        <v>0</v>
      </c>
      <c r="BB227" s="17">
        <f>SUMIF('20.01'!$U:$U,$B:$B,'20.01'!$D:$D)*1.2</f>
        <v>0</v>
      </c>
      <c r="BC227" s="17">
        <f>SUMIF('20.01'!$V:$V,$B:$B,'20.01'!$D:$D)*1.2</f>
        <v>0</v>
      </c>
      <c r="BD227" s="17">
        <f>SUMIF('20.01'!$W:$W,$B:$B,'20.01'!$D:$D)*1.2</f>
        <v>0</v>
      </c>
      <c r="BE227" s="110">
        <f>SUMIF('20.01'!$X:$X,$B:$B,'20.01'!$D:$D)*1.2</f>
        <v>0</v>
      </c>
      <c r="BF227" s="110">
        <f t="shared" si="282"/>
        <v>0</v>
      </c>
      <c r="BG227" s="17">
        <f>SUMIF('20.01'!$Y:$Y,$B:$B,'20.01'!$D:$D)*1.2</f>
        <v>0</v>
      </c>
      <c r="BH227" s="17">
        <f>SUMIF('20.01'!$Z:$Z,$B:$B,'20.01'!$D:$D)*1.2</f>
        <v>0</v>
      </c>
      <c r="BI227" s="17">
        <f>SUMIF('20.01'!$AA:$AA,$B:$B,'20.01'!$D:$D)*1.2</f>
        <v>0</v>
      </c>
      <c r="BJ227" s="17">
        <f>SUMIF('20.01'!$AB:$AB,$B:$B,'20.01'!$D:$D)*1.2</f>
        <v>0</v>
      </c>
      <c r="BK227" s="17">
        <f>SUMIF('20.01'!$AC:$AC,$B:$B,'20.01'!$D:$D)*1.2</f>
        <v>0</v>
      </c>
      <c r="BL227" s="17">
        <f>SUMIF('20.01'!$AD:$AD,$B:$B,'20.01'!$D:$D)*1.2</f>
        <v>0</v>
      </c>
      <c r="BM227" s="110">
        <f t="shared" si="283"/>
        <v>0</v>
      </c>
      <c r="BN227" s="17">
        <f>SUMIF('20.01'!$AE:$AE,$B:$B,'20.01'!$D:$D)*1.2</f>
        <v>0</v>
      </c>
      <c r="BO227" s="17">
        <f>SUMIF('20.01'!$AF:$AF,$B:$B,'20.01'!$D:$D)*1.2</f>
        <v>0</v>
      </c>
      <c r="BP227" s="110">
        <f>SUMIF('20.01'!$AG:$AG,$B:$B,'20.01'!$D:$D)*1.2</f>
        <v>0</v>
      </c>
      <c r="BQ227" s="110">
        <f>SUMIF('20.01'!$AH:$AH,$B:$B,'20.01'!$D:$D)*1.2</f>
        <v>0</v>
      </c>
      <c r="BR227" s="110">
        <f>SUMIF('20.01'!$AI:$AI,$B:$B,'20.01'!$D:$D)*1.2</f>
        <v>0</v>
      </c>
      <c r="BS227" s="110">
        <f t="shared" si="284"/>
        <v>0</v>
      </c>
      <c r="BT227" s="17">
        <f>SUMIF('20.01'!$AJ:$AJ,$B:$B,'20.01'!$D:$D)*1.2</f>
        <v>0</v>
      </c>
      <c r="BU227" s="17">
        <f>SUMIF('20.01'!$AK:$AK,$B:$B,'20.01'!$D:$D)*1.2</f>
        <v>0</v>
      </c>
      <c r="BV227" s="110">
        <f>SUMIF('20.01'!$AL:$AL,$B:$B,'20.01'!$D:$D)*1.2</f>
        <v>345204.75599999999</v>
      </c>
      <c r="BW227" s="110">
        <f>SUMIF('20.01'!$AM:$AM,$B:$B,'20.01'!$D:$D)*1.2</f>
        <v>0</v>
      </c>
      <c r="BX227" s="110">
        <f>SUMIF('20.01'!$AN:$AN,$B:$B,'20.01'!$D:$D)*1.2</f>
        <v>0</v>
      </c>
      <c r="BY227" s="110">
        <f t="shared" si="234"/>
        <v>240534.91657665843</v>
      </c>
      <c r="BZ227" s="17">
        <f>IF(S227=$S$248,$BZ$248,0)/$G$248*G227</f>
        <v>187501.80546876797</v>
      </c>
      <c r="CA227" s="17">
        <f t="shared" si="235"/>
        <v>22895.719635280766</v>
      </c>
      <c r="CB227" s="17">
        <f t="shared" si="236"/>
        <v>1521.9901782253746</v>
      </c>
      <c r="CC227" s="17">
        <f>SUMIF('20.01'!$AO:$AO,$B:$B,'20.01'!$D:$D)*1.2</f>
        <v>0</v>
      </c>
      <c r="CD227" s="17">
        <f t="shared" si="237"/>
        <v>23893.69998736828</v>
      </c>
      <c r="CE227" s="17">
        <f>SUMIF('20.01'!$AQ:$AQ,$B:$B,'20.01'!$D:$D)*1.2</f>
        <v>0</v>
      </c>
      <c r="CF227" s="17">
        <f t="shared" si="238"/>
        <v>2173.9489880306019</v>
      </c>
      <c r="CG227" s="17">
        <f>SUMIF('20.01'!$AR:$AR,$B:$B,'20.01'!$D:$D)*1.2</f>
        <v>0</v>
      </c>
      <c r="CH227" s="17">
        <f t="shared" si="239"/>
        <v>1280.2982095788516</v>
      </c>
      <c r="CI227" s="17">
        <f>SUMIF('20.01'!$AT:$AT,$B:$B,'20.01'!$D:$D)*1.2</f>
        <v>0</v>
      </c>
      <c r="CJ227" s="17">
        <f>SUMIF('20.01'!$AU:$AU,$B:$B,'20.01'!$D:$D)*1.2</f>
        <v>0</v>
      </c>
      <c r="CK227" s="17">
        <f>SUMIF('20.01'!$AV:$AV,$B:$B,'20.01'!$D:$D)*1.2</f>
        <v>0</v>
      </c>
      <c r="CL227" s="17">
        <f t="shared" si="240"/>
        <v>1267.4541094066042</v>
      </c>
      <c r="CM227" s="17">
        <f>SUMIF('20.01'!$AW:$AW,$B:$B,'20.01'!$D:$D)*1.2</f>
        <v>0</v>
      </c>
      <c r="CN227" s="17">
        <f>SUMIF('20.01'!$AX:$AX,$B:$B,'20.01'!$D:$D)*1.2</f>
        <v>0</v>
      </c>
      <c r="CO227" s="110">
        <f t="shared" si="285"/>
        <v>425181.95635785913</v>
      </c>
      <c r="CP227" s="17">
        <f t="shared" si="286"/>
        <v>335401.12023230997</v>
      </c>
      <c r="CQ227" s="17">
        <f t="shared" si="241"/>
        <v>103475.86059063367</v>
      </c>
      <c r="CR227" s="17">
        <f t="shared" si="242"/>
        <v>231925.2596416763</v>
      </c>
      <c r="CS227" s="17">
        <f t="shared" si="287"/>
        <v>89780.836125549176</v>
      </c>
      <c r="CT227" s="17">
        <f t="shared" si="243"/>
        <v>3270.7946181208554</v>
      </c>
      <c r="CU227" s="17">
        <f t="shared" si="244"/>
        <v>3163.6221180708426</v>
      </c>
      <c r="CV227" s="17">
        <f t="shared" si="245"/>
        <v>3269.6726033107593</v>
      </c>
      <c r="CW227" s="17">
        <f t="shared" si="246"/>
        <v>34.286117301382731</v>
      </c>
      <c r="CX227" s="17">
        <f t="shared" si="247"/>
        <v>48278.300169237002</v>
      </c>
      <c r="CY227" s="17">
        <f t="shared" si="248"/>
        <v>31764.160499508336</v>
      </c>
      <c r="CZ227" s="110">
        <f t="shared" si="288"/>
        <v>105541.29247512427</v>
      </c>
      <c r="DA227" s="17">
        <f t="shared" si="289"/>
        <v>3986.7578257421783</v>
      </c>
      <c r="DB227" s="17">
        <f t="shared" si="249"/>
        <v>3783.2869319243955</v>
      </c>
      <c r="DC227" s="17">
        <f t="shared" si="250"/>
        <v>203.47089381778261</v>
      </c>
      <c r="DD227" s="17">
        <f t="shared" si="251"/>
        <v>7025.1246039214957</v>
      </c>
      <c r="DE227" s="17">
        <f t="shared" si="252"/>
        <v>2423.8530984713034</v>
      </c>
      <c r="DF227" s="17">
        <f t="shared" si="253"/>
        <v>2941.6834146544597</v>
      </c>
      <c r="DG227" s="17">
        <f t="shared" si="290"/>
        <v>89163.873532334837</v>
      </c>
      <c r="DH227" s="110">
        <f t="shared" si="291"/>
        <v>65866.011097618481</v>
      </c>
      <c r="DI227" s="17">
        <f t="shared" si="254"/>
        <v>59084.497461340761</v>
      </c>
      <c r="DJ227" s="17">
        <f t="shared" si="255"/>
        <v>6534.3982357360346</v>
      </c>
      <c r="DK227" s="17">
        <f t="shared" si="256"/>
        <v>247.11540054169694</v>
      </c>
      <c r="DL227" s="110">
        <f t="shared" si="292"/>
        <v>498417.33340028691</v>
      </c>
      <c r="DM227" s="17">
        <f t="shared" si="257"/>
        <v>207535.19598431105</v>
      </c>
      <c r="DN227" s="17">
        <f t="shared" si="258"/>
        <v>184040.64549552114</v>
      </c>
      <c r="DO227" s="17">
        <f t="shared" si="259"/>
        <v>106841.4919204547</v>
      </c>
      <c r="DP227" s="110">
        <f t="shared" si="293"/>
        <v>166636.36131371045</v>
      </c>
      <c r="DQ227" s="17">
        <f>SUMIF('20.01'!$BB:$BB,$B:$B,'20.01'!$D:$D)*1.2</f>
        <v>6012.5999999999995</v>
      </c>
      <c r="DR227" s="17">
        <f t="shared" si="260"/>
        <v>159441.80651675269</v>
      </c>
      <c r="DS227" s="17">
        <f t="shared" si="261"/>
        <v>1181.95479695776</v>
      </c>
      <c r="DT227" s="110">
        <f t="shared" si="294"/>
        <v>0</v>
      </c>
      <c r="DU227" s="17">
        <f>SUMIF('20.01'!$BD:$BD,$B:$B,'20.01'!$D:$D)*1.2</f>
        <v>0</v>
      </c>
      <c r="DV227" s="17">
        <f t="shared" si="262"/>
        <v>0</v>
      </c>
      <c r="DW227" s="17">
        <f t="shared" si="263"/>
        <v>0</v>
      </c>
      <c r="DX227" s="110">
        <f t="shared" si="264"/>
        <v>1952957.037737428</v>
      </c>
      <c r="DY227" s="110"/>
      <c r="DZ227" s="110">
        <f t="shared" si="295"/>
        <v>1952957.037737428</v>
      </c>
      <c r="EA227" s="257"/>
      <c r="EB227" s="110">
        <f t="shared" si="265"/>
        <v>886.55421686746979</v>
      </c>
      <c r="EC227" s="110">
        <f>SUMIF(еирц!$B:$B,$B:$B,еирц!$K:$K)</f>
        <v>1785652.38</v>
      </c>
      <c r="ED227" s="110">
        <f>SUMIF(еирц!$B:$B,$B:$B,еирц!$P:$P)</f>
        <v>1773614.76</v>
      </c>
      <c r="EE227" s="110">
        <f>SUMIF(еирц!$B:$B,$B:$B,еирц!$S:$S)</f>
        <v>300068.94</v>
      </c>
      <c r="EF227" s="177">
        <f t="shared" si="296"/>
        <v>-166418.10352056054</v>
      </c>
      <c r="EG227" s="181">
        <f t="shared" si="297"/>
        <v>0</v>
      </c>
      <c r="EH227" s="177">
        <f t="shared" si="298"/>
        <v>-166418.10352056054</v>
      </c>
    </row>
    <row r="228" spans="1:138" s="24" customFormat="1" ht="12" customHeight="1" x14ac:dyDescent="0.25">
      <c r="A228" s="5">
        <f t="shared" si="299"/>
        <v>224</v>
      </c>
      <c r="B228" s="6" t="s">
        <v>309</v>
      </c>
      <c r="C228" s="7">
        <f t="shared" si="300"/>
        <v>2068.33</v>
      </c>
      <c r="D228" s="8">
        <v>2068.33</v>
      </c>
      <c r="E228" s="8">
        <v>0</v>
      </c>
      <c r="F228" s="8">
        <v>257.7</v>
      </c>
      <c r="G228" s="87">
        <f t="shared" si="232"/>
        <v>2068.33</v>
      </c>
      <c r="H228" s="87">
        <f t="shared" si="233"/>
        <v>2068.33</v>
      </c>
      <c r="I228" s="91">
        <v>0</v>
      </c>
      <c r="J228" s="112">
        <v>0</v>
      </c>
      <c r="K228" s="17">
        <v>0</v>
      </c>
      <c r="L228" s="112">
        <f t="shared" si="266"/>
        <v>0</v>
      </c>
      <c r="M228" s="116">
        <v>3.4064160171120976</v>
      </c>
      <c r="N228" s="120">
        <f t="shared" si="267"/>
        <v>2068.33</v>
      </c>
      <c r="O228" s="116">
        <v>2.6059543934182421</v>
      </c>
      <c r="P228" s="120">
        <f t="shared" si="268"/>
        <v>2068.33</v>
      </c>
      <c r="Q228" s="116">
        <v>0</v>
      </c>
      <c r="R228" s="120">
        <f t="shared" si="269"/>
        <v>0</v>
      </c>
      <c r="S228" s="5" t="s">
        <v>310</v>
      </c>
      <c r="T228" s="87">
        <v>19.64</v>
      </c>
      <c r="U228" s="88">
        <v>3.02</v>
      </c>
      <c r="V228" s="88">
        <v>4</v>
      </c>
      <c r="W228" s="88">
        <v>6.16</v>
      </c>
      <c r="X228" s="88">
        <v>4.1900000000000004</v>
      </c>
      <c r="Y228" s="88">
        <v>2.0499999999999998</v>
      </c>
      <c r="Z228" s="88">
        <v>0</v>
      </c>
      <c r="AA228" s="88">
        <v>0</v>
      </c>
      <c r="AB228" s="88">
        <v>0.22</v>
      </c>
      <c r="AC228" s="257"/>
      <c r="AD228" s="110">
        <f t="shared" si="270"/>
        <v>80557.319589762061</v>
      </c>
      <c r="AE228" s="110">
        <f t="shared" si="271"/>
        <v>79976.300750121954</v>
      </c>
      <c r="AF228" s="16">
        <f>SUMIF('20.01'!$I:$I,$B:$B,'20.01'!$D:$D)*1.2</f>
        <v>44282.267999999996</v>
      </c>
      <c r="AG228" s="17">
        <f>IF(S228=$S$247,$AG$247,0)/$G$247*G228</f>
        <v>5628.1837309464581</v>
      </c>
      <c r="AH228" s="17">
        <f t="shared" si="272"/>
        <v>1579.3747130294444</v>
      </c>
      <c r="AI228" s="16">
        <f>SUMIF('20.01'!$J:$J,$B:$B,'20.01'!$D:$D)*1.2</f>
        <v>0</v>
      </c>
      <c r="AJ228" s="17">
        <f t="shared" si="273"/>
        <v>641.82237568184996</v>
      </c>
      <c r="AK228" s="17">
        <f t="shared" si="274"/>
        <v>1561.4112561713373</v>
      </c>
      <c r="AL228" s="17">
        <f t="shared" si="275"/>
        <v>26283.240674292876</v>
      </c>
      <c r="AM228" s="110">
        <f t="shared" si="276"/>
        <v>0</v>
      </c>
      <c r="AN228" s="17">
        <f>SUMIF('20.01'!$K:$K,$B:$B,'20.01'!$D:$D)*1.2</f>
        <v>0</v>
      </c>
      <c r="AO228" s="17">
        <f>SUMIF('20.01'!$L:$L,$B:$B,'20.01'!$D:$D)*1.2</f>
        <v>0</v>
      </c>
      <c r="AP228" s="17">
        <f>SUMIF('20.01'!$M:$M,$B:$B,'20.01'!$D:$D)*1.2</f>
        <v>0</v>
      </c>
      <c r="AQ228" s="110">
        <f t="shared" si="277"/>
        <v>581.01883964009937</v>
      </c>
      <c r="AR228" s="17">
        <f t="shared" si="278"/>
        <v>581.01883964009937</v>
      </c>
      <c r="AS228" s="17">
        <f>(SUMIF('20.01'!$N:$N,$B:$B,'20.01'!$D:$D)+SUMIF('20.01'!$O:$O,$B:$B,'20.01'!$D:$D))*1.2</f>
        <v>0</v>
      </c>
      <c r="AT228" s="110">
        <f>SUMIF('20.01'!$P:$P,$B:$B,'20.01'!$D:$D)*1.2</f>
        <v>0</v>
      </c>
      <c r="AU228" s="110">
        <f t="shared" si="279"/>
        <v>0</v>
      </c>
      <c r="AV228" s="17">
        <f>SUMIF('20.01'!$Q:$Q,$B:$B,'20.01'!$D:$D)*1.2</f>
        <v>0</v>
      </c>
      <c r="AW228" s="17">
        <f>SUMIF('20.01'!$R:$R,$B:$B,'20.01'!$D:$D)*1.2</f>
        <v>0</v>
      </c>
      <c r="AX228" s="110">
        <f t="shared" si="280"/>
        <v>0</v>
      </c>
      <c r="AY228" s="17">
        <f>SUMIF('20.01'!$S:$S,$B:$B,'20.01'!$D:$D)*1.2</f>
        <v>0</v>
      </c>
      <c r="AZ228" s="17">
        <f>SUMIF('20.01'!$T:$T,$B:$B,'20.01'!$D:$D)*1.2</f>
        <v>0</v>
      </c>
      <c r="BA228" s="110">
        <f t="shared" si="281"/>
        <v>0</v>
      </c>
      <c r="BB228" s="17">
        <f>SUMIF('20.01'!$U:$U,$B:$B,'20.01'!$D:$D)*1.2</f>
        <v>0</v>
      </c>
      <c r="BC228" s="17">
        <f>SUMIF('20.01'!$V:$V,$B:$B,'20.01'!$D:$D)*1.2</f>
        <v>0</v>
      </c>
      <c r="BD228" s="17">
        <f>SUMIF('20.01'!$W:$W,$B:$B,'20.01'!$D:$D)*1.2</f>
        <v>0</v>
      </c>
      <c r="BE228" s="110">
        <f>SUMIF('20.01'!$X:$X,$B:$B,'20.01'!$D:$D)*1.2</f>
        <v>0</v>
      </c>
      <c r="BF228" s="110">
        <f t="shared" si="282"/>
        <v>0</v>
      </c>
      <c r="BG228" s="17">
        <f>SUMIF('20.01'!$Y:$Y,$B:$B,'20.01'!$D:$D)*1.2</f>
        <v>0</v>
      </c>
      <c r="BH228" s="17">
        <f>SUMIF('20.01'!$Z:$Z,$B:$B,'20.01'!$D:$D)*1.2</f>
        <v>0</v>
      </c>
      <c r="BI228" s="17">
        <f>SUMIF('20.01'!$AA:$AA,$B:$B,'20.01'!$D:$D)*1.2</f>
        <v>0</v>
      </c>
      <c r="BJ228" s="17">
        <f>SUMIF('20.01'!$AB:$AB,$B:$B,'20.01'!$D:$D)*1.2</f>
        <v>0</v>
      </c>
      <c r="BK228" s="17">
        <f>SUMIF('20.01'!$AC:$AC,$B:$B,'20.01'!$D:$D)*1.2</f>
        <v>0</v>
      </c>
      <c r="BL228" s="17">
        <f>SUMIF('20.01'!$AD:$AD,$B:$B,'20.01'!$D:$D)*1.2</f>
        <v>0</v>
      </c>
      <c r="BM228" s="110">
        <f t="shared" si="283"/>
        <v>0</v>
      </c>
      <c r="BN228" s="17">
        <f>SUMIF('20.01'!$AE:$AE,$B:$B,'20.01'!$D:$D)*1.2</f>
        <v>0</v>
      </c>
      <c r="BO228" s="17">
        <f>SUMIF('20.01'!$AF:$AF,$B:$B,'20.01'!$D:$D)*1.2</f>
        <v>0</v>
      </c>
      <c r="BP228" s="110">
        <f>SUMIF('20.01'!$AG:$AG,$B:$B,'20.01'!$D:$D)*1.2</f>
        <v>0</v>
      </c>
      <c r="BQ228" s="110">
        <f>SUMIF('20.01'!$AH:$AH,$B:$B,'20.01'!$D:$D)*1.2</f>
        <v>0</v>
      </c>
      <c r="BR228" s="110">
        <f>SUMIF('20.01'!$AI:$AI,$B:$B,'20.01'!$D:$D)*1.2</f>
        <v>0</v>
      </c>
      <c r="BS228" s="110">
        <f t="shared" si="284"/>
        <v>0</v>
      </c>
      <c r="BT228" s="17">
        <f>SUMIF('20.01'!$AJ:$AJ,$B:$B,'20.01'!$D:$D)*1.2</f>
        <v>0</v>
      </c>
      <c r="BU228" s="17">
        <f>SUMIF('20.01'!$AK:$AK,$B:$B,'20.01'!$D:$D)*1.2</f>
        <v>0</v>
      </c>
      <c r="BV228" s="110">
        <f>SUMIF('20.01'!$AL:$AL,$B:$B,'20.01'!$D:$D)*1.2</f>
        <v>0</v>
      </c>
      <c r="BW228" s="110">
        <f>SUMIF('20.01'!$AM:$AM,$B:$B,'20.01'!$D:$D)*1.2</f>
        <v>0</v>
      </c>
      <c r="BX228" s="110">
        <f>SUMIF('20.01'!$AN:$AN,$B:$B,'20.01'!$D:$D)*1.2</f>
        <v>0</v>
      </c>
      <c r="BY228" s="110">
        <f t="shared" si="234"/>
        <v>346199.2345335267</v>
      </c>
      <c r="BZ228" s="17">
        <f t="shared" ref="BZ228:BZ239" si="303">IF(S228=$S$247,$BZ$247,0)/$G$247*G228</f>
        <v>280456.80907130725</v>
      </c>
      <c r="CA228" s="17">
        <f t="shared" si="235"/>
        <v>12828.363481847558</v>
      </c>
      <c r="CB228" s="17">
        <f t="shared" si="236"/>
        <v>852.7639022968682</v>
      </c>
      <c r="CC228" s="17">
        <f>SUMIF('20.01'!$AO:$AO,$B:$B,'20.01'!$D:$D)*1.2</f>
        <v>0</v>
      </c>
      <c r="CD228" s="17">
        <f t="shared" si="237"/>
        <v>13387.527155593507</v>
      </c>
      <c r="CE228" s="17">
        <f>SUMIF('20.01'!$AQ:$AQ,$B:$B,'20.01'!$D:$D)*1.2</f>
        <v>0</v>
      </c>
      <c r="CF228" s="17">
        <f t="shared" si="238"/>
        <v>1218.0533415720804</v>
      </c>
      <c r="CG228" s="17">
        <f>SUMIF('20.01'!$AR:$AR,$B:$B,'20.01'!$D:$D)*1.2</f>
        <v>36028.224000000002</v>
      </c>
      <c r="CH228" s="17">
        <f t="shared" si="239"/>
        <v>717.34503476045677</v>
      </c>
      <c r="CI228" s="17">
        <f>SUMIF('20.01'!$AT:$AT,$B:$B,'20.01'!$D:$D)*1.2</f>
        <v>0</v>
      </c>
      <c r="CJ228" s="17">
        <f>SUMIF('20.01'!$AU:$AU,$B:$B,'20.01'!$D:$D)*1.2</f>
        <v>0</v>
      </c>
      <c r="CK228" s="17">
        <f>SUMIF('20.01'!$AV:$AV,$B:$B,'20.01'!$D:$D)*1.2</f>
        <v>0</v>
      </c>
      <c r="CL228" s="17">
        <f t="shared" si="240"/>
        <v>710.14854614898047</v>
      </c>
      <c r="CM228" s="17">
        <f>SUMIF('20.01'!$AW:$AW,$B:$B,'20.01'!$D:$D)*1.2</f>
        <v>0</v>
      </c>
      <c r="CN228" s="17">
        <f>SUMIF('20.01'!$AX:$AX,$B:$B,'20.01'!$D:$D)*1.2</f>
        <v>0</v>
      </c>
      <c r="CO228" s="110">
        <f t="shared" si="285"/>
        <v>238227.44028000833</v>
      </c>
      <c r="CP228" s="17">
        <f t="shared" si="286"/>
        <v>187923.66219967321</v>
      </c>
      <c r="CQ228" s="17">
        <f t="shared" si="241"/>
        <v>57977.035550704408</v>
      </c>
      <c r="CR228" s="17">
        <f t="shared" si="242"/>
        <v>129946.6266489688</v>
      </c>
      <c r="CS228" s="17">
        <f t="shared" si="287"/>
        <v>50303.778080335127</v>
      </c>
      <c r="CT228" s="17">
        <f t="shared" si="243"/>
        <v>1832.6107632393087</v>
      </c>
      <c r="CU228" s="17">
        <f t="shared" si="244"/>
        <v>1772.5625180738089</v>
      </c>
      <c r="CV228" s="17">
        <f t="shared" si="245"/>
        <v>1831.982103645061</v>
      </c>
      <c r="CW228" s="17">
        <f t="shared" si="246"/>
        <v>19.210349450892302</v>
      </c>
      <c r="CX228" s="17">
        <f t="shared" si="247"/>
        <v>27050.103369643224</v>
      </c>
      <c r="CY228" s="17">
        <f t="shared" si="248"/>
        <v>17797.308976282831</v>
      </c>
      <c r="CZ228" s="110">
        <f t="shared" si="288"/>
        <v>59134.287272131594</v>
      </c>
      <c r="DA228" s="17">
        <f t="shared" si="289"/>
        <v>2233.7615640572449</v>
      </c>
      <c r="DB228" s="17">
        <f t="shared" si="249"/>
        <v>2119.7577840734621</v>
      </c>
      <c r="DC228" s="17">
        <f t="shared" si="250"/>
        <v>114.00377998378282</v>
      </c>
      <c r="DD228" s="17">
        <f t="shared" si="251"/>
        <v>3936.1441072813072</v>
      </c>
      <c r="DE228" s="17">
        <f t="shared" si="252"/>
        <v>1358.0734333363539</v>
      </c>
      <c r="DF228" s="17">
        <f t="shared" si="253"/>
        <v>1648.2113116706648</v>
      </c>
      <c r="DG228" s="17">
        <f t="shared" si="290"/>
        <v>49958.096855786025</v>
      </c>
      <c r="DH228" s="110">
        <f t="shared" si="291"/>
        <v>36904.41466437417</v>
      </c>
      <c r="DI228" s="17">
        <f t="shared" si="254"/>
        <v>33104.764630696176</v>
      </c>
      <c r="DJ228" s="17">
        <f t="shared" si="255"/>
        <v>3661.192442887691</v>
      </c>
      <c r="DK228" s="17">
        <f t="shared" si="256"/>
        <v>138.45759079030421</v>
      </c>
      <c r="DL228" s="110">
        <f t="shared" si="292"/>
        <v>219398.09297249932</v>
      </c>
      <c r="DM228" s="17">
        <f t="shared" si="257"/>
        <v>116280.98927542464</v>
      </c>
      <c r="DN228" s="17">
        <f t="shared" si="258"/>
        <v>103117.10369707469</v>
      </c>
      <c r="DO228" s="17">
        <f t="shared" si="259"/>
        <v>0</v>
      </c>
      <c r="DP228" s="110">
        <f t="shared" si="293"/>
        <v>0</v>
      </c>
      <c r="DQ228" s="17">
        <f>SUMIF('20.01'!$BB:$BB,$B:$B,'20.01'!$D:$D)*1.2</f>
        <v>0</v>
      </c>
      <c r="DR228" s="17">
        <f t="shared" si="260"/>
        <v>0</v>
      </c>
      <c r="DS228" s="17">
        <f t="shared" si="261"/>
        <v>0</v>
      </c>
      <c r="DT228" s="110">
        <f t="shared" si="294"/>
        <v>2370.6239999999998</v>
      </c>
      <c r="DU228" s="17">
        <f>SUMIF('20.01'!$BD:$BD,$B:$B,'20.01'!$D:$D)*1.2</f>
        <v>2370.6239999999998</v>
      </c>
      <c r="DV228" s="17">
        <f t="shared" si="262"/>
        <v>0</v>
      </c>
      <c r="DW228" s="17">
        <f t="shared" si="263"/>
        <v>0</v>
      </c>
      <c r="DX228" s="110">
        <f t="shared" si="264"/>
        <v>982791.41331230209</v>
      </c>
      <c r="DY228" s="110"/>
      <c r="DZ228" s="110">
        <f t="shared" si="295"/>
        <v>982791.41331230209</v>
      </c>
      <c r="EA228" s="257"/>
      <c r="EB228" s="110">
        <f t="shared" si="265"/>
        <v>0</v>
      </c>
      <c r="EC228" s="110">
        <f>SUMIF(еирц!$B:$B,$B:$B,еирц!$K:$K)</f>
        <v>487464.36</v>
      </c>
      <c r="ED228" s="110">
        <f>SUMIF(еирц!$B:$B,$B:$B,еирц!$P:$P)</f>
        <v>453726.45000000007</v>
      </c>
      <c r="EE228" s="110">
        <f>SUMIF(еирц!$B:$B,$B:$B,еирц!$S:$S)</f>
        <v>120128.72</v>
      </c>
      <c r="EF228" s="177">
        <f t="shared" si="296"/>
        <v>-495327.0533123021</v>
      </c>
      <c r="EG228" s="181">
        <f t="shared" si="297"/>
        <v>0</v>
      </c>
      <c r="EH228" s="177">
        <f t="shared" si="298"/>
        <v>-495327.0533123021</v>
      </c>
    </row>
    <row r="229" spans="1:138" s="24" customFormat="1" ht="12" customHeight="1" x14ac:dyDescent="0.25">
      <c r="A229" s="5">
        <f t="shared" si="299"/>
        <v>225</v>
      </c>
      <c r="B229" s="6" t="s">
        <v>314</v>
      </c>
      <c r="C229" s="7">
        <f t="shared" si="300"/>
        <v>3374.69</v>
      </c>
      <c r="D229" s="8">
        <v>3374.69</v>
      </c>
      <c r="E229" s="8">
        <v>0</v>
      </c>
      <c r="F229" s="8">
        <v>301.2</v>
      </c>
      <c r="G229" s="87">
        <f t="shared" si="232"/>
        <v>3374.69</v>
      </c>
      <c r="H229" s="87">
        <f t="shared" si="233"/>
        <v>3374.69</v>
      </c>
      <c r="I229" s="91">
        <v>0</v>
      </c>
      <c r="J229" s="112">
        <v>0</v>
      </c>
      <c r="K229" s="17">
        <v>0</v>
      </c>
      <c r="L229" s="112">
        <f t="shared" si="266"/>
        <v>0</v>
      </c>
      <c r="M229" s="116">
        <v>3.4064186748759782</v>
      </c>
      <c r="N229" s="120">
        <f t="shared" si="267"/>
        <v>3374.69</v>
      </c>
      <c r="O229" s="116">
        <v>2.6059522735739917</v>
      </c>
      <c r="P229" s="120">
        <f t="shared" si="268"/>
        <v>3374.69</v>
      </c>
      <c r="Q229" s="116">
        <v>0</v>
      </c>
      <c r="R229" s="120">
        <f t="shared" si="269"/>
        <v>0</v>
      </c>
      <c r="S229" s="5" t="s">
        <v>310</v>
      </c>
      <c r="T229" s="87">
        <v>19.64</v>
      </c>
      <c r="U229" s="88">
        <v>3.02</v>
      </c>
      <c r="V229" s="88">
        <v>4</v>
      </c>
      <c r="W229" s="88">
        <v>6.16</v>
      </c>
      <c r="X229" s="88">
        <v>4.1900000000000004</v>
      </c>
      <c r="Y229" s="88">
        <v>2.0499999999999998</v>
      </c>
      <c r="Z229" s="88">
        <v>0</v>
      </c>
      <c r="AA229" s="88">
        <v>0</v>
      </c>
      <c r="AB229" s="88">
        <v>0.22</v>
      </c>
      <c r="AC229" s="257"/>
      <c r="AD229" s="110">
        <f t="shared" si="270"/>
        <v>153172.30679010323</v>
      </c>
      <c r="AE229" s="110">
        <f t="shared" si="271"/>
        <v>152224.31567265821</v>
      </c>
      <c r="AF229" s="16">
        <f>SUMIF('20.01'!$I:$I,$B:$B,'20.01'!$D:$D)*1.2</f>
        <v>93985.884000000005</v>
      </c>
      <c r="AG229" s="17">
        <f t="shared" ref="AG229:AG239" si="304">IF(S229=$S$247,$AG$247,0)/$G$247*G229</f>
        <v>9182.9521183697489</v>
      </c>
      <c r="AH229" s="17">
        <f t="shared" si="272"/>
        <v>2576.9098984752604</v>
      </c>
      <c r="AI229" s="16">
        <f>SUMIF('20.01'!$J:$J,$B:$B,'20.01'!$D:$D)*1.2</f>
        <v>0</v>
      </c>
      <c r="AJ229" s="17">
        <f t="shared" si="273"/>
        <v>1047.1982483403433</v>
      </c>
      <c r="AK229" s="17">
        <f t="shared" si="274"/>
        <v>2547.6006981907385</v>
      </c>
      <c r="AL229" s="17">
        <f t="shared" si="275"/>
        <v>42883.770709282093</v>
      </c>
      <c r="AM229" s="110">
        <f t="shared" si="276"/>
        <v>0</v>
      </c>
      <c r="AN229" s="17">
        <f>SUMIF('20.01'!$K:$K,$B:$B,'20.01'!$D:$D)*1.2</f>
        <v>0</v>
      </c>
      <c r="AO229" s="17">
        <f>SUMIF('20.01'!$L:$L,$B:$B,'20.01'!$D:$D)*1.2</f>
        <v>0</v>
      </c>
      <c r="AP229" s="17">
        <f>SUMIF('20.01'!$M:$M,$B:$B,'20.01'!$D:$D)*1.2</f>
        <v>0</v>
      </c>
      <c r="AQ229" s="110">
        <f t="shared" si="277"/>
        <v>947.99111744501454</v>
      </c>
      <c r="AR229" s="17">
        <f t="shared" si="278"/>
        <v>947.99111744501454</v>
      </c>
      <c r="AS229" s="17">
        <f>(SUMIF('20.01'!$N:$N,$B:$B,'20.01'!$D:$D)+SUMIF('20.01'!$O:$O,$B:$B,'20.01'!$D:$D))*1.2</f>
        <v>0</v>
      </c>
      <c r="AT229" s="110">
        <f>SUMIF('20.01'!$P:$P,$B:$B,'20.01'!$D:$D)*1.2</f>
        <v>0</v>
      </c>
      <c r="AU229" s="110">
        <f t="shared" si="279"/>
        <v>0</v>
      </c>
      <c r="AV229" s="17">
        <f>SUMIF('20.01'!$Q:$Q,$B:$B,'20.01'!$D:$D)*1.2</f>
        <v>0</v>
      </c>
      <c r="AW229" s="17">
        <f>SUMIF('20.01'!$R:$R,$B:$B,'20.01'!$D:$D)*1.2</f>
        <v>0</v>
      </c>
      <c r="AX229" s="110">
        <f t="shared" si="280"/>
        <v>0</v>
      </c>
      <c r="AY229" s="17">
        <f>SUMIF('20.01'!$S:$S,$B:$B,'20.01'!$D:$D)*1.2</f>
        <v>0</v>
      </c>
      <c r="AZ229" s="17">
        <f>SUMIF('20.01'!$T:$T,$B:$B,'20.01'!$D:$D)*1.2</f>
        <v>0</v>
      </c>
      <c r="BA229" s="110">
        <f t="shared" si="281"/>
        <v>0</v>
      </c>
      <c r="BB229" s="17">
        <f>SUMIF('20.01'!$U:$U,$B:$B,'20.01'!$D:$D)*1.2</f>
        <v>0</v>
      </c>
      <c r="BC229" s="17">
        <f>SUMIF('20.01'!$V:$V,$B:$B,'20.01'!$D:$D)*1.2</f>
        <v>0</v>
      </c>
      <c r="BD229" s="17">
        <f>SUMIF('20.01'!$W:$W,$B:$B,'20.01'!$D:$D)*1.2</f>
        <v>0</v>
      </c>
      <c r="BE229" s="110">
        <f>SUMIF('20.01'!$X:$X,$B:$B,'20.01'!$D:$D)*1.2</f>
        <v>0</v>
      </c>
      <c r="BF229" s="110">
        <f t="shared" si="282"/>
        <v>0</v>
      </c>
      <c r="BG229" s="17">
        <f>SUMIF('20.01'!$Y:$Y,$B:$B,'20.01'!$D:$D)*1.2</f>
        <v>0</v>
      </c>
      <c r="BH229" s="17">
        <f>SUMIF('20.01'!$Z:$Z,$B:$B,'20.01'!$D:$D)*1.2</f>
        <v>0</v>
      </c>
      <c r="BI229" s="17">
        <f>SUMIF('20.01'!$AA:$AA,$B:$B,'20.01'!$D:$D)*1.2</f>
        <v>0</v>
      </c>
      <c r="BJ229" s="17">
        <f>SUMIF('20.01'!$AB:$AB,$B:$B,'20.01'!$D:$D)*1.2</f>
        <v>0</v>
      </c>
      <c r="BK229" s="17">
        <f>SUMIF('20.01'!$AC:$AC,$B:$B,'20.01'!$D:$D)*1.2</f>
        <v>0</v>
      </c>
      <c r="BL229" s="17">
        <f>SUMIF('20.01'!$AD:$AD,$B:$B,'20.01'!$D:$D)*1.2</f>
        <v>0</v>
      </c>
      <c r="BM229" s="110">
        <f t="shared" si="283"/>
        <v>0</v>
      </c>
      <c r="BN229" s="17">
        <f>SUMIF('20.01'!$AE:$AE,$B:$B,'20.01'!$D:$D)*1.2</f>
        <v>0</v>
      </c>
      <c r="BO229" s="17">
        <f>SUMIF('20.01'!$AF:$AF,$B:$B,'20.01'!$D:$D)*1.2</f>
        <v>0</v>
      </c>
      <c r="BP229" s="110">
        <f>SUMIF('20.01'!$AG:$AG,$B:$B,'20.01'!$D:$D)*1.2</f>
        <v>0</v>
      </c>
      <c r="BQ229" s="110">
        <f>SUMIF('20.01'!$AH:$AH,$B:$B,'20.01'!$D:$D)*1.2</f>
        <v>0</v>
      </c>
      <c r="BR229" s="110">
        <f>SUMIF('20.01'!$AI:$AI,$B:$B,'20.01'!$D:$D)*1.2</f>
        <v>0</v>
      </c>
      <c r="BS229" s="110">
        <f t="shared" si="284"/>
        <v>0</v>
      </c>
      <c r="BT229" s="17">
        <f>SUMIF('20.01'!$AJ:$AJ,$B:$B,'20.01'!$D:$D)*1.2</f>
        <v>0</v>
      </c>
      <c r="BU229" s="17">
        <f>SUMIF('20.01'!$AK:$AK,$B:$B,'20.01'!$D:$D)*1.2</f>
        <v>0</v>
      </c>
      <c r="BV229" s="110">
        <f>SUMIF('20.01'!$AL:$AL,$B:$B,'20.01'!$D:$D)*1.2</f>
        <v>0</v>
      </c>
      <c r="BW229" s="110">
        <f>SUMIF('20.01'!$AM:$AM,$B:$B,'20.01'!$D:$D)*1.2</f>
        <v>0</v>
      </c>
      <c r="BX229" s="110">
        <f>SUMIF('20.01'!$AN:$AN,$B:$B,'20.01'!$D:$D)*1.2</f>
        <v>0</v>
      </c>
      <c r="BY229" s="110">
        <f t="shared" si="234"/>
        <v>559967.67648130981</v>
      </c>
      <c r="BZ229" s="17">
        <f t="shared" si="303"/>
        <v>457593.70555223292</v>
      </c>
      <c r="CA229" s="17">
        <f t="shared" si="235"/>
        <v>20930.775049704902</v>
      </c>
      <c r="CB229" s="17">
        <f t="shared" si="236"/>
        <v>1391.3707258717025</v>
      </c>
      <c r="CC229" s="17">
        <f>SUMIF('20.01'!$AO:$AO,$B:$B,'20.01'!$D:$D)*1.2</f>
        <v>0</v>
      </c>
      <c r="CD229" s="17">
        <f t="shared" si="237"/>
        <v>21843.107249186469</v>
      </c>
      <c r="CE229" s="17">
        <f>SUMIF('20.01'!$AQ:$AQ,$B:$B,'20.01'!$D:$D)*1.2</f>
        <v>0</v>
      </c>
      <c r="CF229" s="17">
        <f t="shared" si="238"/>
        <v>1987.3774645583073</v>
      </c>
      <c r="CG229" s="17">
        <f>SUMIF('20.01'!$AR:$AR,$B:$B,'20.01'!$D:$D)*1.2</f>
        <v>53892.24</v>
      </c>
      <c r="CH229" s="17">
        <f t="shared" si="239"/>
        <v>1170.4211201093472</v>
      </c>
      <c r="CI229" s="17">
        <f>SUMIF('20.01'!$AT:$AT,$B:$B,'20.01'!$D:$D)*1.2</f>
        <v>0</v>
      </c>
      <c r="CJ229" s="17">
        <f>SUMIF('20.01'!$AU:$AU,$B:$B,'20.01'!$D:$D)*1.2</f>
        <v>0</v>
      </c>
      <c r="CK229" s="17">
        <f>SUMIF('20.01'!$AV:$AV,$B:$B,'20.01'!$D:$D)*1.2</f>
        <v>0</v>
      </c>
      <c r="CL229" s="17">
        <f t="shared" si="240"/>
        <v>1158.6793196460444</v>
      </c>
      <c r="CM229" s="17">
        <f>SUMIF('20.01'!$AW:$AW,$B:$B,'20.01'!$D:$D)*1.2</f>
        <v>0</v>
      </c>
      <c r="CN229" s="17">
        <f>SUMIF('20.01'!$AX:$AX,$B:$B,'20.01'!$D:$D)*1.2</f>
        <v>0</v>
      </c>
      <c r="CO229" s="110">
        <f t="shared" si="285"/>
        <v>388692.21083605685</v>
      </c>
      <c r="CP229" s="17">
        <f t="shared" si="286"/>
        <v>306616.49910247169</v>
      </c>
      <c r="CQ229" s="17">
        <f t="shared" si="241"/>
        <v>94595.408906028868</v>
      </c>
      <c r="CR229" s="17">
        <f t="shared" si="242"/>
        <v>212021.09019644282</v>
      </c>
      <c r="CS229" s="17">
        <f t="shared" si="287"/>
        <v>82075.711733585136</v>
      </c>
      <c r="CT229" s="17">
        <f t="shared" si="243"/>
        <v>2990.0901773875848</v>
      </c>
      <c r="CU229" s="17">
        <f t="shared" si="244"/>
        <v>2892.1153800981965</v>
      </c>
      <c r="CV229" s="17">
        <f t="shared" si="245"/>
        <v>2989.064455551073</v>
      </c>
      <c r="CW229" s="17">
        <f t="shared" si="246"/>
        <v>31.34363191001037</v>
      </c>
      <c r="CX229" s="17">
        <f t="shared" si="247"/>
        <v>44134.984910774052</v>
      </c>
      <c r="CY229" s="17">
        <f t="shared" si="248"/>
        <v>29038.113177864223</v>
      </c>
      <c r="CZ229" s="110">
        <f t="shared" si="288"/>
        <v>96483.582365671726</v>
      </c>
      <c r="DA229" s="17">
        <f t="shared" si="289"/>
        <v>3644.608361629113</v>
      </c>
      <c r="DB229" s="17">
        <f t="shared" si="249"/>
        <v>3458.5996414183769</v>
      </c>
      <c r="DC229" s="17">
        <f t="shared" si="250"/>
        <v>186.00872021073624</v>
      </c>
      <c r="DD229" s="17">
        <f t="shared" si="251"/>
        <v>6422.2180007064426</v>
      </c>
      <c r="DE229" s="17">
        <f t="shared" si="252"/>
        <v>2215.8344339374571</v>
      </c>
      <c r="DF229" s="17">
        <f t="shared" si="253"/>
        <v>2689.2237850738884</v>
      </c>
      <c r="DG229" s="17">
        <f t="shared" si="290"/>
        <v>81511.697784324817</v>
      </c>
      <c r="DH229" s="110">
        <f t="shared" si="291"/>
        <v>60213.292426120046</v>
      </c>
      <c r="DI229" s="17">
        <f t="shared" si="254"/>
        <v>54013.77833883572</v>
      </c>
      <c r="DJ229" s="17">
        <f t="shared" si="255"/>
        <v>5973.6064965883888</v>
      </c>
      <c r="DK229" s="17">
        <f t="shared" si="256"/>
        <v>225.90759069593912</v>
      </c>
      <c r="DL229" s="110">
        <f t="shared" si="292"/>
        <v>357970.22253381414</v>
      </c>
      <c r="DM229" s="17">
        <f t="shared" si="257"/>
        <v>189724.2179429215</v>
      </c>
      <c r="DN229" s="17">
        <f t="shared" si="258"/>
        <v>168246.00459089267</v>
      </c>
      <c r="DO229" s="17">
        <f t="shared" si="259"/>
        <v>0</v>
      </c>
      <c r="DP229" s="110">
        <f t="shared" si="293"/>
        <v>0</v>
      </c>
      <c r="DQ229" s="17">
        <f>SUMIF('20.01'!$BB:$BB,$B:$B,'20.01'!$D:$D)*1.2</f>
        <v>0</v>
      </c>
      <c r="DR229" s="17">
        <f t="shared" si="260"/>
        <v>0</v>
      </c>
      <c r="DS229" s="17">
        <f t="shared" si="261"/>
        <v>0</v>
      </c>
      <c r="DT229" s="110">
        <f t="shared" si="294"/>
        <v>7586.0159999999996</v>
      </c>
      <c r="DU229" s="17">
        <f>SUMIF('20.01'!$BD:$BD,$B:$B,'20.01'!$D:$D)*1.2</f>
        <v>7586.0159999999996</v>
      </c>
      <c r="DV229" s="17">
        <f t="shared" si="262"/>
        <v>0</v>
      </c>
      <c r="DW229" s="17">
        <f t="shared" si="263"/>
        <v>0</v>
      </c>
      <c r="DX229" s="110">
        <f t="shared" si="264"/>
        <v>1624085.3074330757</v>
      </c>
      <c r="DY229" s="110"/>
      <c r="DZ229" s="110">
        <f t="shared" si="295"/>
        <v>1624085.3074330757</v>
      </c>
      <c r="EA229" s="257"/>
      <c r="EB229" s="110">
        <f t="shared" si="265"/>
        <v>0</v>
      </c>
      <c r="EC229" s="110">
        <f>SUMIF(еирц!$B:$B,$B:$B,еирц!$K:$K)</f>
        <v>795132.58000000007</v>
      </c>
      <c r="ED229" s="110">
        <f>SUMIF(еирц!$B:$B,$B:$B,еирц!$P:$P)</f>
        <v>760578.25</v>
      </c>
      <c r="EE229" s="110">
        <f>SUMIF(еирц!$B:$B,$B:$B,еирц!$S:$S)</f>
        <v>167798.67</v>
      </c>
      <c r="EF229" s="177">
        <f t="shared" si="296"/>
        <v>-828952.72743307566</v>
      </c>
      <c r="EG229" s="181">
        <f t="shared" si="297"/>
        <v>0</v>
      </c>
      <c r="EH229" s="177">
        <f t="shared" si="298"/>
        <v>-828952.72743307566</v>
      </c>
    </row>
    <row r="230" spans="1:138" s="24" customFormat="1" ht="12" customHeight="1" x14ac:dyDescent="0.25">
      <c r="A230" s="5">
        <f t="shared" si="299"/>
        <v>226</v>
      </c>
      <c r="B230" s="6" t="s">
        <v>315</v>
      </c>
      <c r="C230" s="7">
        <f t="shared" si="300"/>
        <v>3804.8699999999994</v>
      </c>
      <c r="D230" s="8">
        <v>3747.7699999999995</v>
      </c>
      <c r="E230" s="8">
        <v>57.1</v>
      </c>
      <c r="F230" s="8">
        <v>483.3</v>
      </c>
      <c r="G230" s="91">
        <f t="shared" si="232"/>
        <v>3804.8699999999994</v>
      </c>
      <c r="H230" s="87">
        <f t="shared" si="233"/>
        <v>0</v>
      </c>
      <c r="I230" s="91">
        <v>1</v>
      </c>
      <c r="J230" s="112">
        <v>1.0250296541523668E-3</v>
      </c>
      <c r="K230" s="17">
        <v>0</v>
      </c>
      <c r="L230" s="112">
        <f t="shared" si="266"/>
        <v>0</v>
      </c>
      <c r="M230" s="116">
        <v>3.40641723796075</v>
      </c>
      <c r="N230" s="120">
        <f t="shared" si="267"/>
        <v>3804.8699999999994</v>
      </c>
      <c r="O230" s="116">
        <v>2.6059545226242977</v>
      </c>
      <c r="P230" s="120">
        <f t="shared" si="268"/>
        <v>3804.8699999999994</v>
      </c>
      <c r="Q230" s="116">
        <v>1.6009283127825247</v>
      </c>
      <c r="R230" s="120">
        <f t="shared" si="269"/>
        <v>3804.8699999999994</v>
      </c>
      <c r="S230" s="5" t="s">
        <v>310</v>
      </c>
      <c r="T230" s="87">
        <v>32.07</v>
      </c>
      <c r="U230" s="88">
        <v>4.03</v>
      </c>
      <c r="V230" s="88">
        <v>5.61</v>
      </c>
      <c r="W230" s="88">
        <v>7.92</v>
      </c>
      <c r="X230" s="88">
        <v>5.4</v>
      </c>
      <c r="Y230" s="88">
        <v>2.67</v>
      </c>
      <c r="Z230" s="88">
        <v>1.54</v>
      </c>
      <c r="AA230" s="88">
        <v>4.9000000000000004</v>
      </c>
      <c r="AB230" s="88">
        <v>0</v>
      </c>
      <c r="AC230" s="257"/>
      <c r="AD230" s="110">
        <f t="shared" si="270"/>
        <v>139225.08906972193</v>
      </c>
      <c r="AE230" s="110">
        <f t="shared" si="271"/>
        <v>126305.53520260139</v>
      </c>
      <c r="AF230" s="16">
        <f>SUMIF('20.01'!$I:$I,$B:$B,'20.01'!$D:$D)*1.2</f>
        <v>60643.30799999999</v>
      </c>
      <c r="AG230" s="17">
        <f t="shared" si="304"/>
        <v>10353.525516898293</v>
      </c>
      <c r="AH230" s="17">
        <f t="shared" si="272"/>
        <v>2905.394914914129</v>
      </c>
      <c r="AI230" s="16">
        <f>SUMIF('20.01'!$J:$J,$B:$B,'20.01'!$D:$D)*1.2</f>
        <v>0</v>
      </c>
      <c r="AJ230" s="17">
        <f t="shared" si="273"/>
        <v>1180.6871739812314</v>
      </c>
      <c r="AK230" s="17">
        <f t="shared" si="274"/>
        <v>2872.3495990816914</v>
      </c>
      <c r="AL230" s="17">
        <f t="shared" si="275"/>
        <v>48350.269997726049</v>
      </c>
      <c r="AM230" s="110">
        <f t="shared" si="276"/>
        <v>0</v>
      </c>
      <c r="AN230" s="17">
        <f>SUMIF('20.01'!$K:$K,$B:$B,'20.01'!$D:$D)*1.2</f>
        <v>0</v>
      </c>
      <c r="AO230" s="17">
        <f>SUMIF('20.01'!$L:$L,$B:$B,'20.01'!$D:$D)*1.2</f>
        <v>0</v>
      </c>
      <c r="AP230" s="17">
        <f>SUMIF('20.01'!$M:$M,$B:$B,'20.01'!$D:$D)*1.2</f>
        <v>0</v>
      </c>
      <c r="AQ230" s="110">
        <f t="shared" si="277"/>
        <v>1068.833867120539</v>
      </c>
      <c r="AR230" s="17">
        <f t="shared" si="278"/>
        <v>1068.833867120539</v>
      </c>
      <c r="AS230" s="17">
        <f>(SUMIF('20.01'!$N:$N,$B:$B,'20.01'!$D:$D)+SUMIF('20.01'!$O:$O,$B:$B,'20.01'!$D:$D))*1.2</f>
        <v>0</v>
      </c>
      <c r="AT230" s="110">
        <f>SUMIF('20.01'!$P:$P,$B:$B,'20.01'!$D:$D)*1.2</f>
        <v>0</v>
      </c>
      <c r="AU230" s="110">
        <f t="shared" si="279"/>
        <v>0</v>
      </c>
      <c r="AV230" s="17">
        <f>SUMIF('20.01'!$Q:$Q,$B:$B,'20.01'!$D:$D)*1.2</f>
        <v>0</v>
      </c>
      <c r="AW230" s="17">
        <f>SUMIF('20.01'!$R:$R,$B:$B,'20.01'!$D:$D)*1.2</f>
        <v>0</v>
      </c>
      <c r="AX230" s="110">
        <f t="shared" si="280"/>
        <v>11850.72</v>
      </c>
      <c r="AY230" s="17">
        <f>SUMIF('20.01'!$S:$S,$B:$B,'20.01'!$D:$D)*1.2</f>
        <v>11850.72</v>
      </c>
      <c r="AZ230" s="17">
        <f>SUMIF('20.01'!$T:$T,$B:$B,'20.01'!$D:$D)*1.2</f>
        <v>0</v>
      </c>
      <c r="BA230" s="110">
        <f t="shared" si="281"/>
        <v>0</v>
      </c>
      <c r="BB230" s="17">
        <f>SUMIF('20.01'!$U:$U,$B:$B,'20.01'!$D:$D)*1.2</f>
        <v>0</v>
      </c>
      <c r="BC230" s="17">
        <f>SUMIF('20.01'!$V:$V,$B:$B,'20.01'!$D:$D)*1.2</f>
        <v>0</v>
      </c>
      <c r="BD230" s="17">
        <f>SUMIF('20.01'!$W:$W,$B:$B,'20.01'!$D:$D)*1.2</f>
        <v>0</v>
      </c>
      <c r="BE230" s="110">
        <f>SUMIF('20.01'!$X:$X,$B:$B,'20.01'!$D:$D)*1.2</f>
        <v>0</v>
      </c>
      <c r="BF230" s="110">
        <f t="shared" si="282"/>
        <v>0</v>
      </c>
      <c r="BG230" s="17">
        <f>SUMIF('20.01'!$Y:$Y,$B:$B,'20.01'!$D:$D)*1.2</f>
        <v>0</v>
      </c>
      <c r="BH230" s="17">
        <f>SUMIF('20.01'!$Z:$Z,$B:$B,'20.01'!$D:$D)*1.2</f>
        <v>0</v>
      </c>
      <c r="BI230" s="17">
        <f>SUMIF('20.01'!$AA:$AA,$B:$B,'20.01'!$D:$D)*1.2</f>
        <v>0</v>
      </c>
      <c r="BJ230" s="17">
        <f>SUMIF('20.01'!$AB:$AB,$B:$B,'20.01'!$D:$D)*1.2</f>
        <v>0</v>
      </c>
      <c r="BK230" s="17">
        <f>SUMIF('20.01'!$AC:$AC,$B:$B,'20.01'!$D:$D)*1.2</f>
        <v>0</v>
      </c>
      <c r="BL230" s="17">
        <f>SUMIF('20.01'!$AD:$AD,$B:$B,'20.01'!$D:$D)*1.2</f>
        <v>0</v>
      </c>
      <c r="BM230" s="110">
        <f t="shared" si="283"/>
        <v>0</v>
      </c>
      <c r="BN230" s="17">
        <f>SUMIF('20.01'!$AE:$AE,$B:$B,'20.01'!$D:$D)*1.2</f>
        <v>0</v>
      </c>
      <c r="BO230" s="17">
        <f>SUMIF('20.01'!$AF:$AF,$B:$B,'20.01'!$D:$D)*1.2</f>
        <v>0</v>
      </c>
      <c r="BP230" s="110">
        <f>SUMIF('20.01'!$AG:$AG,$B:$B,'20.01'!$D:$D)*1.2</f>
        <v>0</v>
      </c>
      <c r="BQ230" s="110">
        <f>SUMIF('20.01'!$AH:$AH,$B:$B,'20.01'!$D:$D)*1.2</f>
        <v>0</v>
      </c>
      <c r="BR230" s="110">
        <f>SUMIF('20.01'!$AI:$AI,$B:$B,'20.01'!$D:$D)*1.2</f>
        <v>0</v>
      </c>
      <c r="BS230" s="110">
        <f t="shared" si="284"/>
        <v>0</v>
      </c>
      <c r="BT230" s="17">
        <f>SUMIF('20.01'!$AJ:$AJ,$B:$B,'20.01'!$D:$D)*1.2</f>
        <v>0</v>
      </c>
      <c r="BU230" s="17">
        <f>SUMIF('20.01'!$AK:$AK,$B:$B,'20.01'!$D:$D)*1.2</f>
        <v>0</v>
      </c>
      <c r="BV230" s="110">
        <f>SUMIF('20.01'!$AL:$AL,$B:$B,'20.01'!$D:$D)*1.2</f>
        <v>0</v>
      </c>
      <c r="BW230" s="110">
        <f>SUMIF('20.01'!$AM:$AM,$B:$B,'20.01'!$D:$D)*1.2</f>
        <v>0</v>
      </c>
      <c r="BX230" s="110">
        <f>SUMIF('20.01'!$AN:$AN,$B:$B,'20.01'!$D:$D)*1.2</f>
        <v>0</v>
      </c>
      <c r="BY230" s="110">
        <f t="shared" si="234"/>
        <v>570586.11191091337</v>
      </c>
      <c r="BZ230" s="17">
        <f t="shared" si="303"/>
        <v>515924.29599297245</v>
      </c>
      <c r="CA230" s="17">
        <f t="shared" si="235"/>
        <v>23598.872211483329</v>
      </c>
      <c r="CB230" s="17">
        <f t="shared" si="236"/>
        <v>1568.7321602124828</v>
      </c>
      <c r="CC230" s="17">
        <f>SUMIF('20.01'!$AO:$AO,$B:$B,'20.01'!$D:$D)*1.2</f>
        <v>0</v>
      </c>
      <c r="CD230" s="17">
        <f t="shared" si="237"/>
        <v>24627.501631027477</v>
      </c>
      <c r="CE230" s="17">
        <f>SUMIF('20.01'!$AQ:$AQ,$B:$B,'20.01'!$D:$D)*1.2</f>
        <v>0</v>
      </c>
      <c r="CF230" s="17">
        <f t="shared" si="238"/>
        <v>2240.7133376914521</v>
      </c>
      <c r="CG230" s="17">
        <f>SUMIF('20.01'!$AR:$AR,$B:$B,'20.01'!$D:$D)*1.2</f>
        <v>0</v>
      </c>
      <c r="CH230" s="17">
        <f t="shared" si="239"/>
        <v>1319.6175670270309</v>
      </c>
      <c r="CI230" s="17">
        <f>SUMIF('20.01'!$AT:$AT,$B:$B,'20.01'!$D:$D)*1.2</f>
        <v>0</v>
      </c>
      <c r="CJ230" s="17">
        <f>SUMIF('20.01'!$AU:$AU,$B:$B,'20.01'!$D:$D)*1.2</f>
        <v>0</v>
      </c>
      <c r="CK230" s="17">
        <f>SUMIF('20.01'!$AV:$AV,$B:$B,'20.01'!$D:$D)*1.2</f>
        <v>0</v>
      </c>
      <c r="CL230" s="17">
        <f t="shared" si="240"/>
        <v>1306.3790104992293</v>
      </c>
      <c r="CM230" s="17">
        <f>SUMIF('20.01'!$AW:$AW,$B:$B,'20.01'!$D:$D)*1.2</f>
        <v>0</v>
      </c>
      <c r="CN230" s="17">
        <f>SUMIF('20.01'!$AX:$AX,$B:$B,'20.01'!$D:$D)*1.2</f>
        <v>0</v>
      </c>
      <c r="CO230" s="110">
        <f t="shared" si="285"/>
        <v>438239.75898342882</v>
      </c>
      <c r="CP230" s="17">
        <f t="shared" si="286"/>
        <v>345701.65524537698</v>
      </c>
      <c r="CQ230" s="17">
        <f t="shared" si="241"/>
        <v>106653.71737382752</v>
      </c>
      <c r="CR230" s="17">
        <f t="shared" si="242"/>
        <v>239047.93787154945</v>
      </c>
      <c r="CS230" s="17">
        <f t="shared" si="287"/>
        <v>92538.10373805181</v>
      </c>
      <c r="CT230" s="17">
        <f t="shared" si="243"/>
        <v>3371.2442959906534</v>
      </c>
      <c r="CU230" s="17">
        <f t="shared" si="244"/>
        <v>3260.7804113190318</v>
      </c>
      <c r="CV230" s="17">
        <f t="shared" si="245"/>
        <v>3370.087822879319</v>
      </c>
      <c r="CW230" s="17">
        <f t="shared" si="246"/>
        <v>35.339081440203735</v>
      </c>
      <c r="CX230" s="17">
        <f t="shared" si="247"/>
        <v>49760.979538107757</v>
      </c>
      <c r="CY230" s="17">
        <f t="shared" si="248"/>
        <v>32739.672588314847</v>
      </c>
      <c r="CZ230" s="110">
        <f t="shared" si="288"/>
        <v>108782.58092911445</v>
      </c>
      <c r="DA230" s="17">
        <f t="shared" si="289"/>
        <v>4109.1955163027606</v>
      </c>
      <c r="DB230" s="17">
        <f t="shared" si="249"/>
        <v>3899.4758089316465</v>
      </c>
      <c r="DC230" s="17">
        <f t="shared" si="250"/>
        <v>209.71970737111374</v>
      </c>
      <c r="DD230" s="17">
        <f t="shared" si="251"/>
        <v>7240.8738593316475</v>
      </c>
      <c r="DE230" s="17">
        <f t="shared" si="252"/>
        <v>2498.2922765218764</v>
      </c>
      <c r="DF230" s="17">
        <f t="shared" si="253"/>
        <v>3032.0257277302758</v>
      </c>
      <c r="DG230" s="17">
        <f t="shared" si="290"/>
        <v>91902.193549227901</v>
      </c>
      <c r="DH230" s="110">
        <f t="shared" si="291"/>
        <v>67888.828293375511</v>
      </c>
      <c r="DI230" s="17">
        <f t="shared" si="254"/>
        <v>60899.046960783315</v>
      </c>
      <c r="DJ230" s="17">
        <f t="shared" si="255"/>
        <v>6735.076747989966</v>
      </c>
      <c r="DK230" s="17">
        <f t="shared" si="256"/>
        <v>254.70458460221761</v>
      </c>
      <c r="DL230" s="110">
        <f t="shared" si="292"/>
        <v>513724.27450487588</v>
      </c>
      <c r="DM230" s="17">
        <f t="shared" si="257"/>
        <v>213908.82869966829</v>
      </c>
      <c r="DN230" s="17">
        <f t="shared" si="258"/>
        <v>189692.73488461151</v>
      </c>
      <c r="DO230" s="17">
        <f t="shared" si="259"/>
        <v>110122.71092059607</v>
      </c>
      <c r="DP230" s="110">
        <f t="shared" si="293"/>
        <v>113327.36865664905</v>
      </c>
      <c r="DQ230" s="108">
        <f>(SUMIF('20.01'!$BB:$BB,$B:$B,'20.01'!$D:$D)+(412109.7/6*1))*1.2</f>
        <v>85018.079999999987</v>
      </c>
      <c r="DR230" s="17">
        <f t="shared" si="260"/>
        <v>28100.973901394162</v>
      </c>
      <c r="DS230" s="17">
        <f t="shared" si="261"/>
        <v>208.31475525490751</v>
      </c>
      <c r="DT230" s="110">
        <f t="shared" si="294"/>
        <v>0</v>
      </c>
      <c r="DU230" s="17">
        <f>SUMIF('20.01'!$BD:$BD,$B:$B,'20.01'!$D:$D)*1.2</f>
        <v>0</v>
      </c>
      <c r="DV230" s="17">
        <f t="shared" si="262"/>
        <v>0</v>
      </c>
      <c r="DW230" s="17">
        <f t="shared" si="263"/>
        <v>0</v>
      </c>
      <c r="DX230" s="110">
        <f t="shared" si="264"/>
        <v>1951774.0123480789</v>
      </c>
      <c r="DY230" s="110"/>
      <c r="DZ230" s="110">
        <f t="shared" si="295"/>
        <v>1951774.0123480789</v>
      </c>
      <c r="EA230" s="257"/>
      <c r="EB230" s="110">
        <f t="shared" si="265"/>
        <v>0</v>
      </c>
      <c r="EC230" s="110">
        <f>SUMIF(еирц!$B:$B,$B:$B,еирц!$K:$K)</f>
        <v>1442292.48</v>
      </c>
      <c r="ED230" s="110">
        <f>SUMIF(еирц!$B:$B,$B:$B,еирц!$P:$P)</f>
        <v>1440906.6</v>
      </c>
      <c r="EE230" s="110">
        <f>SUMIF(еирц!$B:$B,$B:$B,еирц!$S:$S)</f>
        <v>136219.44</v>
      </c>
      <c r="EF230" s="177">
        <f t="shared" si="296"/>
        <v>-509481.53234807891</v>
      </c>
      <c r="EG230" s="181">
        <f t="shared" si="297"/>
        <v>0</v>
      </c>
      <c r="EH230" s="177">
        <f t="shared" si="298"/>
        <v>-509481.53234807891</v>
      </c>
    </row>
    <row r="231" spans="1:138" s="24" customFormat="1" ht="12" customHeight="1" x14ac:dyDescent="0.25">
      <c r="A231" s="5">
        <f t="shared" si="299"/>
        <v>227</v>
      </c>
      <c r="B231" s="6" t="s">
        <v>317</v>
      </c>
      <c r="C231" s="7">
        <f t="shared" si="300"/>
        <v>856.1</v>
      </c>
      <c r="D231" s="8">
        <v>770.6</v>
      </c>
      <c r="E231" s="8">
        <v>85.5</v>
      </c>
      <c r="F231" s="8">
        <v>166.1</v>
      </c>
      <c r="G231" s="87">
        <f t="shared" si="232"/>
        <v>856.1</v>
      </c>
      <c r="H231" s="87">
        <f t="shared" si="233"/>
        <v>856.1</v>
      </c>
      <c r="I231" s="91">
        <v>0</v>
      </c>
      <c r="J231" s="112">
        <v>0</v>
      </c>
      <c r="K231" s="17">
        <v>0</v>
      </c>
      <c r="L231" s="112">
        <f t="shared" si="266"/>
        <v>0</v>
      </c>
      <c r="M231" s="116">
        <v>3.4064228064026172</v>
      </c>
      <c r="N231" s="120">
        <f t="shared" si="267"/>
        <v>856.1</v>
      </c>
      <c r="O231" s="116">
        <v>2.6059548078046504</v>
      </c>
      <c r="P231" s="120">
        <f t="shared" si="268"/>
        <v>856.1</v>
      </c>
      <c r="Q231" s="116">
        <v>0</v>
      </c>
      <c r="R231" s="120">
        <f t="shared" si="269"/>
        <v>0</v>
      </c>
      <c r="S231" s="5" t="s">
        <v>310</v>
      </c>
      <c r="T231" s="87">
        <v>19.37</v>
      </c>
      <c r="U231" s="88">
        <v>2.86</v>
      </c>
      <c r="V231" s="88">
        <v>3.7399999999999998</v>
      </c>
      <c r="W231" s="88">
        <v>6.5</v>
      </c>
      <c r="X231" s="88">
        <v>4</v>
      </c>
      <c r="Y231" s="88">
        <v>2.0499999999999998</v>
      </c>
      <c r="Z231" s="88">
        <v>0</v>
      </c>
      <c r="AA231" s="88">
        <v>0</v>
      </c>
      <c r="AB231" s="88">
        <v>0.22</v>
      </c>
      <c r="AC231" s="257"/>
      <c r="AD231" s="110">
        <f t="shared" si="270"/>
        <v>53751.943278584797</v>
      </c>
      <c r="AE231" s="110">
        <f t="shared" si="271"/>
        <v>53511.454464606424</v>
      </c>
      <c r="AF231" s="16">
        <f>SUMIF('20.01'!$I:$I,$B:$B,'20.01'!$D:$D)*1.2</f>
        <v>38737.379999999997</v>
      </c>
      <c r="AG231" s="17">
        <f t="shared" si="304"/>
        <v>2329.5548060818455</v>
      </c>
      <c r="AH231" s="17">
        <f t="shared" si="272"/>
        <v>653.71710115141559</v>
      </c>
      <c r="AI231" s="16">
        <f>SUMIF('20.01'!$J:$J,$B:$B,'20.01'!$D:$D)*1.2</f>
        <v>0</v>
      </c>
      <c r="AJ231" s="17">
        <f t="shared" si="273"/>
        <v>265.6559329610032</v>
      </c>
      <c r="AK231" s="17">
        <f t="shared" si="274"/>
        <v>646.2818681778449</v>
      </c>
      <c r="AL231" s="17">
        <f t="shared" si="275"/>
        <v>10878.864756234319</v>
      </c>
      <c r="AM231" s="110">
        <f t="shared" si="276"/>
        <v>0</v>
      </c>
      <c r="AN231" s="17">
        <f>SUMIF('20.01'!$K:$K,$B:$B,'20.01'!$D:$D)*1.2</f>
        <v>0</v>
      </c>
      <c r="AO231" s="17">
        <f>SUMIF('20.01'!$L:$L,$B:$B,'20.01'!$D:$D)*1.2</f>
        <v>0</v>
      </c>
      <c r="AP231" s="17">
        <f>SUMIF('20.01'!$M:$M,$B:$B,'20.01'!$D:$D)*1.2</f>
        <v>0</v>
      </c>
      <c r="AQ231" s="110">
        <f t="shared" si="277"/>
        <v>240.48881397837343</v>
      </c>
      <c r="AR231" s="17">
        <f t="shared" si="278"/>
        <v>240.48881397837343</v>
      </c>
      <c r="AS231" s="17">
        <f>(SUMIF('20.01'!$N:$N,$B:$B,'20.01'!$D:$D)+SUMIF('20.01'!$O:$O,$B:$B,'20.01'!$D:$D))*1.2</f>
        <v>0</v>
      </c>
      <c r="AT231" s="110">
        <f>SUMIF('20.01'!$P:$P,$B:$B,'20.01'!$D:$D)*1.2</f>
        <v>0</v>
      </c>
      <c r="AU231" s="110">
        <f t="shared" si="279"/>
        <v>0</v>
      </c>
      <c r="AV231" s="17">
        <f>SUMIF('20.01'!$Q:$Q,$B:$B,'20.01'!$D:$D)*1.2</f>
        <v>0</v>
      </c>
      <c r="AW231" s="17">
        <f>SUMIF('20.01'!$R:$R,$B:$B,'20.01'!$D:$D)*1.2</f>
        <v>0</v>
      </c>
      <c r="AX231" s="110">
        <f t="shared" si="280"/>
        <v>0</v>
      </c>
      <c r="AY231" s="17">
        <f>SUMIF('20.01'!$S:$S,$B:$B,'20.01'!$D:$D)*1.2</f>
        <v>0</v>
      </c>
      <c r="AZ231" s="17">
        <f>SUMIF('20.01'!$T:$T,$B:$B,'20.01'!$D:$D)*1.2</f>
        <v>0</v>
      </c>
      <c r="BA231" s="110">
        <f t="shared" si="281"/>
        <v>0</v>
      </c>
      <c r="BB231" s="17">
        <f>SUMIF('20.01'!$U:$U,$B:$B,'20.01'!$D:$D)*1.2</f>
        <v>0</v>
      </c>
      <c r="BC231" s="17">
        <f>SUMIF('20.01'!$V:$V,$B:$B,'20.01'!$D:$D)*1.2</f>
        <v>0</v>
      </c>
      <c r="BD231" s="17">
        <f>SUMIF('20.01'!$W:$W,$B:$B,'20.01'!$D:$D)*1.2</f>
        <v>0</v>
      </c>
      <c r="BE231" s="110">
        <f>SUMIF('20.01'!$X:$X,$B:$B,'20.01'!$D:$D)*1.2</f>
        <v>0</v>
      </c>
      <c r="BF231" s="110">
        <f t="shared" si="282"/>
        <v>0</v>
      </c>
      <c r="BG231" s="17">
        <f>SUMIF('20.01'!$Y:$Y,$B:$B,'20.01'!$D:$D)*1.2</f>
        <v>0</v>
      </c>
      <c r="BH231" s="17">
        <f>SUMIF('20.01'!$Z:$Z,$B:$B,'20.01'!$D:$D)*1.2</f>
        <v>0</v>
      </c>
      <c r="BI231" s="17">
        <f>SUMIF('20.01'!$AA:$AA,$B:$B,'20.01'!$D:$D)*1.2</f>
        <v>0</v>
      </c>
      <c r="BJ231" s="17">
        <f>SUMIF('20.01'!$AB:$AB,$B:$B,'20.01'!$D:$D)*1.2</f>
        <v>0</v>
      </c>
      <c r="BK231" s="17">
        <f>SUMIF('20.01'!$AC:$AC,$B:$B,'20.01'!$D:$D)*1.2</f>
        <v>0</v>
      </c>
      <c r="BL231" s="17">
        <f>SUMIF('20.01'!$AD:$AD,$B:$B,'20.01'!$D:$D)*1.2</f>
        <v>0</v>
      </c>
      <c r="BM231" s="110">
        <f t="shared" si="283"/>
        <v>0</v>
      </c>
      <c r="BN231" s="17">
        <f>SUMIF('20.01'!$AE:$AE,$B:$B,'20.01'!$D:$D)*1.2</f>
        <v>0</v>
      </c>
      <c r="BO231" s="17">
        <f>SUMIF('20.01'!$AF:$AF,$B:$B,'20.01'!$D:$D)*1.2</f>
        <v>0</v>
      </c>
      <c r="BP231" s="110">
        <f>SUMIF('20.01'!$AG:$AG,$B:$B,'20.01'!$D:$D)*1.2</f>
        <v>0</v>
      </c>
      <c r="BQ231" s="110">
        <f>SUMIF('20.01'!$AH:$AH,$B:$B,'20.01'!$D:$D)*1.2</f>
        <v>0</v>
      </c>
      <c r="BR231" s="110">
        <f>SUMIF('20.01'!$AI:$AI,$B:$B,'20.01'!$D:$D)*1.2</f>
        <v>0</v>
      </c>
      <c r="BS231" s="110">
        <f t="shared" si="284"/>
        <v>0</v>
      </c>
      <c r="BT231" s="17">
        <f>SUMIF('20.01'!$AJ:$AJ,$B:$B,'20.01'!$D:$D)*1.2</f>
        <v>0</v>
      </c>
      <c r="BU231" s="17">
        <f>SUMIF('20.01'!$AK:$AK,$B:$B,'20.01'!$D:$D)*1.2</f>
        <v>0</v>
      </c>
      <c r="BV231" s="110">
        <f>SUMIF('20.01'!$AL:$AL,$B:$B,'20.01'!$D:$D)*1.2</f>
        <v>0</v>
      </c>
      <c r="BW231" s="110">
        <f>SUMIF('20.01'!$AM:$AM,$B:$B,'20.01'!$D:$D)*1.2</f>
        <v>0</v>
      </c>
      <c r="BX231" s="110">
        <f>SUMIF('20.01'!$AN:$AN,$B:$B,'20.01'!$D:$D)*1.2</f>
        <v>0</v>
      </c>
      <c r="BY231" s="110">
        <f t="shared" si="234"/>
        <v>160784.42051867556</v>
      </c>
      <c r="BZ231" s="17">
        <f t="shared" si="303"/>
        <v>116083.54288046209</v>
      </c>
      <c r="CA231" s="17">
        <f t="shared" si="235"/>
        <v>5309.7726072772211</v>
      </c>
      <c r="CB231" s="17">
        <f t="shared" si="236"/>
        <v>352.96648830522639</v>
      </c>
      <c r="CC231" s="17">
        <f>SUMIF('20.01'!$AO:$AO,$B:$B,'20.01'!$D:$D)*1.2</f>
        <v>0</v>
      </c>
      <c r="CD231" s="17">
        <f t="shared" si="237"/>
        <v>5541.2153756429589</v>
      </c>
      <c r="CE231" s="17">
        <f>SUMIF('20.01'!$AQ:$AQ,$B:$B,'20.01'!$D:$D)*1.2</f>
        <v>0</v>
      </c>
      <c r="CF231" s="17">
        <f t="shared" si="238"/>
        <v>504.16300383394235</v>
      </c>
      <c r="CG231" s="17">
        <f>SUMIF('20.01'!$AR:$AR,$B:$B,'20.01'!$D:$D)*1.2</f>
        <v>32401.907999999999</v>
      </c>
      <c r="CH231" s="17">
        <f t="shared" si="239"/>
        <v>296.91542658010428</v>
      </c>
      <c r="CI231" s="17">
        <f>SUMIF('20.01'!$AT:$AT,$B:$B,'20.01'!$D:$D)*1.2</f>
        <v>0</v>
      </c>
      <c r="CJ231" s="17">
        <f>SUMIF('20.01'!$AU:$AU,$B:$B,'20.01'!$D:$D)*1.2</f>
        <v>0</v>
      </c>
      <c r="CK231" s="17">
        <f>SUMIF('20.01'!$AV:$AV,$B:$B,'20.01'!$D:$D)*1.2</f>
        <v>0</v>
      </c>
      <c r="CL231" s="17">
        <f t="shared" si="240"/>
        <v>293.93673657401973</v>
      </c>
      <c r="CM231" s="17">
        <f>SUMIF('20.01'!$AW:$AW,$B:$B,'20.01'!$D:$D)*1.2</f>
        <v>0</v>
      </c>
      <c r="CN231" s="17">
        <f>SUMIF('20.01'!$AX:$AX,$B:$B,'20.01'!$D:$D)*1.2</f>
        <v>0</v>
      </c>
      <c r="CO231" s="110">
        <f t="shared" si="285"/>
        <v>98604.43528049931</v>
      </c>
      <c r="CP231" s="17">
        <f t="shared" si="286"/>
        <v>77783.258575343512</v>
      </c>
      <c r="CQ231" s="17">
        <f t="shared" si="241"/>
        <v>23997.205540198156</v>
      </c>
      <c r="CR231" s="17">
        <f t="shared" si="242"/>
        <v>53786.053035145356</v>
      </c>
      <c r="CS231" s="17">
        <f t="shared" si="287"/>
        <v>20821.176705155805</v>
      </c>
      <c r="CT231" s="17">
        <f t="shared" si="243"/>
        <v>758.53373224252039</v>
      </c>
      <c r="CU231" s="17">
        <f t="shared" si="244"/>
        <v>733.67923480440163</v>
      </c>
      <c r="CV231" s="17">
        <f t="shared" si="245"/>
        <v>758.27352450070191</v>
      </c>
      <c r="CW231" s="17">
        <f t="shared" si="246"/>
        <v>7.9513327974302461</v>
      </c>
      <c r="CX231" s="17">
        <f t="shared" si="247"/>
        <v>11196.275978568008</v>
      </c>
      <c r="CY231" s="17">
        <f t="shared" si="248"/>
        <v>7366.4629022427434</v>
      </c>
      <c r="CZ231" s="110">
        <f t="shared" si="288"/>
        <v>24476.202218056045</v>
      </c>
      <c r="DA231" s="17">
        <f t="shared" si="289"/>
        <v>924.57358109654035</v>
      </c>
      <c r="DB231" s="17">
        <f t="shared" si="249"/>
        <v>877.3864126833198</v>
      </c>
      <c r="DC231" s="17">
        <f t="shared" si="250"/>
        <v>47.187168413220562</v>
      </c>
      <c r="DD231" s="17">
        <f t="shared" si="251"/>
        <v>1629.2047063299992</v>
      </c>
      <c r="DE231" s="17">
        <f t="shared" si="252"/>
        <v>562.11855278376891</v>
      </c>
      <c r="DF231" s="17">
        <f t="shared" si="253"/>
        <v>682.2091754803422</v>
      </c>
      <c r="DG231" s="17">
        <f t="shared" si="290"/>
        <v>20678.096202365396</v>
      </c>
      <c r="DH231" s="110">
        <f t="shared" si="291"/>
        <v>15275.062197120735</v>
      </c>
      <c r="DI231" s="17">
        <f t="shared" si="254"/>
        <v>13702.353589774842</v>
      </c>
      <c r="DJ231" s="17">
        <f t="shared" si="255"/>
        <v>1515.399791308037</v>
      </c>
      <c r="DK231" s="17">
        <f t="shared" si="256"/>
        <v>57.30881603785636</v>
      </c>
      <c r="DL231" s="110">
        <f t="shared" si="292"/>
        <v>90810.802625188779</v>
      </c>
      <c r="DM231" s="17">
        <f t="shared" si="257"/>
        <v>48129.725391350046</v>
      </c>
      <c r="DN231" s="17">
        <f t="shared" si="258"/>
        <v>42681.077233838725</v>
      </c>
      <c r="DO231" s="17">
        <f t="shared" si="259"/>
        <v>0</v>
      </c>
      <c r="DP231" s="110">
        <f t="shared" si="293"/>
        <v>0</v>
      </c>
      <c r="DQ231" s="17">
        <f>SUMIF('20.01'!$BB:$BB,$B:$B,'20.01'!$D:$D)*1.2</f>
        <v>0</v>
      </c>
      <c r="DR231" s="17">
        <f t="shared" si="260"/>
        <v>0</v>
      </c>
      <c r="DS231" s="17">
        <f t="shared" si="261"/>
        <v>0</v>
      </c>
      <c r="DT231" s="110">
        <f t="shared" si="294"/>
        <v>3887.8439999999996</v>
      </c>
      <c r="DU231" s="17">
        <f>SUMIF('20.01'!$BD:$BD,$B:$B,'20.01'!$D:$D)*1.2</f>
        <v>3887.8439999999996</v>
      </c>
      <c r="DV231" s="17">
        <f t="shared" si="262"/>
        <v>0</v>
      </c>
      <c r="DW231" s="17">
        <f t="shared" si="263"/>
        <v>0</v>
      </c>
      <c r="DX231" s="110">
        <f t="shared" si="264"/>
        <v>447590.71011812519</v>
      </c>
      <c r="DY231" s="110"/>
      <c r="DZ231" s="110">
        <f t="shared" si="295"/>
        <v>447590.71011812519</v>
      </c>
      <c r="EA231" s="257"/>
      <c r="EB231" s="110">
        <f t="shared" si="265"/>
        <v>0</v>
      </c>
      <c r="EC231" s="110">
        <f>SUMIF(еирц!$B:$B,$B:$B,еирц!$K:$K)</f>
        <v>179118.48</v>
      </c>
      <c r="ED231" s="110">
        <f>SUMIF(еирц!$B:$B,$B:$B,еирц!$P:$P)</f>
        <v>148425.78</v>
      </c>
      <c r="EE231" s="110">
        <f>SUMIF(еирц!$B:$B,$B:$B,еирц!$S:$S)</f>
        <v>112802.5</v>
      </c>
      <c r="EF231" s="177">
        <f t="shared" si="296"/>
        <v>-268472.23011812521</v>
      </c>
      <c r="EG231" s="181">
        <f t="shared" si="297"/>
        <v>0</v>
      </c>
      <c r="EH231" s="177">
        <f t="shared" si="298"/>
        <v>-268472.23011812521</v>
      </c>
    </row>
    <row r="232" spans="1:138" s="24" customFormat="1" ht="12" customHeight="1" x14ac:dyDescent="0.25">
      <c r="A232" s="5">
        <f t="shared" si="299"/>
        <v>228</v>
      </c>
      <c r="B232" s="6" t="s">
        <v>318</v>
      </c>
      <c r="C232" s="7">
        <f t="shared" si="300"/>
        <v>769.27</v>
      </c>
      <c r="D232" s="8">
        <v>769.27</v>
      </c>
      <c r="E232" s="8">
        <v>0</v>
      </c>
      <c r="F232" s="8">
        <v>126.6</v>
      </c>
      <c r="G232" s="87">
        <f t="shared" si="232"/>
        <v>769.27</v>
      </c>
      <c r="H232" s="87">
        <f t="shared" si="233"/>
        <v>769.27</v>
      </c>
      <c r="I232" s="91">
        <v>0</v>
      </c>
      <c r="J232" s="112">
        <v>0</v>
      </c>
      <c r="K232" s="17">
        <v>0</v>
      </c>
      <c r="L232" s="112">
        <f t="shared" si="266"/>
        <v>0</v>
      </c>
      <c r="M232" s="116">
        <v>3.4064177668877975</v>
      </c>
      <c r="N232" s="120">
        <f t="shared" si="267"/>
        <v>769.27</v>
      </c>
      <c r="O232" s="116">
        <v>2.605947945312602</v>
      </c>
      <c r="P232" s="120">
        <f t="shared" si="268"/>
        <v>769.27</v>
      </c>
      <c r="Q232" s="116">
        <v>0</v>
      </c>
      <c r="R232" s="120">
        <f t="shared" si="269"/>
        <v>0</v>
      </c>
      <c r="S232" s="5" t="s">
        <v>310</v>
      </c>
      <c r="T232" s="87">
        <v>19.37</v>
      </c>
      <c r="U232" s="88">
        <v>2.86</v>
      </c>
      <c r="V232" s="88">
        <v>3.7399999999999998</v>
      </c>
      <c r="W232" s="88">
        <v>6.5</v>
      </c>
      <c r="X232" s="88">
        <v>4</v>
      </c>
      <c r="Y232" s="88">
        <v>2.0499999999999998</v>
      </c>
      <c r="Z232" s="88">
        <v>0</v>
      </c>
      <c r="AA232" s="88">
        <v>0</v>
      </c>
      <c r="AB232" s="88">
        <v>0.22</v>
      </c>
      <c r="AC232" s="257"/>
      <c r="AD232" s="110">
        <f t="shared" si="270"/>
        <v>17389.93418960043</v>
      </c>
      <c r="AE232" s="110">
        <f t="shared" si="271"/>
        <v>17173.836969732256</v>
      </c>
      <c r="AF232" s="16">
        <f>SUMIF('20.01'!$I:$I,$B:$B,'20.01'!$D:$D)*1.2</f>
        <v>3898.2239999999997</v>
      </c>
      <c r="AG232" s="17">
        <f t="shared" si="304"/>
        <v>2093.279553410327</v>
      </c>
      <c r="AH232" s="17">
        <f t="shared" si="272"/>
        <v>587.4138002601909</v>
      </c>
      <c r="AI232" s="16">
        <f>SUMIF('20.01'!$J:$J,$B:$B,'20.01'!$D:$D)*1.2</f>
        <v>0</v>
      </c>
      <c r="AJ232" s="17">
        <f t="shared" si="273"/>
        <v>238.71176211763921</v>
      </c>
      <c r="AK232" s="17">
        <f t="shared" si="274"/>
        <v>580.73268629035238</v>
      </c>
      <c r="AL232" s="17">
        <f t="shared" si="275"/>
        <v>9775.4751676537489</v>
      </c>
      <c r="AM232" s="110">
        <f t="shared" si="276"/>
        <v>0</v>
      </c>
      <c r="AN232" s="17">
        <f>SUMIF('20.01'!$K:$K,$B:$B,'20.01'!$D:$D)*1.2</f>
        <v>0</v>
      </c>
      <c r="AO232" s="17">
        <f>SUMIF('20.01'!$L:$L,$B:$B,'20.01'!$D:$D)*1.2</f>
        <v>0</v>
      </c>
      <c r="AP232" s="17">
        <f>SUMIF('20.01'!$M:$M,$B:$B,'20.01'!$D:$D)*1.2</f>
        <v>0</v>
      </c>
      <c r="AQ232" s="110">
        <f t="shared" si="277"/>
        <v>216.09721986817348</v>
      </c>
      <c r="AR232" s="17">
        <f t="shared" si="278"/>
        <v>216.09721986817348</v>
      </c>
      <c r="AS232" s="17">
        <f>(SUMIF('20.01'!$N:$N,$B:$B,'20.01'!$D:$D)+SUMIF('20.01'!$O:$O,$B:$B,'20.01'!$D:$D))*1.2</f>
        <v>0</v>
      </c>
      <c r="AT232" s="110">
        <f>SUMIF('20.01'!$P:$P,$B:$B,'20.01'!$D:$D)*1.2</f>
        <v>0</v>
      </c>
      <c r="AU232" s="110">
        <f t="shared" si="279"/>
        <v>0</v>
      </c>
      <c r="AV232" s="17">
        <f>SUMIF('20.01'!$Q:$Q,$B:$B,'20.01'!$D:$D)*1.2</f>
        <v>0</v>
      </c>
      <c r="AW232" s="17">
        <f>SUMIF('20.01'!$R:$R,$B:$B,'20.01'!$D:$D)*1.2</f>
        <v>0</v>
      </c>
      <c r="AX232" s="110">
        <f t="shared" si="280"/>
        <v>0</v>
      </c>
      <c r="AY232" s="17">
        <f>SUMIF('20.01'!$S:$S,$B:$B,'20.01'!$D:$D)*1.2</f>
        <v>0</v>
      </c>
      <c r="AZ232" s="17">
        <f>SUMIF('20.01'!$T:$T,$B:$B,'20.01'!$D:$D)*1.2</f>
        <v>0</v>
      </c>
      <c r="BA232" s="110">
        <f t="shared" si="281"/>
        <v>0</v>
      </c>
      <c r="BB232" s="17">
        <f>SUMIF('20.01'!$U:$U,$B:$B,'20.01'!$D:$D)*1.2</f>
        <v>0</v>
      </c>
      <c r="BC232" s="17">
        <f>SUMIF('20.01'!$V:$V,$B:$B,'20.01'!$D:$D)*1.2</f>
        <v>0</v>
      </c>
      <c r="BD232" s="17">
        <f>SUMIF('20.01'!$W:$W,$B:$B,'20.01'!$D:$D)*1.2</f>
        <v>0</v>
      </c>
      <c r="BE232" s="110">
        <f>SUMIF('20.01'!$X:$X,$B:$B,'20.01'!$D:$D)*1.2</f>
        <v>0</v>
      </c>
      <c r="BF232" s="110">
        <f t="shared" si="282"/>
        <v>0</v>
      </c>
      <c r="BG232" s="17">
        <f>SUMIF('20.01'!$Y:$Y,$B:$B,'20.01'!$D:$D)*1.2</f>
        <v>0</v>
      </c>
      <c r="BH232" s="17">
        <f>SUMIF('20.01'!$Z:$Z,$B:$B,'20.01'!$D:$D)*1.2</f>
        <v>0</v>
      </c>
      <c r="BI232" s="17">
        <f>SUMIF('20.01'!$AA:$AA,$B:$B,'20.01'!$D:$D)*1.2</f>
        <v>0</v>
      </c>
      <c r="BJ232" s="17">
        <f>SUMIF('20.01'!$AB:$AB,$B:$B,'20.01'!$D:$D)*1.2</f>
        <v>0</v>
      </c>
      <c r="BK232" s="17">
        <f>SUMIF('20.01'!$AC:$AC,$B:$B,'20.01'!$D:$D)*1.2</f>
        <v>0</v>
      </c>
      <c r="BL232" s="17">
        <f>SUMIF('20.01'!$AD:$AD,$B:$B,'20.01'!$D:$D)*1.2</f>
        <v>0</v>
      </c>
      <c r="BM232" s="110">
        <f t="shared" si="283"/>
        <v>0</v>
      </c>
      <c r="BN232" s="17">
        <f>SUMIF('20.01'!$AE:$AE,$B:$B,'20.01'!$D:$D)*1.2</f>
        <v>0</v>
      </c>
      <c r="BO232" s="17">
        <f>SUMIF('20.01'!$AF:$AF,$B:$B,'20.01'!$D:$D)*1.2</f>
        <v>0</v>
      </c>
      <c r="BP232" s="110">
        <f>SUMIF('20.01'!$AG:$AG,$B:$B,'20.01'!$D:$D)*1.2</f>
        <v>0</v>
      </c>
      <c r="BQ232" s="110">
        <f>SUMIF('20.01'!$AH:$AH,$B:$B,'20.01'!$D:$D)*1.2</f>
        <v>0</v>
      </c>
      <c r="BR232" s="110">
        <f>SUMIF('20.01'!$AI:$AI,$B:$B,'20.01'!$D:$D)*1.2</f>
        <v>0</v>
      </c>
      <c r="BS232" s="110">
        <f t="shared" si="284"/>
        <v>0</v>
      </c>
      <c r="BT232" s="17">
        <f>SUMIF('20.01'!$AJ:$AJ,$B:$B,'20.01'!$D:$D)*1.2</f>
        <v>0</v>
      </c>
      <c r="BU232" s="17">
        <f>SUMIF('20.01'!$AK:$AK,$B:$B,'20.01'!$D:$D)*1.2</f>
        <v>0</v>
      </c>
      <c r="BV232" s="110">
        <f>SUMIF('20.01'!$AL:$AL,$B:$B,'20.01'!$D:$D)*1.2</f>
        <v>0</v>
      </c>
      <c r="BW232" s="110">
        <f>SUMIF('20.01'!$AM:$AM,$B:$B,'20.01'!$D:$D)*1.2</f>
        <v>0</v>
      </c>
      <c r="BX232" s="110">
        <f>SUMIF('20.01'!$AN:$AN,$B:$B,'20.01'!$D:$D)*1.2</f>
        <v>0</v>
      </c>
      <c r="BY232" s="110">
        <f t="shared" si="234"/>
        <v>115361.30756365092</v>
      </c>
      <c r="BZ232" s="17">
        <f t="shared" si="303"/>
        <v>104309.76174705416</v>
      </c>
      <c r="CA232" s="17">
        <f t="shared" si="235"/>
        <v>4771.2285639529819</v>
      </c>
      <c r="CB232" s="17">
        <f t="shared" si="236"/>
        <v>317.16683852185668</v>
      </c>
      <c r="CC232" s="17">
        <f>SUMIF('20.01'!$AO:$AO,$B:$B,'20.01'!$D:$D)*1.2</f>
        <v>0</v>
      </c>
      <c r="CD232" s="17">
        <f t="shared" si="237"/>
        <v>4979.1972339923595</v>
      </c>
      <c r="CE232" s="17">
        <f>SUMIF('20.01'!$AQ:$AQ,$B:$B,'20.01'!$D:$D)*1.2</f>
        <v>0</v>
      </c>
      <c r="CF232" s="17">
        <f t="shared" si="238"/>
        <v>453.02823730795097</v>
      </c>
      <c r="CG232" s="17">
        <f>SUMIF('20.01'!$AR:$AR,$B:$B,'20.01'!$D:$D)*1.2</f>
        <v>0</v>
      </c>
      <c r="CH232" s="17">
        <f t="shared" si="239"/>
        <v>266.80075949687745</v>
      </c>
      <c r="CI232" s="17">
        <f>SUMIF('20.01'!$AT:$AT,$B:$B,'20.01'!$D:$D)*1.2</f>
        <v>0</v>
      </c>
      <c r="CJ232" s="17">
        <f>SUMIF('20.01'!$AU:$AU,$B:$B,'20.01'!$D:$D)*1.2</f>
        <v>0</v>
      </c>
      <c r="CK232" s="17">
        <f>SUMIF('20.01'!$AV:$AV,$B:$B,'20.01'!$D:$D)*1.2</f>
        <v>0</v>
      </c>
      <c r="CL232" s="17">
        <f t="shared" si="240"/>
        <v>264.1241833247239</v>
      </c>
      <c r="CM232" s="17">
        <f>SUMIF('20.01'!$AW:$AW,$B:$B,'20.01'!$D:$D)*1.2</f>
        <v>0</v>
      </c>
      <c r="CN232" s="17">
        <f>SUMIF('20.01'!$AX:$AX,$B:$B,'20.01'!$D:$D)*1.2</f>
        <v>0</v>
      </c>
      <c r="CO232" s="110">
        <f t="shared" si="285"/>
        <v>88603.473809402771</v>
      </c>
      <c r="CP232" s="17">
        <f t="shared" si="286"/>
        <v>69894.086350022786</v>
      </c>
      <c r="CQ232" s="17">
        <f t="shared" si="241"/>
        <v>21563.287356510027</v>
      </c>
      <c r="CR232" s="17">
        <f t="shared" si="242"/>
        <v>48330.798993512755</v>
      </c>
      <c r="CS232" s="17">
        <f t="shared" si="287"/>
        <v>18709.387459379985</v>
      </c>
      <c r="CT232" s="17">
        <f t="shared" si="243"/>
        <v>681.59939750286605</v>
      </c>
      <c r="CU232" s="17">
        <f t="shared" si="244"/>
        <v>659.26576913676206</v>
      </c>
      <c r="CV232" s="17">
        <f t="shared" si="245"/>
        <v>681.36558134873837</v>
      </c>
      <c r="CW232" s="17">
        <f t="shared" si="246"/>
        <v>7.1448683343992121</v>
      </c>
      <c r="CX232" s="17">
        <f t="shared" si="247"/>
        <v>10060.692935443301</v>
      </c>
      <c r="CY232" s="17">
        <f t="shared" si="248"/>
        <v>6619.3189076139179</v>
      </c>
      <c r="CZ232" s="110">
        <f t="shared" si="288"/>
        <v>21993.701764144345</v>
      </c>
      <c r="DA232" s="17">
        <f t="shared" si="289"/>
        <v>830.79864353479218</v>
      </c>
      <c r="DB232" s="17">
        <f t="shared" si="249"/>
        <v>788.39743684721111</v>
      </c>
      <c r="DC232" s="17">
        <f t="shared" si="250"/>
        <v>42.401206687581094</v>
      </c>
      <c r="DD232" s="17">
        <f t="shared" si="251"/>
        <v>1463.9625095648621</v>
      </c>
      <c r="DE232" s="17">
        <f t="shared" si="252"/>
        <v>505.10564081295394</v>
      </c>
      <c r="DF232" s="17">
        <f t="shared" si="253"/>
        <v>613.01606403663448</v>
      </c>
      <c r="DG232" s="17">
        <f t="shared" si="290"/>
        <v>18580.818906195102</v>
      </c>
      <c r="DH232" s="110">
        <f t="shared" si="291"/>
        <v>13725.787987827436</v>
      </c>
      <c r="DI232" s="17">
        <f t="shared" si="254"/>
        <v>12312.591456612652</v>
      </c>
      <c r="DJ232" s="17">
        <f t="shared" si="255"/>
        <v>1361.7002656927154</v>
      </c>
      <c r="DK232" s="17">
        <f t="shared" si="256"/>
        <v>51.49626552206724</v>
      </c>
      <c r="DL232" s="110">
        <f t="shared" si="292"/>
        <v>81600.31086961682</v>
      </c>
      <c r="DM232" s="17">
        <f t="shared" si="257"/>
        <v>43248.164760896914</v>
      </c>
      <c r="DN232" s="17">
        <f t="shared" si="258"/>
        <v>38352.146108719906</v>
      </c>
      <c r="DO232" s="17">
        <f t="shared" si="259"/>
        <v>0</v>
      </c>
      <c r="DP232" s="110">
        <f t="shared" si="293"/>
        <v>0</v>
      </c>
      <c r="DQ232" s="17">
        <f>SUMIF('20.01'!$BB:$BB,$B:$B,'20.01'!$D:$D)*1.2</f>
        <v>0</v>
      </c>
      <c r="DR232" s="17">
        <f t="shared" si="260"/>
        <v>0</v>
      </c>
      <c r="DS232" s="17">
        <f t="shared" si="261"/>
        <v>0</v>
      </c>
      <c r="DT232" s="110">
        <f t="shared" si="294"/>
        <v>1517.1959999999999</v>
      </c>
      <c r="DU232" s="17">
        <f>SUMIF('20.01'!$BD:$BD,$B:$B,'20.01'!$D:$D)*1.2</f>
        <v>1517.1959999999999</v>
      </c>
      <c r="DV232" s="17">
        <f t="shared" si="262"/>
        <v>0</v>
      </c>
      <c r="DW232" s="17">
        <f t="shared" si="263"/>
        <v>0</v>
      </c>
      <c r="DX232" s="110">
        <f t="shared" si="264"/>
        <v>340191.71218424273</v>
      </c>
      <c r="DY232" s="110"/>
      <c r="DZ232" s="110">
        <f t="shared" si="295"/>
        <v>340191.71218424273</v>
      </c>
      <c r="EA232" s="257"/>
      <c r="EB232" s="110">
        <f t="shared" si="265"/>
        <v>0</v>
      </c>
      <c r="EC232" s="110">
        <f>SUMIF(еирц!$B:$B,$B:$B,еирц!$K:$K)</f>
        <v>178809.13</v>
      </c>
      <c r="ED232" s="110">
        <f>SUMIF(еирц!$B:$B,$B:$B,еирц!$P:$P)</f>
        <v>128888.18</v>
      </c>
      <c r="EE232" s="110">
        <f>SUMIF(еирц!$B:$B,$B:$B,еирц!$S:$S)</f>
        <v>101356.17</v>
      </c>
      <c r="EF232" s="177">
        <f t="shared" si="296"/>
        <v>-161382.58218424272</v>
      </c>
      <c r="EG232" s="181">
        <f t="shared" si="297"/>
        <v>0</v>
      </c>
      <c r="EH232" s="177">
        <f t="shared" si="298"/>
        <v>-161382.58218424272</v>
      </c>
    </row>
    <row r="233" spans="1:138" s="24" customFormat="1" ht="12" customHeight="1" x14ac:dyDescent="0.25">
      <c r="A233" s="5">
        <f t="shared" si="299"/>
        <v>229</v>
      </c>
      <c r="B233" s="6" t="s">
        <v>319</v>
      </c>
      <c r="C233" s="7">
        <f t="shared" si="300"/>
        <v>894.63</v>
      </c>
      <c r="D233" s="8">
        <v>894.63</v>
      </c>
      <c r="E233" s="8">
        <v>0</v>
      </c>
      <c r="F233" s="8">
        <v>129.9</v>
      </c>
      <c r="G233" s="87">
        <f t="shared" si="232"/>
        <v>894.63</v>
      </c>
      <c r="H233" s="87">
        <f t="shared" si="233"/>
        <v>894.63</v>
      </c>
      <c r="I233" s="91">
        <v>0</v>
      </c>
      <c r="J233" s="112">
        <v>0</v>
      </c>
      <c r="K233" s="17">
        <v>0</v>
      </c>
      <c r="L233" s="112">
        <f t="shared" si="266"/>
        <v>0</v>
      </c>
      <c r="M233" s="116">
        <v>3.4064225009844185</v>
      </c>
      <c r="N233" s="120">
        <f t="shared" si="267"/>
        <v>894.63</v>
      </c>
      <c r="O233" s="116">
        <v>2.6059485402486358</v>
      </c>
      <c r="P233" s="120">
        <f t="shared" si="268"/>
        <v>894.63</v>
      </c>
      <c r="Q233" s="116">
        <v>0</v>
      </c>
      <c r="R233" s="120">
        <f t="shared" si="269"/>
        <v>0</v>
      </c>
      <c r="S233" s="5" t="s">
        <v>310</v>
      </c>
      <c r="T233" s="87">
        <v>19.37</v>
      </c>
      <c r="U233" s="88">
        <v>2.86</v>
      </c>
      <c r="V233" s="88">
        <v>3.7399999999999998</v>
      </c>
      <c r="W233" s="88">
        <v>6.5</v>
      </c>
      <c r="X233" s="88">
        <v>4</v>
      </c>
      <c r="Y233" s="88">
        <v>2.0499999999999998</v>
      </c>
      <c r="Z233" s="88">
        <v>0</v>
      </c>
      <c r="AA233" s="88">
        <v>0</v>
      </c>
      <c r="AB233" s="88">
        <v>0.22</v>
      </c>
      <c r="AC233" s="257"/>
      <c r="AD233" s="110">
        <f t="shared" si="270"/>
        <v>47765.979086929467</v>
      </c>
      <c r="AE233" s="110">
        <f t="shared" si="271"/>
        <v>22518.726731305745</v>
      </c>
      <c r="AF233" s="16">
        <f>SUMIF('20.01'!$I:$I,$B:$B,'20.01'!$D:$D)*1.2</f>
        <v>7079.7240000000002</v>
      </c>
      <c r="AG233" s="17">
        <f t="shared" si="304"/>
        <v>2434.3997385410598</v>
      </c>
      <c r="AH233" s="17">
        <f t="shared" si="272"/>
        <v>683.13857049771161</v>
      </c>
      <c r="AI233" s="16">
        <f>SUMIF('20.01'!$J:$J,$B:$B,'20.01'!$D:$D)*1.2</f>
        <v>0</v>
      </c>
      <c r="AJ233" s="17">
        <f t="shared" si="273"/>
        <v>277.61215664630566</v>
      </c>
      <c r="AK233" s="17">
        <f t="shared" si="274"/>
        <v>675.36870427280144</v>
      </c>
      <c r="AL233" s="17">
        <f t="shared" si="275"/>
        <v>11368.483561347868</v>
      </c>
      <c r="AM233" s="110">
        <f t="shared" si="276"/>
        <v>0</v>
      </c>
      <c r="AN233" s="17">
        <f>SUMIF('20.01'!$K:$K,$B:$B,'20.01'!$D:$D)*1.2</f>
        <v>0</v>
      </c>
      <c r="AO233" s="17">
        <f>SUMIF('20.01'!$L:$L,$B:$B,'20.01'!$D:$D)*1.2</f>
        <v>0</v>
      </c>
      <c r="AP233" s="17">
        <f>SUMIF('20.01'!$M:$M,$B:$B,'20.01'!$D:$D)*1.2</f>
        <v>0</v>
      </c>
      <c r="AQ233" s="110">
        <f t="shared" si="277"/>
        <v>251.31235562372643</v>
      </c>
      <c r="AR233" s="17">
        <f t="shared" si="278"/>
        <v>251.31235562372643</v>
      </c>
      <c r="AS233" s="17">
        <f>(SUMIF('20.01'!$N:$N,$B:$B,'20.01'!$D:$D)+SUMIF('20.01'!$O:$O,$B:$B,'20.01'!$D:$D))*1.2</f>
        <v>0</v>
      </c>
      <c r="AT233" s="110">
        <f>SUMIF('20.01'!$P:$P,$B:$B,'20.01'!$D:$D)*1.2</f>
        <v>0</v>
      </c>
      <c r="AU233" s="110">
        <f t="shared" si="279"/>
        <v>0</v>
      </c>
      <c r="AV233" s="17">
        <f>SUMIF('20.01'!$Q:$Q,$B:$B,'20.01'!$D:$D)*1.2</f>
        <v>0</v>
      </c>
      <c r="AW233" s="17">
        <f>SUMIF('20.01'!$R:$R,$B:$B,'20.01'!$D:$D)*1.2</f>
        <v>0</v>
      </c>
      <c r="AX233" s="110">
        <f t="shared" si="280"/>
        <v>0</v>
      </c>
      <c r="AY233" s="17">
        <f>SUMIF('20.01'!$S:$S,$B:$B,'20.01'!$D:$D)*1.2</f>
        <v>0</v>
      </c>
      <c r="AZ233" s="17">
        <f>SUMIF('20.01'!$T:$T,$B:$B,'20.01'!$D:$D)*1.2</f>
        <v>0</v>
      </c>
      <c r="BA233" s="110">
        <f t="shared" si="281"/>
        <v>0</v>
      </c>
      <c r="BB233" s="17">
        <f>SUMIF('20.01'!$U:$U,$B:$B,'20.01'!$D:$D)*1.2</f>
        <v>0</v>
      </c>
      <c r="BC233" s="17">
        <f>SUMIF('20.01'!$V:$V,$B:$B,'20.01'!$D:$D)*1.2</f>
        <v>0</v>
      </c>
      <c r="BD233" s="17">
        <f>SUMIF('20.01'!$W:$W,$B:$B,'20.01'!$D:$D)*1.2</f>
        <v>0</v>
      </c>
      <c r="BE233" s="110">
        <f>SUMIF('20.01'!$X:$X,$B:$B,'20.01'!$D:$D)*1.2</f>
        <v>0</v>
      </c>
      <c r="BF233" s="110">
        <f t="shared" si="282"/>
        <v>0</v>
      </c>
      <c r="BG233" s="17">
        <f>SUMIF('20.01'!$Y:$Y,$B:$B,'20.01'!$D:$D)*1.2</f>
        <v>0</v>
      </c>
      <c r="BH233" s="17">
        <f>SUMIF('20.01'!$Z:$Z,$B:$B,'20.01'!$D:$D)*1.2</f>
        <v>0</v>
      </c>
      <c r="BI233" s="17">
        <f>SUMIF('20.01'!$AA:$AA,$B:$B,'20.01'!$D:$D)*1.2</f>
        <v>0</v>
      </c>
      <c r="BJ233" s="17">
        <f>SUMIF('20.01'!$AB:$AB,$B:$B,'20.01'!$D:$D)*1.2</f>
        <v>0</v>
      </c>
      <c r="BK233" s="17">
        <f>SUMIF('20.01'!$AC:$AC,$B:$B,'20.01'!$D:$D)*1.2</f>
        <v>0</v>
      </c>
      <c r="BL233" s="17">
        <f>SUMIF('20.01'!$AD:$AD,$B:$B,'20.01'!$D:$D)*1.2</f>
        <v>0</v>
      </c>
      <c r="BM233" s="110">
        <f t="shared" si="283"/>
        <v>0</v>
      </c>
      <c r="BN233" s="17">
        <f>SUMIF('20.01'!$AE:$AE,$B:$B,'20.01'!$D:$D)*1.2</f>
        <v>0</v>
      </c>
      <c r="BO233" s="17">
        <f>SUMIF('20.01'!$AF:$AF,$B:$B,'20.01'!$D:$D)*1.2</f>
        <v>0</v>
      </c>
      <c r="BP233" s="110">
        <f>SUMIF('20.01'!$AG:$AG,$B:$B,'20.01'!$D:$D)*1.2</f>
        <v>0</v>
      </c>
      <c r="BQ233" s="110">
        <f>SUMIF('20.01'!$AH:$AH,$B:$B,'20.01'!$D:$D)*1.2</f>
        <v>0</v>
      </c>
      <c r="BR233" s="110">
        <f>SUMIF('20.01'!$AI:$AI,$B:$B,'20.01'!$D:$D)*1.2</f>
        <v>0</v>
      </c>
      <c r="BS233" s="110">
        <f t="shared" si="284"/>
        <v>24995.94</v>
      </c>
      <c r="BT233" s="17">
        <f>SUMIF('20.01'!$AJ:$AJ,$B:$B,'20.01'!$D:$D)*1.2</f>
        <v>0</v>
      </c>
      <c r="BU233" s="17">
        <f>SUMIF('20.01'!$AK:$AK,$B:$B,'20.01'!$D:$D)*1.2</f>
        <v>24995.94</v>
      </c>
      <c r="BV233" s="110">
        <f>SUMIF('20.01'!$AL:$AL,$B:$B,'20.01'!$D:$D)*1.2</f>
        <v>0</v>
      </c>
      <c r="BW233" s="110">
        <f>SUMIF('20.01'!$AM:$AM,$B:$B,'20.01'!$D:$D)*1.2</f>
        <v>0</v>
      </c>
      <c r="BX233" s="110">
        <f>SUMIF('20.01'!$AN:$AN,$B:$B,'20.01'!$D:$D)*1.2</f>
        <v>0</v>
      </c>
      <c r="BY233" s="110">
        <f t="shared" si="234"/>
        <v>193139.06237330069</v>
      </c>
      <c r="BZ233" s="17">
        <f t="shared" si="303"/>
        <v>121308.04808684475</v>
      </c>
      <c r="CA233" s="17">
        <f t="shared" si="235"/>
        <v>5548.7464871491884</v>
      </c>
      <c r="CB233" s="17">
        <f t="shared" si="236"/>
        <v>368.85224790620805</v>
      </c>
      <c r="CC233" s="17">
        <f>SUMIF('20.01'!$AO:$AO,$B:$B,'20.01'!$D:$D)*1.2</f>
        <v>0</v>
      </c>
      <c r="CD233" s="17">
        <f t="shared" si="237"/>
        <v>5790.6056669915433</v>
      </c>
      <c r="CE233" s="17">
        <f>SUMIF('20.01'!$AQ:$AQ,$B:$B,'20.01'!$D:$D)*1.2</f>
        <v>0</v>
      </c>
      <c r="CF233" s="17">
        <f t="shared" si="238"/>
        <v>526.85357799317819</v>
      </c>
      <c r="CG233" s="17">
        <f>SUMIF('20.01'!$AR:$AR,$B:$B,'20.01'!$D:$D)*1.2</f>
        <v>58978.512000000002</v>
      </c>
      <c r="CH233" s="17">
        <f t="shared" si="239"/>
        <v>310.2785283043554</v>
      </c>
      <c r="CI233" s="17">
        <f>SUMIF('20.01'!$AT:$AT,$B:$B,'20.01'!$D:$D)*1.2</f>
        <v>0</v>
      </c>
      <c r="CJ233" s="17">
        <f>SUMIF('20.01'!$AU:$AU,$B:$B,'20.01'!$D:$D)*1.2</f>
        <v>0</v>
      </c>
      <c r="CK233" s="17">
        <f>SUMIF('20.01'!$AV:$AV,$B:$B,'20.01'!$D:$D)*1.2</f>
        <v>0</v>
      </c>
      <c r="CL233" s="17">
        <f t="shared" si="240"/>
        <v>307.16577811145339</v>
      </c>
      <c r="CM233" s="17">
        <f>SUMIF('20.01'!$AW:$AW,$B:$B,'20.01'!$D:$D)*1.2</f>
        <v>0</v>
      </c>
      <c r="CN233" s="17">
        <f>SUMIF('20.01'!$AX:$AX,$B:$B,'20.01'!$D:$D)*1.2</f>
        <v>0</v>
      </c>
      <c r="CO233" s="110">
        <f t="shared" si="285"/>
        <v>103042.26835065191</v>
      </c>
      <c r="CP233" s="17">
        <f t="shared" si="286"/>
        <v>81284.004928465787</v>
      </c>
      <c r="CQ233" s="17">
        <f t="shared" si="241"/>
        <v>25077.233959149016</v>
      </c>
      <c r="CR233" s="17">
        <f t="shared" si="242"/>
        <v>56206.770969316771</v>
      </c>
      <c r="CS233" s="17">
        <f t="shared" si="287"/>
        <v>21758.263422186119</v>
      </c>
      <c r="CT233" s="17">
        <f t="shared" si="243"/>
        <v>792.67262338059345</v>
      </c>
      <c r="CU233" s="17">
        <f t="shared" si="244"/>
        <v>766.69951388046002</v>
      </c>
      <c r="CV233" s="17">
        <f t="shared" si="245"/>
        <v>792.40070461869277</v>
      </c>
      <c r="CW233" s="17">
        <f t="shared" si="246"/>
        <v>8.3091938565179539</v>
      </c>
      <c r="CX233" s="17">
        <f t="shared" si="247"/>
        <v>11700.180327889611</v>
      </c>
      <c r="CY233" s="17">
        <f t="shared" si="248"/>
        <v>7698.001058560244</v>
      </c>
      <c r="CZ233" s="110">
        <f t="shared" si="288"/>
        <v>25577.788564816587</v>
      </c>
      <c r="DA233" s="17">
        <f t="shared" si="289"/>
        <v>966.18533215325067</v>
      </c>
      <c r="DB233" s="17">
        <f t="shared" si="249"/>
        <v>916.87443800826816</v>
      </c>
      <c r="DC233" s="17">
        <f t="shared" si="250"/>
        <v>49.310894144982484</v>
      </c>
      <c r="DD233" s="17">
        <f t="shared" si="251"/>
        <v>1702.529384912986</v>
      </c>
      <c r="DE233" s="17">
        <f t="shared" si="252"/>
        <v>587.41749898019282</v>
      </c>
      <c r="DF233" s="17">
        <f t="shared" si="253"/>
        <v>712.91297121829052</v>
      </c>
      <c r="DG233" s="17">
        <f t="shared" si="290"/>
        <v>21608.743377551866</v>
      </c>
      <c r="DH233" s="110">
        <f t="shared" si="291"/>
        <v>15962.538130370427</v>
      </c>
      <c r="DI233" s="17">
        <f t="shared" si="254"/>
        <v>14319.047531854067</v>
      </c>
      <c r="DJ233" s="17">
        <f t="shared" si="255"/>
        <v>1583.6025175772797</v>
      </c>
      <c r="DK233" s="17">
        <f t="shared" si="256"/>
        <v>59.888080939081227</v>
      </c>
      <c r="DL233" s="110">
        <f t="shared" si="292"/>
        <v>94897.872155790945</v>
      </c>
      <c r="DM233" s="17">
        <f t="shared" si="257"/>
        <v>50295.872242569203</v>
      </c>
      <c r="DN233" s="17">
        <f t="shared" si="258"/>
        <v>44601.999913221749</v>
      </c>
      <c r="DO233" s="17">
        <f t="shared" si="259"/>
        <v>0</v>
      </c>
      <c r="DP233" s="110">
        <f t="shared" si="293"/>
        <v>0</v>
      </c>
      <c r="DQ233" s="17">
        <f>SUMIF('20.01'!$BB:$BB,$B:$B,'20.01'!$D:$D)*1.2</f>
        <v>0</v>
      </c>
      <c r="DR233" s="17">
        <f t="shared" si="260"/>
        <v>0</v>
      </c>
      <c r="DS233" s="17">
        <f t="shared" si="261"/>
        <v>0</v>
      </c>
      <c r="DT233" s="110">
        <f t="shared" si="294"/>
        <v>1137.8999999999999</v>
      </c>
      <c r="DU233" s="17">
        <f>SUMIF('20.01'!$BD:$BD,$B:$B,'20.01'!$D:$D)*1.2</f>
        <v>1137.8999999999999</v>
      </c>
      <c r="DV233" s="17">
        <f t="shared" si="262"/>
        <v>0</v>
      </c>
      <c r="DW233" s="17">
        <f t="shared" si="263"/>
        <v>0</v>
      </c>
      <c r="DX233" s="110">
        <f t="shared" si="264"/>
        <v>481523.40866186004</v>
      </c>
      <c r="DY233" s="110"/>
      <c r="DZ233" s="110">
        <f t="shared" si="295"/>
        <v>481523.40866186004</v>
      </c>
      <c r="EA233" s="257"/>
      <c r="EB233" s="110">
        <f t="shared" si="265"/>
        <v>0</v>
      </c>
      <c r="EC233" s="110">
        <f>SUMIF(еирц!$B:$B,$B:$B,еирц!$K:$K)</f>
        <v>207947.76</v>
      </c>
      <c r="ED233" s="110">
        <f>SUMIF(еирц!$B:$B,$B:$B,еирц!$P:$P)</f>
        <v>158066.66999999998</v>
      </c>
      <c r="EE233" s="110">
        <f>SUMIF(еирц!$B:$B,$B:$B,еирц!$S:$S)</f>
        <v>134982.76</v>
      </c>
      <c r="EF233" s="177">
        <f t="shared" si="296"/>
        <v>-273575.64866186003</v>
      </c>
      <c r="EG233" s="181">
        <f t="shared" si="297"/>
        <v>0</v>
      </c>
      <c r="EH233" s="177">
        <f t="shared" si="298"/>
        <v>-273575.64866186003</v>
      </c>
    </row>
    <row r="234" spans="1:138" s="24" customFormat="1" ht="12" customHeight="1" x14ac:dyDescent="0.25">
      <c r="A234" s="5">
        <f t="shared" si="299"/>
        <v>230</v>
      </c>
      <c r="B234" s="6" t="s">
        <v>320</v>
      </c>
      <c r="C234" s="7">
        <f t="shared" si="300"/>
        <v>5793.4</v>
      </c>
      <c r="D234" s="8">
        <v>5727.7</v>
      </c>
      <c r="E234" s="8">
        <v>65.7</v>
      </c>
      <c r="F234" s="8">
        <v>1583.5</v>
      </c>
      <c r="G234" s="91">
        <f t="shared" si="232"/>
        <v>5793.4</v>
      </c>
      <c r="H234" s="87">
        <f t="shared" si="233"/>
        <v>0</v>
      </c>
      <c r="I234" s="91">
        <v>3</v>
      </c>
      <c r="J234" s="112">
        <v>1.57689488550165E-3</v>
      </c>
      <c r="K234" s="17">
        <v>0</v>
      </c>
      <c r="L234" s="112">
        <f t="shared" si="266"/>
        <v>0</v>
      </c>
      <c r="M234" s="116">
        <v>3.4821199259802382</v>
      </c>
      <c r="N234" s="120">
        <f t="shared" si="267"/>
        <v>5793.4</v>
      </c>
      <c r="O234" s="116">
        <v>2.6638681610278971</v>
      </c>
      <c r="P234" s="120">
        <f t="shared" si="268"/>
        <v>5793.4</v>
      </c>
      <c r="Q234" s="116">
        <v>0</v>
      </c>
      <c r="R234" s="120">
        <f t="shared" si="269"/>
        <v>0</v>
      </c>
      <c r="S234" s="5" t="s">
        <v>310</v>
      </c>
      <c r="T234" s="87">
        <v>32.07</v>
      </c>
      <c r="U234" s="88">
        <v>4.03</v>
      </c>
      <c r="V234" s="88">
        <v>5.61</v>
      </c>
      <c r="W234" s="88">
        <v>7.92</v>
      </c>
      <c r="X234" s="88">
        <v>5.4</v>
      </c>
      <c r="Y234" s="88">
        <v>2.67</v>
      </c>
      <c r="Z234" s="88">
        <v>1.54</v>
      </c>
      <c r="AA234" s="88">
        <v>4.9000000000000004</v>
      </c>
      <c r="AB234" s="88">
        <v>0</v>
      </c>
      <c r="AC234" s="257"/>
      <c r="AD234" s="110">
        <f t="shared" si="270"/>
        <v>448948.17402190535</v>
      </c>
      <c r="AE234" s="110">
        <f t="shared" si="271"/>
        <v>215772.66209747797</v>
      </c>
      <c r="AF234" s="16">
        <f>SUMIF('20.01'!$I:$I,$B:$B,'20.01'!$D:$D)*1.2</f>
        <v>115793.54399999999</v>
      </c>
      <c r="AG234" s="17">
        <f t="shared" si="304"/>
        <v>15764.563501407034</v>
      </c>
      <c r="AH234" s="17">
        <f t="shared" si="272"/>
        <v>4423.8344279997782</v>
      </c>
      <c r="AI234" s="16">
        <f>SUMIF('20.01'!$J:$J,$B:$B,'20.01'!$D:$D)*1.2</f>
        <v>0</v>
      </c>
      <c r="AJ234" s="17">
        <f t="shared" si="273"/>
        <v>1797.746854358458</v>
      </c>
      <c r="AK234" s="17">
        <f t="shared" si="274"/>
        <v>4373.5187187262309</v>
      </c>
      <c r="AL234" s="17">
        <f t="shared" si="275"/>
        <v>73619.454594986455</v>
      </c>
      <c r="AM234" s="110">
        <f t="shared" si="276"/>
        <v>0</v>
      </c>
      <c r="AN234" s="17">
        <f>SUMIF('20.01'!$K:$K,$B:$B,'20.01'!$D:$D)*1.2</f>
        <v>0</v>
      </c>
      <c r="AO234" s="17">
        <f>SUMIF('20.01'!$L:$L,$B:$B,'20.01'!$D:$D)*1.2</f>
        <v>0</v>
      </c>
      <c r="AP234" s="17">
        <f>SUMIF('20.01'!$M:$M,$B:$B,'20.01'!$D:$D)*1.2</f>
        <v>0</v>
      </c>
      <c r="AQ234" s="110">
        <f t="shared" si="277"/>
        <v>1627.4359244274133</v>
      </c>
      <c r="AR234" s="17">
        <f t="shared" si="278"/>
        <v>1627.4359244274133</v>
      </c>
      <c r="AS234" s="17">
        <f>(SUMIF('20.01'!$N:$N,$B:$B,'20.01'!$D:$D)+SUMIF('20.01'!$O:$O,$B:$B,'20.01'!$D:$D))*1.2</f>
        <v>0</v>
      </c>
      <c r="AT234" s="110">
        <f>SUMIF('20.01'!$P:$P,$B:$B,'20.01'!$D:$D)*1.2</f>
        <v>0</v>
      </c>
      <c r="AU234" s="110">
        <f t="shared" si="279"/>
        <v>0</v>
      </c>
      <c r="AV234" s="17">
        <f>SUMIF('20.01'!$Q:$Q,$B:$B,'20.01'!$D:$D)*1.2</f>
        <v>0</v>
      </c>
      <c r="AW234" s="17">
        <f>SUMIF('20.01'!$R:$R,$B:$B,'20.01'!$D:$D)*1.2</f>
        <v>0</v>
      </c>
      <c r="AX234" s="110">
        <f t="shared" si="280"/>
        <v>0</v>
      </c>
      <c r="AY234" s="17">
        <f>SUMIF('20.01'!$S:$S,$B:$B,'20.01'!$D:$D)*1.2</f>
        <v>0</v>
      </c>
      <c r="AZ234" s="17">
        <f>SUMIF('20.01'!$T:$T,$B:$B,'20.01'!$D:$D)*1.2</f>
        <v>0</v>
      </c>
      <c r="BA234" s="110">
        <f t="shared" si="281"/>
        <v>0</v>
      </c>
      <c r="BB234" s="17">
        <f>SUMIF('20.01'!$U:$U,$B:$B,'20.01'!$D:$D)*1.2</f>
        <v>0</v>
      </c>
      <c r="BC234" s="17">
        <f>SUMIF('20.01'!$V:$V,$B:$B,'20.01'!$D:$D)*1.2</f>
        <v>0</v>
      </c>
      <c r="BD234" s="17">
        <f>SUMIF('20.01'!$W:$W,$B:$B,'20.01'!$D:$D)*1.2</f>
        <v>0</v>
      </c>
      <c r="BE234" s="110">
        <f>SUMIF('20.01'!$X:$X,$B:$B,'20.01'!$D:$D)*1.2</f>
        <v>0</v>
      </c>
      <c r="BF234" s="110">
        <f t="shared" si="282"/>
        <v>201926.364</v>
      </c>
      <c r="BG234" s="17">
        <f>SUMIF('20.01'!$Y:$Y,$B:$B,'20.01'!$D:$D)*1.2</f>
        <v>201926.364</v>
      </c>
      <c r="BH234" s="17">
        <f>SUMIF('20.01'!$Z:$Z,$B:$B,'20.01'!$D:$D)*1.2</f>
        <v>0</v>
      </c>
      <c r="BI234" s="17">
        <f>SUMIF('20.01'!$AA:$AA,$B:$B,'20.01'!$D:$D)*1.2</f>
        <v>0</v>
      </c>
      <c r="BJ234" s="17">
        <f>SUMIF('20.01'!$AB:$AB,$B:$B,'20.01'!$D:$D)*1.2</f>
        <v>0</v>
      </c>
      <c r="BK234" s="17">
        <f>SUMIF('20.01'!$AC:$AC,$B:$B,'20.01'!$D:$D)*1.2</f>
        <v>0</v>
      </c>
      <c r="BL234" s="17">
        <f>SUMIF('20.01'!$AD:$AD,$B:$B,'20.01'!$D:$D)*1.2</f>
        <v>0</v>
      </c>
      <c r="BM234" s="110">
        <f t="shared" si="283"/>
        <v>0</v>
      </c>
      <c r="BN234" s="17">
        <f>SUMIF('20.01'!$AE:$AE,$B:$B,'20.01'!$D:$D)*1.2</f>
        <v>0</v>
      </c>
      <c r="BO234" s="17">
        <f>SUMIF('20.01'!$AF:$AF,$B:$B,'20.01'!$D:$D)*1.2</f>
        <v>0</v>
      </c>
      <c r="BP234" s="110">
        <f>SUMIF('20.01'!$AG:$AG,$B:$B,'20.01'!$D:$D)*1.2</f>
        <v>0</v>
      </c>
      <c r="BQ234" s="110">
        <f>SUMIF('20.01'!$AH:$AH,$B:$B,'20.01'!$D:$D)*1.2</f>
        <v>0</v>
      </c>
      <c r="BR234" s="110">
        <f>SUMIF('20.01'!$AI:$AI,$B:$B,'20.01'!$D:$D)*1.2</f>
        <v>0</v>
      </c>
      <c r="BS234" s="110">
        <f t="shared" si="284"/>
        <v>0</v>
      </c>
      <c r="BT234" s="17">
        <f>SUMIF('20.01'!$AJ:$AJ,$B:$B,'20.01'!$D:$D)*1.2</f>
        <v>0</v>
      </c>
      <c r="BU234" s="17">
        <f>SUMIF('20.01'!$AK:$AK,$B:$B,'20.01'!$D:$D)*1.2</f>
        <v>0</v>
      </c>
      <c r="BV234" s="110">
        <f>SUMIF('20.01'!$AL:$AL,$B:$B,'20.01'!$D:$D)*1.2</f>
        <v>0</v>
      </c>
      <c r="BW234" s="110">
        <f>SUMIF('20.01'!$AM:$AM,$B:$B,'20.01'!$D:$D)*1.2</f>
        <v>0</v>
      </c>
      <c r="BX234" s="110">
        <f>SUMIF('20.01'!$AN:$AN,$B:$B,'20.01'!$D:$D)*1.2</f>
        <v>29621.711999999996</v>
      </c>
      <c r="BY234" s="110">
        <f t="shared" si="234"/>
        <v>923040.17071334552</v>
      </c>
      <c r="BZ234" s="17">
        <f t="shared" si="303"/>
        <v>785560.56222832494</v>
      </c>
      <c r="CA234" s="17">
        <f t="shared" si="235"/>
        <v>35932.293684148877</v>
      </c>
      <c r="CB234" s="17">
        <f t="shared" si="236"/>
        <v>2388.5948526427969</v>
      </c>
      <c r="CC234" s="17">
        <f>SUMIF('20.01'!$AO:$AO,$B:$B,'20.01'!$D:$D)*1.2</f>
        <v>0</v>
      </c>
      <c r="CD234" s="17">
        <f t="shared" si="237"/>
        <v>37498.513207861135</v>
      </c>
      <c r="CE234" s="17">
        <f>SUMIF('20.01'!$AQ:$AQ,$B:$B,'20.01'!$D:$D)*1.2</f>
        <v>0</v>
      </c>
      <c r="CF234" s="17">
        <f t="shared" si="238"/>
        <v>3411.7719266575887</v>
      </c>
      <c r="CG234" s="17">
        <f>SUMIF('20.01'!$AR:$AR,$B:$B,'20.01'!$D:$D)*1.2</f>
        <v>3250.02</v>
      </c>
      <c r="CH234" s="17">
        <f t="shared" si="239"/>
        <v>2009.2861024987453</v>
      </c>
      <c r="CI234" s="17">
        <f>SUMIF('20.01'!$AT:$AT,$B:$B,'20.01'!$D:$D)*1.2</f>
        <v>0</v>
      </c>
      <c r="CJ234" s="17">
        <f>SUMIF('20.01'!$AU:$AU,$B:$B,'20.01'!$D:$D)*1.2</f>
        <v>51000</v>
      </c>
      <c r="CK234" s="17">
        <f>SUMIF('20.01'!$AV:$AV,$B:$B,'20.01'!$D:$D)*1.2</f>
        <v>0</v>
      </c>
      <c r="CL234" s="17">
        <f t="shared" si="240"/>
        <v>1989.1287112112202</v>
      </c>
      <c r="CM234" s="17">
        <f>SUMIF('20.01'!$AW:$AW,$B:$B,'20.01'!$D:$D)*1.2</f>
        <v>0</v>
      </c>
      <c r="CN234" s="17">
        <f>SUMIF('20.01'!$AX:$AX,$B:$B,'20.01'!$D:$D)*1.2</f>
        <v>0</v>
      </c>
      <c r="CO234" s="110">
        <f t="shared" si="285"/>
        <v>667275.94364448625</v>
      </c>
      <c r="CP234" s="17">
        <f t="shared" si="286"/>
        <v>526374.87469967885</v>
      </c>
      <c r="CQ234" s="17">
        <f t="shared" si="241"/>
        <v>162393.89157409646</v>
      </c>
      <c r="CR234" s="17">
        <f t="shared" si="242"/>
        <v>363980.9831255824</v>
      </c>
      <c r="CS234" s="17">
        <f t="shared" si="287"/>
        <v>140901.06894480743</v>
      </c>
      <c r="CT234" s="17">
        <f t="shared" si="243"/>
        <v>5133.1495437143058</v>
      </c>
      <c r="CU234" s="17">
        <f t="shared" si="244"/>
        <v>4964.9541863284894</v>
      </c>
      <c r="CV234" s="17">
        <f t="shared" si="245"/>
        <v>5131.3886658595566</v>
      </c>
      <c r="CW234" s="17">
        <f t="shared" si="246"/>
        <v>53.808260049798371</v>
      </c>
      <c r="CX234" s="17">
        <f t="shared" si="247"/>
        <v>75767.439848424125</v>
      </c>
      <c r="CY234" s="17">
        <f t="shared" si="248"/>
        <v>49850.328440431149</v>
      </c>
      <c r="CZ234" s="110">
        <f t="shared" si="288"/>
        <v>165635.35793725718</v>
      </c>
      <c r="DA234" s="17">
        <f t="shared" si="289"/>
        <v>6256.7744243951602</v>
      </c>
      <c r="DB234" s="17">
        <f t="shared" si="249"/>
        <v>5937.4494138997134</v>
      </c>
      <c r="DC234" s="17">
        <f t="shared" si="250"/>
        <v>319.32501049544675</v>
      </c>
      <c r="DD234" s="17">
        <f t="shared" si="251"/>
        <v>11025.154240920707</v>
      </c>
      <c r="DE234" s="17">
        <f t="shared" si="252"/>
        <v>3803.9687229266278</v>
      </c>
      <c r="DF234" s="17">
        <f t="shared" si="253"/>
        <v>4616.6459960609909</v>
      </c>
      <c r="DG234" s="17">
        <f t="shared" si="290"/>
        <v>139932.8145529537</v>
      </c>
      <c r="DH234" s="110">
        <f t="shared" si="291"/>
        <v>103369.40232776458</v>
      </c>
      <c r="DI234" s="17">
        <f t="shared" si="254"/>
        <v>92726.56849316851</v>
      </c>
      <c r="DJ234" s="17">
        <f t="shared" si="255"/>
        <v>10255.013609349353</v>
      </c>
      <c r="DK234" s="17">
        <f t="shared" si="256"/>
        <v>387.82022524672004</v>
      </c>
      <c r="DL234" s="110">
        <f t="shared" si="292"/>
        <v>614534.87201117701</v>
      </c>
      <c r="DM234" s="17">
        <f t="shared" si="257"/>
        <v>325703.48216592375</v>
      </c>
      <c r="DN234" s="17">
        <f t="shared" si="258"/>
        <v>288831.3898452532</v>
      </c>
      <c r="DO234" s="17">
        <f t="shared" si="259"/>
        <v>0</v>
      </c>
      <c r="DP234" s="110">
        <f t="shared" si="293"/>
        <v>290816.53320524353</v>
      </c>
      <c r="DQ234" s="108">
        <f>(SUMIF('20.01'!$BB:$BB,$B:$B,'20.01'!$D:$D)+(412109.7/6*3))*1.2</f>
        <v>247265.81999999995</v>
      </c>
      <c r="DR234" s="17">
        <f t="shared" si="260"/>
        <v>43230.243967299844</v>
      </c>
      <c r="DS234" s="17">
        <f t="shared" si="261"/>
        <v>320.46923794378608</v>
      </c>
      <c r="DT234" s="110">
        <f t="shared" si="294"/>
        <v>0</v>
      </c>
      <c r="DU234" s="17">
        <f>SUMIF('20.01'!$BD:$BD,$B:$B,'20.01'!$D:$D)*1.2</f>
        <v>0</v>
      </c>
      <c r="DV234" s="17">
        <f t="shared" si="262"/>
        <v>0</v>
      </c>
      <c r="DW234" s="17">
        <f t="shared" si="263"/>
        <v>0</v>
      </c>
      <c r="DX234" s="110">
        <f t="shared" si="264"/>
        <v>3213620.4538611798</v>
      </c>
      <c r="DY234" s="110"/>
      <c r="DZ234" s="110">
        <f t="shared" si="295"/>
        <v>3213620.4538611798</v>
      </c>
      <c r="EA234" s="257"/>
      <c r="EB234" s="110">
        <f t="shared" si="265"/>
        <v>0</v>
      </c>
      <c r="EC234" s="110">
        <f>SUMIF(еирц!$B:$B,$B:$B,еирц!$K:$K)</f>
        <v>2204247.84</v>
      </c>
      <c r="ED234" s="110">
        <f>SUMIF(еирц!$B:$B,$B:$B,еирц!$P:$P)</f>
        <v>2092712.31</v>
      </c>
      <c r="EE234" s="110">
        <f>SUMIF(еирц!$B:$B,$B:$B,еирц!$S:$S)</f>
        <v>598829.07999999996</v>
      </c>
      <c r="EF234" s="177">
        <f t="shared" si="296"/>
        <v>-1009372.6138611799</v>
      </c>
      <c r="EG234" s="181">
        <f t="shared" si="297"/>
        <v>0</v>
      </c>
      <c r="EH234" s="177">
        <f t="shared" si="298"/>
        <v>-1009372.6138611799</v>
      </c>
    </row>
    <row r="235" spans="1:138" s="24" customFormat="1" ht="12" customHeight="1" x14ac:dyDescent="0.25">
      <c r="A235" s="5">
        <f t="shared" si="299"/>
        <v>231</v>
      </c>
      <c r="B235" s="6" t="s">
        <v>322</v>
      </c>
      <c r="C235" s="7">
        <f t="shared" si="300"/>
        <v>2479.9</v>
      </c>
      <c r="D235" s="8">
        <v>2479.9</v>
      </c>
      <c r="E235" s="8">
        <v>0</v>
      </c>
      <c r="F235" s="8">
        <v>255</v>
      </c>
      <c r="G235" s="87">
        <f t="shared" si="232"/>
        <v>2479.9</v>
      </c>
      <c r="H235" s="87">
        <f t="shared" si="233"/>
        <v>2479.9</v>
      </c>
      <c r="I235" s="91">
        <v>0</v>
      </c>
      <c r="J235" s="112">
        <v>0</v>
      </c>
      <c r="K235" s="17">
        <v>0</v>
      </c>
      <c r="L235" s="112">
        <f t="shared" si="266"/>
        <v>0</v>
      </c>
      <c r="M235" s="116">
        <v>3.4064198607813947</v>
      </c>
      <c r="N235" s="120">
        <f t="shared" si="267"/>
        <v>2479.9</v>
      </c>
      <c r="O235" s="116">
        <v>2.6059557558443651</v>
      </c>
      <c r="P235" s="120">
        <f t="shared" si="268"/>
        <v>2479.9</v>
      </c>
      <c r="Q235" s="116">
        <v>0</v>
      </c>
      <c r="R235" s="120">
        <f t="shared" si="269"/>
        <v>0</v>
      </c>
      <c r="S235" s="5" t="s">
        <v>310</v>
      </c>
      <c r="T235" s="87">
        <v>23.45</v>
      </c>
      <c r="U235" s="88">
        <v>4.32</v>
      </c>
      <c r="V235" s="88">
        <v>4.8899999999999997</v>
      </c>
      <c r="W235" s="88">
        <v>7.16</v>
      </c>
      <c r="X235" s="88">
        <v>4.1900000000000004</v>
      </c>
      <c r="Y235" s="88">
        <v>2.67</v>
      </c>
      <c r="Z235" s="88">
        <v>0</v>
      </c>
      <c r="AA235" s="88">
        <v>0</v>
      </c>
      <c r="AB235" s="88">
        <v>0.22</v>
      </c>
      <c r="AC235" s="257"/>
      <c r="AD235" s="110">
        <f t="shared" si="270"/>
        <v>286208.08557056705</v>
      </c>
      <c r="AE235" s="110">
        <f t="shared" si="271"/>
        <v>82093.84775467524</v>
      </c>
      <c r="AF235" s="16">
        <f>SUMIF('20.01'!$I:$I,$B:$B,'20.01'!$D:$D)*1.2</f>
        <v>39297.18</v>
      </c>
      <c r="AG235" s="17">
        <f t="shared" si="304"/>
        <v>6748.1169998859577</v>
      </c>
      <c r="AH235" s="17">
        <f t="shared" si="272"/>
        <v>1893.6491521380626</v>
      </c>
      <c r="AI235" s="16">
        <f>SUMIF('20.01'!$J:$J,$B:$B,'20.01'!$D:$D)*1.2</f>
        <v>0</v>
      </c>
      <c r="AJ235" s="17">
        <f t="shared" si="273"/>
        <v>769.53644217964245</v>
      </c>
      <c r="AK235" s="17">
        <f t="shared" si="274"/>
        <v>1872.111207679287</v>
      </c>
      <c r="AL235" s="17">
        <f t="shared" si="275"/>
        <v>31513.253952792304</v>
      </c>
      <c r="AM235" s="110">
        <f t="shared" si="276"/>
        <v>0</v>
      </c>
      <c r="AN235" s="17">
        <f>SUMIF('20.01'!$K:$K,$B:$B,'20.01'!$D:$D)*1.2</f>
        <v>0</v>
      </c>
      <c r="AO235" s="17">
        <f>SUMIF('20.01'!$L:$L,$B:$B,'20.01'!$D:$D)*1.2</f>
        <v>0</v>
      </c>
      <c r="AP235" s="17">
        <f>SUMIF('20.01'!$M:$M,$B:$B,'20.01'!$D:$D)*1.2</f>
        <v>0</v>
      </c>
      <c r="AQ235" s="110">
        <f t="shared" si="277"/>
        <v>696.63381589179801</v>
      </c>
      <c r="AR235" s="17">
        <f t="shared" si="278"/>
        <v>696.63381589179801</v>
      </c>
      <c r="AS235" s="17">
        <f>(SUMIF('20.01'!$N:$N,$B:$B,'20.01'!$D:$D)+SUMIF('20.01'!$O:$O,$B:$B,'20.01'!$D:$D))*1.2</f>
        <v>0</v>
      </c>
      <c r="AT235" s="110">
        <f>SUMIF('20.01'!$P:$P,$B:$B,'20.01'!$D:$D)*1.2</f>
        <v>0</v>
      </c>
      <c r="AU235" s="110">
        <f t="shared" si="279"/>
        <v>0</v>
      </c>
      <c r="AV235" s="17">
        <f>SUMIF('20.01'!$Q:$Q,$B:$B,'20.01'!$D:$D)*1.2</f>
        <v>0</v>
      </c>
      <c r="AW235" s="17">
        <f>SUMIF('20.01'!$R:$R,$B:$B,'20.01'!$D:$D)*1.2</f>
        <v>0</v>
      </c>
      <c r="AX235" s="110">
        <f t="shared" si="280"/>
        <v>0</v>
      </c>
      <c r="AY235" s="17">
        <f>SUMIF('20.01'!$S:$S,$B:$B,'20.01'!$D:$D)*1.2</f>
        <v>0</v>
      </c>
      <c r="AZ235" s="17">
        <f>SUMIF('20.01'!$T:$T,$B:$B,'20.01'!$D:$D)*1.2</f>
        <v>0</v>
      </c>
      <c r="BA235" s="110">
        <f t="shared" si="281"/>
        <v>203417.60400000002</v>
      </c>
      <c r="BB235" s="17">
        <f>SUMIF('20.01'!$U:$U,$B:$B,'20.01'!$D:$D)*1.2</f>
        <v>0</v>
      </c>
      <c r="BC235" s="17">
        <f>SUMIF('20.01'!$V:$V,$B:$B,'20.01'!$D:$D)*1.2</f>
        <v>0</v>
      </c>
      <c r="BD235" s="17">
        <f>SUMIF('20.01'!$W:$W,$B:$B,'20.01'!$D:$D)*1.2</f>
        <v>203417.60400000002</v>
      </c>
      <c r="BE235" s="110">
        <f>SUMIF('20.01'!$X:$X,$B:$B,'20.01'!$D:$D)*1.2</f>
        <v>0</v>
      </c>
      <c r="BF235" s="110">
        <f t="shared" si="282"/>
        <v>0</v>
      </c>
      <c r="BG235" s="17">
        <f>SUMIF('20.01'!$Y:$Y,$B:$B,'20.01'!$D:$D)*1.2</f>
        <v>0</v>
      </c>
      <c r="BH235" s="17">
        <f>SUMIF('20.01'!$Z:$Z,$B:$B,'20.01'!$D:$D)*1.2</f>
        <v>0</v>
      </c>
      <c r="BI235" s="17">
        <f>SUMIF('20.01'!$AA:$AA,$B:$B,'20.01'!$D:$D)*1.2</f>
        <v>0</v>
      </c>
      <c r="BJ235" s="17">
        <f>SUMIF('20.01'!$AB:$AB,$B:$B,'20.01'!$D:$D)*1.2</f>
        <v>0</v>
      </c>
      <c r="BK235" s="17">
        <f>SUMIF('20.01'!$AC:$AC,$B:$B,'20.01'!$D:$D)*1.2</f>
        <v>0</v>
      </c>
      <c r="BL235" s="17">
        <f>SUMIF('20.01'!$AD:$AD,$B:$B,'20.01'!$D:$D)*1.2</f>
        <v>0</v>
      </c>
      <c r="BM235" s="110">
        <f t="shared" si="283"/>
        <v>0</v>
      </c>
      <c r="BN235" s="17">
        <f>SUMIF('20.01'!$AE:$AE,$B:$B,'20.01'!$D:$D)*1.2</f>
        <v>0</v>
      </c>
      <c r="BO235" s="17">
        <f>SUMIF('20.01'!$AF:$AF,$B:$B,'20.01'!$D:$D)*1.2</f>
        <v>0</v>
      </c>
      <c r="BP235" s="110">
        <f>SUMIF('20.01'!$AG:$AG,$B:$B,'20.01'!$D:$D)*1.2</f>
        <v>0</v>
      </c>
      <c r="BQ235" s="110">
        <f>SUMIF('20.01'!$AH:$AH,$B:$B,'20.01'!$D:$D)*1.2</f>
        <v>0</v>
      </c>
      <c r="BR235" s="110">
        <f>SUMIF('20.01'!$AI:$AI,$B:$B,'20.01'!$D:$D)*1.2</f>
        <v>0</v>
      </c>
      <c r="BS235" s="110">
        <f t="shared" si="284"/>
        <v>0</v>
      </c>
      <c r="BT235" s="17">
        <f>SUMIF('20.01'!$AJ:$AJ,$B:$B,'20.01'!$D:$D)*1.2</f>
        <v>0</v>
      </c>
      <c r="BU235" s="17">
        <f>SUMIF('20.01'!$AK:$AK,$B:$B,'20.01'!$D:$D)*1.2</f>
        <v>0</v>
      </c>
      <c r="BV235" s="110">
        <f>SUMIF('20.01'!$AL:$AL,$B:$B,'20.01'!$D:$D)*1.2</f>
        <v>0</v>
      </c>
      <c r="BW235" s="110">
        <f>SUMIF('20.01'!$AM:$AM,$B:$B,'20.01'!$D:$D)*1.2</f>
        <v>0</v>
      </c>
      <c r="BX235" s="110">
        <f>SUMIF('20.01'!$AN:$AN,$B:$B,'20.01'!$D:$D)*1.2</f>
        <v>0</v>
      </c>
      <c r="BY235" s="110">
        <f t="shared" si="234"/>
        <v>448294.53217972611</v>
      </c>
      <c r="BZ235" s="17">
        <f t="shared" si="303"/>
        <v>336263.96214140631</v>
      </c>
      <c r="CA235" s="17">
        <f t="shared" si="235"/>
        <v>15381.036197625022</v>
      </c>
      <c r="CB235" s="17">
        <f t="shared" si="236"/>
        <v>1022.4525106274161</v>
      </c>
      <c r="CC235" s="17">
        <f>SUMIF('20.01'!$AO:$AO,$B:$B,'20.01'!$D:$D)*1.2</f>
        <v>0</v>
      </c>
      <c r="CD235" s="17">
        <f t="shared" si="237"/>
        <v>16051.465961986887</v>
      </c>
      <c r="CE235" s="17">
        <f>SUMIF('20.01'!$AQ:$AQ,$B:$B,'20.01'!$D:$D)*1.2</f>
        <v>0</v>
      </c>
      <c r="CF235" s="17">
        <f t="shared" si="238"/>
        <v>1460.4296614972477</v>
      </c>
      <c r="CG235" s="17">
        <f>SUMIF('20.01'!$AR:$AR,$B:$B,'20.01'!$D:$D)*1.2</f>
        <v>76403.64</v>
      </c>
      <c r="CH235" s="17">
        <f t="shared" si="239"/>
        <v>860.08710007709453</v>
      </c>
      <c r="CI235" s="17">
        <f>SUMIF('20.01'!$AT:$AT,$B:$B,'20.01'!$D:$D)*1.2</f>
        <v>0</v>
      </c>
      <c r="CJ235" s="17">
        <f>SUMIF('20.01'!$AU:$AU,$B:$B,'20.01'!$D:$D)*1.2</f>
        <v>0</v>
      </c>
      <c r="CK235" s="17">
        <f>SUMIF('20.01'!$AV:$AV,$B:$B,'20.01'!$D:$D)*1.2</f>
        <v>0</v>
      </c>
      <c r="CL235" s="17">
        <f t="shared" si="240"/>
        <v>851.45860650614588</v>
      </c>
      <c r="CM235" s="17">
        <f>SUMIF('20.01'!$AW:$AW,$B:$B,'20.01'!$D:$D)*1.2</f>
        <v>0</v>
      </c>
      <c r="CN235" s="17">
        <f>SUMIF('20.01'!$AX:$AX,$B:$B,'20.01'!$D:$D)*1.2</f>
        <v>0</v>
      </c>
      <c r="CO235" s="110">
        <f t="shared" si="285"/>
        <v>285631.51390271029</v>
      </c>
      <c r="CP235" s="17">
        <f t="shared" si="286"/>
        <v>225317.95694544376</v>
      </c>
      <c r="CQ235" s="17">
        <f t="shared" si="241"/>
        <v>69513.690011841376</v>
      </c>
      <c r="CR235" s="17">
        <f t="shared" si="242"/>
        <v>155804.26693360237</v>
      </c>
      <c r="CS235" s="17">
        <f t="shared" si="287"/>
        <v>60313.556957266534</v>
      </c>
      <c r="CT235" s="17">
        <f t="shared" si="243"/>
        <v>2197.2757885623482</v>
      </c>
      <c r="CU235" s="17">
        <f t="shared" si="244"/>
        <v>2125.2787459308906</v>
      </c>
      <c r="CV235" s="17">
        <f t="shared" si="245"/>
        <v>2196.5220341190175</v>
      </c>
      <c r="CW235" s="17">
        <f t="shared" si="246"/>
        <v>23.032951996667759</v>
      </c>
      <c r="CX235" s="17">
        <f t="shared" si="247"/>
        <v>32432.71206547226</v>
      </c>
      <c r="CY235" s="17">
        <f t="shared" si="248"/>
        <v>21338.73537118535</v>
      </c>
      <c r="CZ235" s="110">
        <f t="shared" si="288"/>
        <v>70901.219344185476</v>
      </c>
      <c r="DA235" s="17">
        <f t="shared" si="289"/>
        <v>2678.2502321706697</v>
      </c>
      <c r="DB235" s="17">
        <f t="shared" si="249"/>
        <v>2541.561225106138</v>
      </c>
      <c r="DC235" s="17">
        <f t="shared" si="250"/>
        <v>136.68900706453178</v>
      </c>
      <c r="DD235" s="17">
        <f t="shared" si="251"/>
        <v>4719.3841271203892</v>
      </c>
      <c r="DE235" s="17">
        <f t="shared" si="252"/>
        <v>1628.3118783418624</v>
      </c>
      <c r="DF235" s="17">
        <f t="shared" si="253"/>
        <v>1976.1833130168211</v>
      </c>
      <c r="DG235" s="17">
        <f t="shared" si="290"/>
        <v>59899.089793535735</v>
      </c>
      <c r="DH235" s="110">
        <f t="shared" si="291"/>
        <v>44247.899477443883</v>
      </c>
      <c r="DI235" s="17">
        <f t="shared" si="254"/>
        <v>39692.169918563988</v>
      </c>
      <c r="DJ235" s="17">
        <f t="shared" si="255"/>
        <v>4389.720759800025</v>
      </c>
      <c r="DK235" s="17">
        <f t="shared" si="256"/>
        <v>166.00879907987385</v>
      </c>
      <c r="DL235" s="110">
        <f t="shared" si="292"/>
        <v>263055.37837893429</v>
      </c>
      <c r="DM235" s="17">
        <f t="shared" si="257"/>
        <v>139419.35054083518</v>
      </c>
      <c r="DN235" s="17">
        <f t="shared" si="258"/>
        <v>123636.02783809912</v>
      </c>
      <c r="DO235" s="17">
        <f t="shared" si="259"/>
        <v>0</v>
      </c>
      <c r="DP235" s="110">
        <f t="shared" si="293"/>
        <v>0</v>
      </c>
      <c r="DQ235" s="17">
        <f>SUMIF('20.01'!$BB:$BB,$B:$B,'20.01'!$D:$D)*1.2</f>
        <v>0</v>
      </c>
      <c r="DR235" s="17">
        <f t="shared" si="260"/>
        <v>0</v>
      </c>
      <c r="DS235" s="17">
        <f t="shared" si="261"/>
        <v>0</v>
      </c>
      <c r="DT235" s="110">
        <f t="shared" si="294"/>
        <v>5689.5240000000003</v>
      </c>
      <c r="DU235" s="17">
        <f>SUMIF('20.01'!$BD:$BD,$B:$B,'20.01'!$D:$D)*1.2</f>
        <v>5689.5240000000003</v>
      </c>
      <c r="DV235" s="17">
        <f t="shared" si="262"/>
        <v>0</v>
      </c>
      <c r="DW235" s="17">
        <f t="shared" si="263"/>
        <v>0</v>
      </c>
      <c r="DX235" s="110">
        <f t="shared" si="264"/>
        <v>1404028.1528535669</v>
      </c>
      <c r="DY235" s="110"/>
      <c r="DZ235" s="110">
        <f t="shared" si="295"/>
        <v>1404028.1528535669</v>
      </c>
      <c r="EA235" s="257"/>
      <c r="EB235" s="110">
        <f t="shared" si="265"/>
        <v>0</v>
      </c>
      <c r="EC235" s="110">
        <f>SUMIF(еирц!$B:$B,$B:$B,еирц!$K:$K)</f>
        <v>697845.48</v>
      </c>
      <c r="ED235" s="110">
        <f>SUMIF(еирц!$B:$B,$B:$B,еирц!$P:$P)</f>
        <v>701828.54</v>
      </c>
      <c r="EE235" s="110">
        <f>SUMIF(еирц!$B:$B,$B:$B,еирц!$S:$S)</f>
        <v>128103.66</v>
      </c>
      <c r="EF235" s="177">
        <f t="shared" si="296"/>
        <v>-706182.67285356694</v>
      </c>
      <c r="EG235" s="181">
        <f t="shared" si="297"/>
        <v>0</v>
      </c>
      <c r="EH235" s="177">
        <f t="shared" si="298"/>
        <v>-706182.67285356694</v>
      </c>
    </row>
    <row r="236" spans="1:138" s="24" customFormat="1" ht="12" customHeight="1" x14ac:dyDescent="0.25">
      <c r="A236" s="5">
        <f t="shared" si="299"/>
        <v>232</v>
      </c>
      <c r="B236" s="6" t="s">
        <v>323</v>
      </c>
      <c r="C236" s="7">
        <f t="shared" si="300"/>
        <v>2720.4</v>
      </c>
      <c r="D236" s="8">
        <v>2529.6</v>
      </c>
      <c r="E236" s="8">
        <v>190.8</v>
      </c>
      <c r="F236" s="8">
        <v>221.4</v>
      </c>
      <c r="G236" s="87">
        <f t="shared" si="232"/>
        <v>2720.4</v>
      </c>
      <c r="H236" s="87">
        <f t="shared" si="233"/>
        <v>2720.4</v>
      </c>
      <c r="I236" s="91">
        <v>0</v>
      </c>
      <c r="J236" s="112">
        <v>0</v>
      </c>
      <c r="K236" s="17">
        <v>0</v>
      </c>
      <c r="L236" s="112">
        <f t="shared" si="266"/>
        <v>0</v>
      </c>
      <c r="M236" s="116">
        <v>3.4064194096239384</v>
      </c>
      <c r="N236" s="120">
        <f t="shared" si="267"/>
        <v>2720.4</v>
      </c>
      <c r="O236" s="116">
        <v>2.6059522258574419</v>
      </c>
      <c r="P236" s="120">
        <f t="shared" si="268"/>
        <v>2720.4</v>
      </c>
      <c r="Q236" s="116">
        <v>0</v>
      </c>
      <c r="R236" s="120">
        <f t="shared" si="269"/>
        <v>0</v>
      </c>
      <c r="S236" s="5" t="s">
        <v>310</v>
      </c>
      <c r="T236" s="87">
        <v>23.45</v>
      </c>
      <c r="U236" s="88">
        <v>4.32</v>
      </c>
      <c r="V236" s="88">
        <v>4.8899999999999997</v>
      </c>
      <c r="W236" s="88">
        <v>7.16</v>
      </c>
      <c r="X236" s="88">
        <v>4.1900000000000004</v>
      </c>
      <c r="Y236" s="88">
        <v>2.67</v>
      </c>
      <c r="Z236" s="88">
        <v>0</v>
      </c>
      <c r="AA236" s="88">
        <v>0</v>
      </c>
      <c r="AB236" s="88">
        <v>0.22</v>
      </c>
      <c r="AC236" s="257"/>
      <c r="AD236" s="110">
        <f t="shared" si="270"/>
        <v>92173.65764497382</v>
      </c>
      <c r="AE236" s="110">
        <f t="shared" si="271"/>
        <v>91409.464478817099</v>
      </c>
      <c r="AF236" s="16">
        <f>SUMIF('20.01'!$I:$I,$B:$B,'20.01'!$D:$D)*1.2</f>
        <v>44462.387999999999</v>
      </c>
      <c r="AG236" s="17">
        <f t="shared" si="304"/>
        <v>7402.547476305399</v>
      </c>
      <c r="AH236" s="17">
        <f t="shared" si="272"/>
        <v>2077.2947108659164</v>
      </c>
      <c r="AI236" s="16">
        <f>SUMIF('20.01'!$J:$J,$B:$B,'20.01'!$D:$D)*1.2</f>
        <v>0</v>
      </c>
      <c r="AJ236" s="17">
        <f t="shared" si="273"/>
        <v>844.1658685049797</v>
      </c>
      <c r="AK236" s="17">
        <f t="shared" si="274"/>
        <v>2053.6680226504022</v>
      </c>
      <c r="AL236" s="17">
        <f t="shared" si="275"/>
        <v>34569.400400490413</v>
      </c>
      <c r="AM236" s="110">
        <f t="shared" si="276"/>
        <v>0</v>
      </c>
      <c r="AN236" s="17">
        <f>SUMIF('20.01'!$K:$K,$B:$B,'20.01'!$D:$D)*1.2</f>
        <v>0</v>
      </c>
      <c r="AO236" s="17">
        <f>SUMIF('20.01'!$L:$L,$B:$B,'20.01'!$D:$D)*1.2</f>
        <v>0</v>
      </c>
      <c r="AP236" s="17">
        <f>SUMIF('20.01'!$M:$M,$B:$B,'20.01'!$D:$D)*1.2</f>
        <v>0</v>
      </c>
      <c r="AQ236" s="110">
        <f t="shared" si="277"/>
        <v>764.19316615671892</v>
      </c>
      <c r="AR236" s="17">
        <f t="shared" si="278"/>
        <v>764.19316615671892</v>
      </c>
      <c r="AS236" s="17">
        <f>(SUMIF('20.01'!$N:$N,$B:$B,'20.01'!$D:$D)+SUMIF('20.01'!$O:$O,$B:$B,'20.01'!$D:$D))*1.2</f>
        <v>0</v>
      </c>
      <c r="AT236" s="110">
        <f>SUMIF('20.01'!$P:$P,$B:$B,'20.01'!$D:$D)*1.2</f>
        <v>0</v>
      </c>
      <c r="AU236" s="110">
        <f t="shared" si="279"/>
        <v>0</v>
      </c>
      <c r="AV236" s="17">
        <f>SUMIF('20.01'!$Q:$Q,$B:$B,'20.01'!$D:$D)*1.2</f>
        <v>0</v>
      </c>
      <c r="AW236" s="17">
        <f>SUMIF('20.01'!$R:$R,$B:$B,'20.01'!$D:$D)*1.2</f>
        <v>0</v>
      </c>
      <c r="AX236" s="110">
        <f t="shared" si="280"/>
        <v>0</v>
      </c>
      <c r="AY236" s="17">
        <f>SUMIF('20.01'!$S:$S,$B:$B,'20.01'!$D:$D)*1.2</f>
        <v>0</v>
      </c>
      <c r="AZ236" s="17">
        <f>SUMIF('20.01'!$T:$T,$B:$B,'20.01'!$D:$D)*1.2</f>
        <v>0</v>
      </c>
      <c r="BA236" s="110">
        <f t="shared" si="281"/>
        <v>0</v>
      </c>
      <c r="BB236" s="17">
        <f>SUMIF('20.01'!$U:$U,$B:$B,'20.01'!$D:$D)*1.2</f>
        <v>0</v>
      </c>
      <c r="BC236" s="17">
        <f>SUMIF('20.01'!$V:$V,$B:$B,'20.01'!$D:$D)*1.2</f>
        <v>0</v>
      </c>
      <c r="BD236" s="17">
        <f>SUMIF('20.01'!$W:$W,$B:$B,'20.01'!$D:$D)*1.2</f>
        <v>0</v>
      </c>
      <c r="BE236" s="110">
        <f>SUMIF('20.01'!$X:$X,$B:$B,'20.01'!$D:$D)*1.2</f>
        <v>0</v>
      </c>
      <c r="BF236" s="110">
        <f t="shared" si="282"/>
        <v>0</v>
      </c>
      <c r="BG236" s="17">
        <f>SUMIF('20.01'!$Y:$Y,$B:$B,'20.01'!$D:$D)*1.2</f>
        <v>0</v>
      </c>
      <c r="BH236" s="17">
        <f>SUMIF('20.01'!$Z:$Z,$B:$B,'20.01'!$D:$D)*1.2</f>
        <v>0</v>
      </c>
      <c r="BI236" s="17">
        <f>SUMIF('20.01'!$AA:$AA,$B:$B,'20.01'!$D:$D)*1.2</f>
        <v>0</v>
      </c>
      <c r="BJ236" s="17">
        <f>SUMIF('20.01'!$AB:$AB,$B:$B,'20.01'!$D:$D)*1.2</f>
        <v>0</v>
      </c>
      <c r="BK236" s="17">
        <f>SUMIF('20.01'!$AC:$AC,$B:$B,'20.01'!$D:$D)*1.2</f>
        <v>0</v>
      </c>
      <c r="BL236" s="17">
        <f>SUMIF('20.01'!$AD:$AD,$B:$B,'20.01'!$D:$D)*1.2</f>
        <v>0</v>
      </c>
      <c r="BM236" s="110">
        <f t="shared" si="283"/>
        <v>0</v>
      </c>
      <c r="BN236" s="17">
        <f>SUMIF('20.01'!$AE:$AE,$B:$B,'20.01'!$D:$D)*1.2</f>
        <v>0</v>
      </c>
      <c r="BO236" s="17">
        <f>SUMIF('20.01'!$AF:$AF,$B:$B,'20.01'!$D:$D)*1.2</f>
        <v>0</v>
      </c>
      <c r="BP236" s="110">
        <f>SUMIF('20.01'!$AG:$AG,$B:$B,'20.01'!$D:$D)*1.2</f>
        <v>0</v>
      </c>
      <c r="BQ236" s="110">
        <f>SUMIF('20.01'!$AH:$AH,$B:$B,'20.01'!$D:$D)*1.2</f>
        <v>0</v>
      </c>
      <c r="BR236" s="110">
        <f>SUMIF('20.01'!$AI:$AI,$B:$B,'20.01'!$D:$D)*1.2</f>
        <v>0</v>
      </c>
      <c r="BS236" s="110">
        <f t="shared" si="284"/>
        <v>0</v>
      </c>
      <c r="BT236" s="17">
        <f>SUMIF('20.01'!$AJ:$AJ,$B:$B,'20.01'!$D:$D)*1.2</f>
        <v>0</v>
      </c>
      <c r="BU236" s="17">
        <f>SUMIF('20.01'!$AK:$AK,$B:$B,'20.01'!$D:$D)*1.2</f>
        <v>0</v>
      </c>
      <c r="BV236" s="110">
        <f>SUMIF('20.01'!$AL:$AL,$B:$B,'20.01'!$D:$D)*1.2</f>
        <v>0</v>
      </c>
      <c r="BW236" s="110">
        <f>SUMIF('20.01'!$AM:$AM,$B:$B,'20.01'!$D:$D)*1.2</f>
        <v>0</v>
      </c>
      <c r="BX236" s="110">
        <f>SUMIF('20.01'!$AN:$AN,$B:$B,'20.01'!$D:$D)*1.2</f>
        <v>0</v>
      </c>
      <c r="BY236" s="110">
        <f t="shared" si="234"/>
        <v>454663.2856299557</v>
      </c>
      <c r="BZ236" s="17">
        <f t="shared" si="303"/>
        <v>368874.74600164592</v>
      </c>
      <c r="CA236" s="17">
        <f t="shared" si="235"/>
        <v>16872.684734069564</v>
      </c>
      <c r="CB236" s="17">
        <f t="shared" si="236"/>
        <v>1121.6096656763673</v>
      </c>
      <c r="CC236" s="17">
        <f>SUMIF('20.01'!$AO:$AO,$B:$B,'20.01'!$D:$D)*1.2</f>
        <v>0</v>
      </c>
      <c r="CD236" s="17">
        <f t="shared" si="237"/>
        <v>17608.132587196713</v>
      </c>
      <c r="CE236" s="17">
        <f>SUMIF('20.01'!$AQ:$AQ,$B:$B,'20.01'!$D:$D)*1.2</f>
        <v>0</v>
      </c>
      <c r="CF236" s="17">
        <f t="shared" si="238"/>
        <v>1602.0617166567654</v>
      </c>
      <c r="CG236" s="17">
        <f>SUMIF('20.01'!$AR:$AR,$B:$B,'20.01'!$D:$D)*1.2</f>
        <v>46706.52</v>
      </c>
      <c r="CH236" s="17">
        <f t="shared" si="239"/>
        <v>943.49810357261492</v>
      </c>
      <c r="CI236" s="17">
        <f>SUMIF('20.01'!$AT:$AT,$B:$B,'20.01'!$D:$D)*1.2</f>
        <v>0</v>
      </c>
      <c r="CJ236" s="17">
        <f>SUMIF('20.01'!$AU:$AU,$B:$B,'20.01'!$D:$D)*1.2</f>
        <v>0</v>
      </c>
      <c r="CK236" s="17">
        <f>SUMIF('20.01'!$AV:$AV,$B:$B,'20.01'!$D:$D)*1.2</f>
        <v>0</v>
      </c>
      <c r="CL236" s="17">
        <f t="shared" si="240"/>
        <v>934.03282113767466</v>
      </c>
      <c r="CM236" s="17">
        <f>SUMIF('20.01'!$AW:$AW,$B:$B,'20.01'!$D:$D)*1.2</f>
        <v>0</v>
      </c>
      <c r="CN236" s="17">
        <f>SUMIF('20.01'!$AX:$AX,$B:$B,'20.01'!$D:$D)*1.2</f>
        <v>0</v>
      </c>
      <c r="CO236" s="110">
        <f t="shared" si="285"/>
        <v>313331.97726558853</v>
      </c>
      <c r="CP236" s="17">
        <f t="shared" si="286"/>
        <v>247169.22862792254</v>
      </c>
      <c r="CQ236" s="17">
        <f t="shared" si="241"/>
        <v>76255.107991537268</v>
      </c>
      <c r="CR236" s="17">
        <f t="shared" si="242"/>
        <v>170914.12063638528</v>
      </c>
      <c r="CS236" s="17">
        <f t="shared" si="287"/>
        <v>66162.748637665994</v>
      </c>
      <c r="CT236" s="17">
        <f t="shared" si="243"/>
        <v>2410.3669725412365</v>
      </c>
      <c r="CU236" s="17">
        <f t="shared" si="244"/>
        <v>2331.3876770960101</v>
      </c>
      <c r="CV236" s="17">
        <f t="shared" si="245"/>
        <v>2409.540119205361</v>
      </c>
      <c r="CW236" s="17">
        <f t="shared" si="246"/>
        <v>25.266681161230281</v>
      </c>
      <c r="CX236" s="17">
        <f t="shared" si="247"/>
        <v>35578.027300661612</v>
      </c>
      <c r="CY236" s="17">
        <f t="shared" si="248"/>
        <v>23408.159887000536</v>
      </c>
      <c r="CZ236" s="110">
        <f t="shared" si="288"/>
        <v>77777.199525755947</v>
      </c>
      <c r="DA236" s="17">
        <f t="shared" si="289"/>
        <v>2937.9861815384047</v>
      </c>
      <c r="DB236" s="17">
        <f t="shared" si="249"/>
        <v>2788.0411132621225</v>
      </c>
      <c r="DC236" s="17">
        <f t="shared" si="250"/>
        <v>149.94506827628223</v>
      </c>
      <c r="DD236" s="17">
        <f t="shared" si="251"/>
        <v>5177.0686638244715</v>
      </c>
      <c r="DE236" s="17">
        <f t="shared" si="252"/>
        <v>1786.2251033675561</v>
      </c>
      <c r="DF236" s="17">
        <f t="shared" si="253"/>
        <v>2167.8330113032625</v>
      </c>
      <c r="DG236" s="17">
        <f t="shared" si="290"/>
        <v>65708.086565722246</v>
      </c>
      <c r="DH236" s="110">
        <f t="shared" si="291"/>
        <v>48539.048243251076</v>
      </c>
      <c r="DI236" s="17">
        <f t="shared" si="254"/>
        <v>43541.505321368393</v>
      </c>
      <c r="DJ236" s="17">
        <f t="shared" si="255"/>
        <v>4815.4346364611429</v>
      </c>
      <c r="DK236" s="17">
        <f t="shared" si="256"/>
        <v>182.10828542154474</v>
      </c>
      <c r="DL236" s="110">
        <f t="shared" si="292"/>
        <v>288566.41450947733</v>
      </c>
      <c r="DM236" s="17">
        <f t="shared" si="257"/>
        <v>152940.19969002297</v>
      </c>
      <c r="DN236" s="17">
        <f t="shared" si="258"/>
        <v>135626.21481945436</v>
      </c>
      <c r="DO236" s="17">
        <f t="shared" si="259"/>
        <v>0</v>
      </c>
      <c r="DP236" s="110">
        <f t="shared" si="293"/>
        <v>0</v>
      </c>
      <c r="DQ236" s="17">
        <f>SUMIF('20.01'!$BB:$BB,$B:$B,'20.01'!$D:$D)*1.2</f>
        <v>0</v>
      </c>
      <c r="DR236" s="17">
        <f t="shared" si="260"/>
        <v>0</v>
      </c>
      <c r="DS236" s="17">
        <f t="shared" si="261"/>
        <v>0</v>
      </c>
      <c r="DT236" s="110">
        <f t="shared" si="294"/>
        <v>5689.5240000000003</v>
      </c>
      <c r="DU236" s="17">
        <f>SUMIF('20.01'!$BD:$BD,$B:$B,'20.01'!$D:$D)*1.2</f>
        <v>5689.5240000000003</v>
      </c>
      <c r="DV236" s="17">
        <f t="shared" si="262"/>
        <v>0</v>
      </c>
      <c r="DW236" s="17">
        <f t="shared" si="263"/>
        <v>0</v>
      </c>
      <c r="DX236" s="110">
        <f t="shared" si="264"/>
        <v>1280741.1068190024</v>
      </c>
      <c r="DY236" s="110"/>
      <c r="DZ236" s="110">
        <f t="shared" si="295"/>
        <v>1280741.1068190024</v>
      </c>
      <c r="EA236" s="257"/>
      <c r="EB236" s="110">
        <f t="shared" si="265"/>
        <v>0</v>
      </c>
      <c r="EC236" s="110">
        <f>SUMIF(еирц!$B:$B,$B:$B,еирц!$K:$K)</f>
        <v>711831</v>
      </c>
      <c r="ED236" s="110">
        <f>SUMIF(еирц!$B:$B,$B:$B,еирц!$P:$P)</f>
        <v>676756.09000000008</v>
      </c>
      <c r="EE236" s="110">
        <f>SUMIF(еирц!$B:$B,$B:$B,еирц!$S:$S)</f>
        <v>129874.18</v>
      </c>
      <c r="EF236" s="177">
        <f t="shared" si="296"/>
        <v>-568910.10681900242</v>
      </c>
      <c r="EG236" s="181">
        <f t="shared" si="297"/>
        <v>0</v>
      </c>
      <c r="EH236" s="177">
        <f t="shared" si="298"/>
        <v>-568910.10681900242</v>
      </c>
    </row>
    <row r="237" spans="1:138" s="24" customFormat="1" ht="12" customHeight="1" x14ac:dyDescent="0.25">
      <c r="A237" s="5">
        <f t="shared" si="299"/>
        <v>233</v>
      </c>
      <c r="B237" s="6" t="s">
        <v>324</v>
      </c>
      <c r="C237" s="7">
        <f t="shared" si="300"/>
        <v>2976.2999999999997</v>
      </c>
      <c r="D237" s="8">
        <v>2941.7</v>
      </c>
      <c r="E237" s="8">
        <v>34.6</v>
      </c>
      <c r="F237" s="8">
        <v>715</v>
      </c>
      <c r="G237" s="91">
        <f t="shared" si="232"/>
        <v>2976.2999999999997</v>
      </c>
      <c r="H237" s="87">
        <f t="shared" si="233"/>
        <v>0</v>
      </c>
      <c r="I237" s="91">
        <v>2</v>
      </c>
      <c r="J237" s="112">
        <v>8.4829306520636599E-4</v>
      </c>
      <c r="K237" s="17">
        <v>0</v>
      </c>
      <c r="L237" s="112">
        <f t="shared" si="266"/>
        <v>0</v>
      </c>
      <c r="M237" s="116">
        <v>3.4064182637347864</v>
      </c>
      <c r="N237" s="120">
        <f t="shared" si="267"/>
        <v>2976.2999999999997</v>
      </c>
      <c r="O237" s="116">
        <v>2.6059535471723492</v>
      </c>
      <c r="P237" s="120">
        <f t="shared" si="268"/>
        <v>2976.2999999999997</v>
      </c>
      <c r="Q237" s="116">
        <v>1.6009257481003296</v>
      </c>
      <c r="R237" s="120">
        <f t="shared" si="269"/>
        <v>2976.2999999999997</v>
      </c>
      <c r="S237" s="5" t="s">
        <v>310</v>
      </c>
      <c r="T237" s="87">
        <v>32.07</v>
      </c>
      <c r="U237" s="88">
        <v>4.03</v>
      </c>
      <c r="V237" s="88">
        <v>5.61</v>
      </c>
      <c r="W237" s="88">
        <v>7.92</v>
      </c>
      <c r="X237" s="88">
        <v>5.4</v>
      </c>
      <c r="Y237" s="88">
        <v>2.67</v>
      </c>
      <c r="Z237" s="88">
        <v>1.54</v>
      </c>
      <c r="AA237" s="88">
        <v>4.9000000000000004</v>
      </c>
      <c r="AB237" s="88">
        <v>0</v>
      </c>
      <c r="AC237" s="257"/>
      <c r="AD237" s="110">
        <f t="shared" si="270"/>
        <v>106557.41998277298</v>
      </c>
      <c r="AE237" s="110">
        <f t="shared" si="271"/>
        <v>105721.34142063791</v>
      </c>
      <c r="AF237" s="16">
        <f>SUMIF('20.01'!$I:$I,$B:$B,'20.01'!$D:$D)*1.2</f>
        <v>54358.092000000004</v>
      </c>
      <c r="AG237" s="17">
        <f t="shared" si="304"/>
        <v>8098.88327221282</v>
      </c>
      <c r="AH237" s="17">
        <f t="shared" si="272"/>
        <v>2272.6996941443263</v>
      </c>
      <c r="AI237" s="16">
        <f>SUMIF('20.01'!$J:$J,$B:$B,'20.01'!$D:$D)*1.2</f>
        <v>0</v>
      </c>
      <c r="AJ237" s="17">
        <f t="shared" si="273"/>
        <v>923.57406059085827</v>
      </c>
      <c r="AK237" s="17">
        <f t="shared" si="274"/>
        <v>2246.850513091601</v>
      </c>
      <c r="AL237" s="17">
        <f t="shared" si="275"/>
        <v>37821.241880598296</v>
      </c>
      <c r="AM237" s="110">
        <f t="shared" si="276"/>
        <v>0</v>
      </c>
      <c r="AN237" s="17">
        <f>SUMIF('20.01'!$K:$K,$B:$B,'20.01'!$D:$D)*1.2</f>
        <v>0</v>
      </c>
      <c r="AO237" s="17">
        <f>SUMIF('20.01'!$L:$L,$B:$B,'20.01'!$D:$D)*1.2</f>
        <v>0</v>
      </c>
      <c r="AP237" s="17">
        <f>SUMIF('20.01'!$M:$M,$B:$B,'20.01'!$D:$D)*1.2</f>
        <v>0</v>
      </c>
      <c r="AQ237" s="110">
        <f t="shared" si="277"/>
        <v>836.07856213506921</v>
      </c>
      <c r="AR237" s="17">
        <f t="shared" si="278"/>
        <v>836.07856213506921</v>
      </c>
      <c r="AS237" s="17">
        <f>(SUMIF('20.01'!$N:$N,$B:$B,'20.01'!$D:$D)+SUMIF('20.01'!$O:$O,$B:$B,'20.01'!$D:$D))*1.2</f>
        <v>0</v>
      </c>
      <c r="AT237" s="110">
        <f>SUMIF('20.01'!$P:$P,$B:$B,'20.01'!$D:$D)*1.2</f>
        <v>0</v>
      </c>
      <c r="AU237" s="110">
        <f t="shared" si="279"/>
        <v>0</v>
      </c>
      <c r="AV237" s="17">
        <f>SUMIF('20.01'!$Q:$Q,$B:$B,'20.01'!$D:$D)*1.2</f>
        <v>0</v>
      </c>
      <c r="AW237" s="17">
        <f>SUMIF('20.01'!$R:$R,$B:$B,'20.01'!$D:$D)*1.2</f>
        <v>0</v>
      </c>
      <c r="AX237" s="110">
        <f t="shared" si="280"/>
        <v>0</v>
      </c>
      <c r="AY237" s="17">
        <f>SUMIF('20.01'!$S:$S,$B:$B,'20.01'!$D:$D)*1.2</f>
        <v>0</v>
      </c>
      <c r="AZ237" s="17">
        <f>SUMIF('20.01'!$T:$T,$B:$B,'20.01'!$D:$D)*1.2</f>
        <v>0</v>
      </c>
      <c r="BA237" s="110">
        <f t="shared" si="281"/>
        <v>0</v>
      </c>
      <c r="BB237" s="17">
        <f>SUMIF('20.01'!$U:$U,$B:$B,'20.01'!$D:$D)*1.2</f>
        <v>0</v>
      </c>
      <c r="BC237" s="17">
        <f>SUMIF('20.01'!$V:$V,$B:$B,'20.01'!$D:$D)*1.2</f>
        <v>0</v>
      </c>
      <c r="BD237" s="17">
        <f>SUMIF('20.01'!$W:$W,$B:$B,'20.01'!$D:$D)*1.2</f>
        <v>0</v>
      </c>
      <c r="BE237" s="110">
        <f>SUMIF('20.01'!$X:$X,$B:$B,'20.01'!$D:$D)*1.2</f>
        <v>0</v>
      </c>
      <c r="BF237" s="110">
        <f t="shared" si="282"/>
        <v>0</v>
      </c>
      <c r="BG237" s="17">
        <f>SUMIF('20.01'!$Y:$Y,$B:$B,'20.01'!$D:$D)*1.2</f>
        <v>0</v>
      </c>
      <c r="BH237" s="17">
        <f>SUMIF('20.01'!$Z:$Z,$B:$B,'20.01'!$D:$D)*1.2</f>
        <v>0</v>
      </c>
      <c r="BI237" s="17">
        <f>SUMIF('20.01'!$AA:$AA,$B:$B,'20.01'!$D:$D)*1.2</f>
        <v>0</v>
      </c>
      <c r="BJ237" s="17">
        <f>SUMIF('20.01'!$AB:$AB,$B:$B,'20.01'!$D:$D)*1.2</f>
        <v>0</v>
      </c>
      <c r="BK237" s="17">
        <f>SUMIF('20.01'!$AC:$AC,$B:$B,'20.01'!$D:$D)*1.2</f>
        <v>0</v>
      </c>
      <c r="BL237" s="17">
        <f>SUMIF('20.01'!$AD:$AD,$B:$B,'20.01'!$D:$D)*1.2</f>
        <v>0</v>
      </c>
      <c r="BM237" s="110">
        <f t="shared" si="283"/>
        <v>0</v>
      </c>
      <c r="BN237" s="17">
        <f>SUMIF('20.01'!$AE:$AE,$B:$B,'20.01'!$D:$D)*1.2</f>
        <v>0</v>
      </c>
      <c r="BO237" s="17">
        <f>SUMIF('20.01'!$AF:$AF,$B:$B,'20.01'!$D:$D)*1.2</f>
        <v>0</v>
      </c>
      <c r="BP237" s="110">
        <f>SUMIF('20.01'!$AG:$AG,$B:$B,'20.01'!$D:$D)*1.2</f>
        <v>0</v>
      </c>
      <c r="BQ237" s="110">
        <f>SUMIF('20.01'!$AH:$AH,$B:$B,'20.01'!$D:$D)*1.2</f>
        <v>0</v>
      </c>
      <c r="BR237" s="110">
        <f>SUMIF('20.01'!$AI:$AI,$B:$B,'20.01'!$D:$D)*1.2</f>
        <v>0</v>
      </c>
      <c r="BS237" s="110">
        <f t="shared" si="284"/>
        <v>0</v>
      </c>
      <c r="BT237" s="17">
        <f>SUMIF('20.01'!$AJ:$AJ,$B:$B,'20.01'!$D:$D)*1.2</f>
        <v>0</v>
      </c>
      <c r="BU237" s="17">
        <f>SUMIF('20.01'!$AK:$AK,$B:$B,'20.01'!$D:$D)*1.2</f>
        <v>0</v>
      </c>
      <c r="BV237" s="110">
        <f>SUMIF('20.01'!$AL:$AL,$B:$B,'20.01'!$D:$D)*1.2</f>
        <v>0</v>
      </c>
      <c r="BW237" s="110">
        <f>SUMIF('20.01'!$AM:$AM,$B:$B,'20.01'!$D:$D)*1.2</f>
        <v>0</v>
      </c>
      <c r="BX237" s="110">
        <f>SUMIF('20.01'!$AN:$AN,$B:$B,'20.01'!$D:$D)*1.2</f>
        <v>0</v>
      </c>
      <c r="BY237" s="110">
        <f t="shared" si="234"/>
        <v>446332.05467741395</v>
      </c>
      <c r="BZ237" s="17">
        <f t="shared" si="303"/>
        <v>403573.7047951399</v>
      </c>
      <c r="CA237" s="17">
        <f t="shared" si="235"/>
        <v>18459.848395093089</v>
      </c>
      <c r="CB237" s="17">
        <f t="shared" si="236"/>
        <v>1227.1161770153549</v>
      </c>
      <c r="CC237" s="17">
        <f>SUMIF('20.01'!$AO:$AO,$B:$B,'20.01'!$D:$D)*1.2</f>
        <v>0</v>
      </c>
      <c r="CD237" s="17">
        <f t="shared" si="237"/>
        <v>19264.477657430369</v>
      </c>
      <c r="CE237" s="17">
        <f>SUMIF('20.01'!$AQ:$AQ,$B:$B,'20.01'!$D:$D)*1.2</f>
        <v>0</v>
      </c>
      <c r="CF237" s="17">
        <f t="shared" si="238"/>
        <v>1752.7629345998862</v>
      </c>
      <c r="CG237" s="17">
        <f>SUMIF('20.01'!$AR:$AR,$B:$B,'20.01'!$D:$D)*1.2</f>
        <v>0</v>
      </c>
      <c r="CH237" s="17">
        <f t="shared" si="239"/>
        <v>1032.2501858782434</v>
      </c>
      <c r="CI237" s="17">
        <f>SUMIF('20.01'!$AT:$AT,$B:$B,'20.01'!$D:$D)*1.2</f>
        <v>0</v>
      </c>
      <c r="CJ237" s="17">
        <f>SUMIF('20.01'!$AU:$AU,$B:$B,'20.01'!$D:$D)*1.2</f>
        <v>0</v>
      </c>
      <c r="CK237" s="17">
        <f>SUMIF('20.01'!$AV:$AV,$B:$B,'20.01'!$D:$D)*1.2</f>
        <v>0</v>
      </c>
      <c r="CL237" s="17">
        <f t="shared" si="240"/>
        <v>1021.8945322570434</v>
      </c>
      <c r="CM237" s="17">
        <f>SUMIF('20.01'!$AW:$AW,$B:$B,'20.01'!$D:$D)*1.2</f>
        <v>0</v>
      </c>
      <c r="CN237" s="17">
        <f>SUMIF('20.01'!$AX:$AX,$B:$B,'20.01'!$D:$D)*1.2</f>
        <v>0</v>
      </c>
      <c r="CO237" s="110">
        <f t="shared" si="285"/>
        <v>342806.19171282568</v>
      </c>
      <c r="CP237" s="17">
        <f t="shared" si="286"/>
        <v>270419.70855950809</v>
      </c>
      <c r="CQ237" s="17">
        <f t="shared" si="241"/>
        <v>83428.200968685618</v>
      </c>
      <c r="CR237" s="17">
        <f t="shared" si="242"/>
        <v>186991.50759082247</v>
      </c>
      <c r="CS237" s="17">
        <f t="shared" si="287"/>
        <v>72386.483153317618</v>
      </c>
      <c r="CT237" s="17">
        <f t="shared" si="243"/>
        <v>2637.1030805670052</v>
      </c>
      <c r="CU237" s="17">
        <f t="shared" si="244"/>
        <v>2550.6944358700389</v>
      </c>
      <c r="CV237" s="17">
        <f t="shared" si="245"/>
        <v>2636.1984475778982</v>
      </c>
      <c r="CW237" s="17">
        <f t="shared" si="246"/>
        <v>27.64344329516603</v>
      </c>
      <c r="CX237" s="17">
        <f t="shared" si="247"/>
        <v>38924.747336773689</v>
      </c>
      <c r="CY237" s="17">
        <f t="shared" si="248"/>
        <v>25610.096409233822</v>
      </c>
      <c r="CZ237" s="110">
        <f t="shared" si="288"/>
        <v>85093.471161780399</v>
      </c>
      <c r="DA237" s="17">
        <f t="shared" si="289"/>
        <v>3214.3538715309342</v>
      </c>
      <c r="DB237" s="17">
        <f t="shared" si="249"/>
        <v>3050.3039131752885</v>
      </c>
      <c r="DC237" s="17">
        <f t="shared" si="250"/>
        <v>164.04995835564577</v>
      </c>
      <c r="DD237" s="17">
        <f t="shared" si="251"/>
        <v>5664.0602353112672</v>
      </c>
      <c r="DE237" s="17">
        <f t="shared" si="252"/>
        <v>1954.2500276256642</v>
      </c>
      <c r="DF237" s="17">
        <f t="shared" si="253"/>
        <v>2371.7546653219742</v>
      </c>
      <c r="DG237" s="17">
        <f t="shared" si="290"/>
        <v>71889.052361990558</v>
      </c>
      <c r="DH237" s="110">
        <f t="shared" si="291"/>
        <v>53104.973270985211</v>
      </c>
      <c r="DI237" s="17">
        <f t="shared" si="254"/>
        <v>47637.326234373155</v>
      </c>
      <c r="DJ237" s="17">
        <f t="shared" si="255"/>
        <v>5268.4083621891259</v>
      </c>
      <c r="DK237" s="17">
        <f t="shared" si="256"/>
        <v>199.23867442293175</v>
      </c>
      <c r="DL237" s="110">
        <f t="shared" si="292"/>
        <v>401852.7724229375</v>
      </c>
      <c r="DM237" s="17">
        <f t="shared" si="257"/>
        <v>167326.83294273465</v>
      </c>
      <c r="DN237" s="17">
        <f t="shared" si="258"/>
        <v>148384.17260959488</v>
      </c>
      <c r="DO237" s="17">
        <f t="shared" si="259"/>
        <v>86141.766870607971</v>
      </c>
      <c r="DP237" s="110">
        <f t="shared" si="293"/>
        <v>193737.76615191676</v>
      </c>
      <c r="DQ237" s="108">
        <f>(SUMIF('20.01'!$BB:$BB,$B:$B,'20.01'!$D:$D)+(412109.7/6*2))*1.2</f>
        <v>170309.592</v>
      </c>
      <c r="DR237" s="17">
        <f t="shared" si="260"/>
        <v>23255.777225108784</v>
      </c>
      <c r="DS237" s="17">
        <f t="shared" si="261"/>
        <v>172.39692680796517</v>
      </c>
      <c r="DT237" s="110">
        <f t="shared" si="294"/>
        <v>0</v>
      </c>
      <c r="DU237" s="17">
        <f>SUMIF('20.01'!$BD:$BD,$B:$B,'20.01'!$D:$D)*1.2</f>
        <v>0</v>
      </c>
      <c r="DV237" s="17">
        <f t="shared" si="262"/>
        <v>0</v>
      </c>
      <c r="DW237" s="17">
        <f t="shared" si="263"/>
        <v>0</v>
      </c>
      <c r="DX237" s="110">
        <f t="shared" si="264"/>
        <v>1629484.6493806324</v>
      </c>
      <c r="DY237" s="110"/>
      <c r="DZ237" s="110">
        <f t="shared" si="295"/>
        <v>1629484.6493806324</v>
      </c>
      <c r="EA237" s="257"/>
      <c r="EB237" s="110">
        <f t="shared" si="265"/>
        <v>0</v>
      </c>
      <c r="EC237" s="110">
        <f>SUMIF(еирц!$B:$B,$B:$B,еирц!$K:$K)</f>
        <v>1132084.44</v>
      </c>
      <c r="ED237" s="110">
        <f>SUMIF(еирц!$B:$B,$B:$B,еирц!$P:$P)</f>
        <v>1077933.7400000002</v>
      </c>
      <c r="EE237" s="110">
        <f>SUMIF(еирц!$B:$B,$B:$B,еирц!$S:$S)</f>
        <v>173215.43</v>
      </c>
      <c r="EF237" s="177">
        <f t="shared" si="296"/>
        <v>-497400.2093806325</v>
      </c>
      <c r="EG237" s="181">
        <f t="shared" si="297"/>
        <v>0</v>
      </c>
      <c r="EH237" s="177">
        <f t="shared" si="298"/>
        <v>-497400.2093806325</v>
      </c>
    </row>
    <row r="238" spans="1:138" s="24" customFormat="1" ht="12" customHeight="1" x14ac:dyDescent="0.25">
      <c r="A238" s="5">
        <f t="shared" si="299"/>
        <v>234</v>
      </c>
      <c r="B238" s="6" t="s">
        <v>325</v>
      </c>
      <c r="C238" s="7">
        <f t="shared" si="300"/>
        <v>3103.2</v>
      </c>
      <c r="D238" s="8">
        <v>3103.2</v>
      </c>
      <c r="E238" s="8">
        <v>0</v>
      </c>
      <c r="F238" s="8">
        <v>314</v>
      </c>
      <c r="G238" s="87">
        <f t="shared" si="232"/>
        <v>3103.2</v>
      </c>
      <c r="H238" s="87">
        <f t="shared" si="233"/>
        <v>3103.2</v>
      </c>
      <c r="I238" s="91">
        <v>0</v>
      </c>
      <c r="J238" s="112">
        <v>0</v>
      </c>
      <c r="K238" s="17">
        <v>0</v>
      </c>
      <c r="L238" s="112">
        <f t="shared" si="266"/>
        <v>0</v>
      </c>
      <c r="M238" s="116">
        <v>3.4064185531147331</v>
      </c>
      <c r="N238" s="120">
        <f t="shared" si="267"/>
        <v>3103.2</v>
      </c>
      <c r="O238" s="116">
        <v>2.60595305031244</v>
      </c>
      <c r="P238" s="120">
        <f t="shared" si="268"/>
        <v>3103.2</v>
      </c>
      <c r="Q238" s="116">
        <v>0</v>
      </c>
      <c r="R238" s="120">
        <f t="shared" si="269"/>
        <v>0</v>
      </c>
      <c r="S238" s="5" t="s">
        <v>310</v>
      </c>
      <c r="T238" s="87">
        <v>23.45</v>
      </c>
      <c r="U238" s="88">
        <v>4.32</v>
      </c>
      <c r="V238" s="88">
        <v>4.8899999999999997</v>
      </c>
      <c r="W238" s="88">
        <v>7.16</v>
      </c>
      <c r="X238" s="88">
        <v>4.1900000000000004</v>
      </c>
      <c r="Y238" s="88">
        <v>2.67</v>
      </c>
      <c r="Z238" s="88">
        <v>0</v>
      </c>
      <c r="AA238" s="88">
        <v>0</v>
      </c>
      <c r="AB238" s="88">
        <v>0.22</v>
      </c>
      <c r="AC238" s="257"/>
      <c r="AD238" s="110">
        <f t="shared" si="270"/>
        <v>140693.80590644127</v>
      </c>
      <c r="AE238" s="110">
        <f t="shared" si="271"/>
        <v>139822.07960397931</v>
      </c>
      <c r="AF238" s="16">
        <f>SUMIF('20.01'!$I:$I,$B:$B,'20.01'!$D:$D)*1.2</f>
        <v>86268.864000000001</v>
      </c>
      <c r="AG238" s="17">
        <f t="shared" si="304"/>
        <v>8444.193989292351</v>
      </c>
      <c r="AH238" s="17">
        <f t="shared" si="272"/>
        <v>2369.6004068369029</v>
      </c>
      <c r="AI238" s="16">
        <f>SUMIF('20.01'!$J:$J,$B:$B,'20.01'!$D:$D)*1.2</f>
        <v>0</v>
      </c>
      <c r="AJ238" s="17">
        <f t="shared" si="273"/>
        <v>962.95233169557889</v>
      </c>
      <c r="AK238" s="17">
        <f t="shared" si="274"/>
        <v>2342.6490986210583</v>
      </c>
      <c r="AL238" s="17">
        <f t="shared" si="275"/>
        <v>39433.819777533397</v>
      </c>
      <c r="AM238" s="110">
        <f t="shared" si="276"/>
        <v>0</v>
      </c>
      <c r="AN238" s="17">
        <f>SUMIF('20.01'!$K:$K,$B:$B,'20.01'!$D:$D)*1.2</f>
        <v>0</v>
      </c>
      <c r="AO238" s="17">
        <f>SUMIF('20.01'!$L:$L,$B:$B,'20.01'!$D:$D)*1.2</f>
        <v>0</v>
      </c>
      <c r="AP238" s="17">
        <f>SUMIF('20.01'!$M:$M,$B:$B,'20.01'!$D:$D)*1.2</f>
        <v>0</v>
      </c>
      <c r="AQ238" s="110">
        <f t="shared" si="277"/>
        <v>871.72630246196513</v>
      </c>
      <c r="AR238" s="17">
        <f t="shared" si="278"/>
        <v>871.72630246196513</v>
      </c>
      <c r="AS238" s="17">
        <f>(SUMIF('20.01'!$N:$N,$B:$B,'20.01'!$D:$D)+SUMIF('20.01'!$O:$O,$B:$B,'20.01'!$D:$D))*1.2</f>
        <v>0</v>
      </c>
      <c r="AT238" s="110">
        <f>SUMIF('20.01'!$P:$P,$B:$B,'20.01'!$D:$D)*1.2</f>
        <v>0</v>
      </c>
      <c r="AU238" s="110">
        <f t="shared" si="279"/>
        <v>0</v>
      </c>
      <c r="AV238" s="17">
        <f>SUMIF('20.01'!$Q:$Q,$B:$B,'20.01'!$D:$D)*1.2</f>
        <v>0</v>
      </c>
      <c r="AW238" s="17">
        <f>SUMIF('20.01'!$R:$R,$B:$B,'20.01'!$D:$D)*1.2</f>
        <v>0</v>
      </c>
      <c r="AX238" s="110">
        <f t="shared" si="280"/>
        <v>0</v>
      </c>
      <c r="AY238" s="17">
        <f>SUMIF('20.01'!$S:$S,$B:$B,'20.01'!$D:$D)*1.2</f>
        <v>0</v>
      </c>
      <c r="AZ238" s="17">
        <f>SUMIF('20.01'!$T:$T,$B:$B,'20.01'!$D:$D)*1.2</f>
        <v>0</v>
      </c>
      <c r="BA238" s="110">
        <f t="shared" si="281"/>
        <v>0</v>
      </c>
      <c r="BB238" s="17">
        <f>SUMIF('20.01'!$U:$U,$B:$B,'20.01'!$D:$D)*1.2</f>
        <v>0</v>
      </c>
      <c r="BC238" s="17">
        <f>SUMIF('20.01'!$V:$V,$B:$B,'20.01'!$D:$D)*1.2</f>
        <v>0</v>
      </c>
      <c r="BD238" s="17">
        <f>SUMIF('20.01'!$W:$W,$B:$B,'20.01'!$D:$D)*1.2</f>
        <v>0</v>
      </c>
      <c r="BE238" s="110">
        <f>SUMIF('20.01'!$X:$X,$B:$B,'20.01'!$D:$D)*1.2</f>
        <v>0</v>
      </c>
      <c r="BF238" s="110">
        <f t="shared" si="282"/>
        <v>0</v>
      </c>
      <c r="BG238" s="17">
        <f>SUMIF('20.01'!$Y:$Y,$B:$B,'20.01'!$D:$D)*1.2</f>
        <v>0</v>
      </c>
      <c r="BH238" s="17">
        <f>SUMIF('20.01'!$Z:$Z,$B:$B,'20.01'!$D:$D)*1.2</f>
        <v>0</v>
      </c>
      <c r="BI238" s="17">
        <f>SUMIF('20.01'!$AA:$AA,$B:$B,'20.01'!$D:$D)*1.2</f>
        <v>0</v>
      </c>
      <c r="BJ238" s="17">
        <f>SUMIF('20.01'!$AB:$AB,$B:$B,'20.01'!$D:$D)*1.2</f>
        <v>0</v>
      </c>
      <c r="BK238" s="17">
        <f>SUMIF('20.01'!$AC:$AC,$B:$B,'20.01'!$D:$D)*1.2</f>
        <v>0</v>
      </c>
      <c r="BL238" s="17">
        <f>SUMIF('20.01'!$AD:$AD,$B:$B,'20.01'!$D:$D)*1.2</f>
        <v>0</v>
      </c>
      <c r="BM238" s="110">
        <f t="shared" si="283"/>
        <v>0</v>
      </c>
      <c r="BN238" s="17">
        <f>SUMIF('20.01'!$AE:$AE,$B:$B,'20.01'!$D:$D)*1.2</f>
        <v>0</v>
      </c>
      <c r="BO238" s="17">
        <f>SUMIF('20.01'!$AF:$AF,$B:$B,'20.01'!$D:$D)*1.2</f>
        <v>0</v>
      </c>
      <c r="BP238" s="110">
        <f>SUMIF('20.01'!$AG:$AG,$B:$B,'20.01'!$D:$D)*1.2</f>
        <v>0</v>
      </c>
      <c r="BQ238" s="110">
        <f>SUMIF('20.01'!$AH:$AH,$B:$B,'20.01'!$D:$D)*1.2</f>
        <v>0</v>
      </c>
      <c r="BR238" s="110">
        <f>SUMIF('20.01'!$AI:$AI,$B:$B,'20.01'!$D:$D)*1.2</f>
        <v>0</v>
      </c>
      <c r="BS238" s="110">
        <f t="shared" si="284"/>
        <v>0</v>
      </c>
      <c r="BT238" s="17">
        <f>SUMIF('20.01'!$AJ:$AJ,$B:$B,'20.01'!$D:$D)*1.2</f>
        <v>0</v>
      </c>
      <c r="BU238" s="17">
        <f>SUMIF('20.01'!$AK:$AK,$B:$B,'20.01'!$D:$D)*1.2</f>
        <v>0</v>
      </c>
      <c r="BV238" s="110">
        <f>SUMIF('20.01'!$AL:$AL,$B:$B,'20.01'!$D:$D)*1.2</f>
        <v>0</v>
      </c>
      <c r="BW238" s="110">
        <f>SUMIF('20.01'!$AM:$AM,$B:$B,'20.01'!$D:$D)*1.2</f>
        <v>0</v>
      </c>
      <c r="BX238" s="110">
        <f>SUMIF('20.01'!$AN:$AN,$B:$B,'20.01'!$D:$D)*1.2</f>
        <v>0</v>
      </c>
      <c r="BY238" s="110">
        <f t="shared" si="234"/>
        <v>557752.3630467864</v>
      </c>
      <c r="BZ238" s="17">
        <f t="shared" si="303"/>
        <v>420780.80862825591</v>
      </c>
      <c r="CA238" s="17">
        <f t="shared" si="235"/>
        <v>19246.917830747192</v>
      </c>
      <c r="CB238" s="17">
        <f t="shared" si="236"/>
        <v>1279.4365220287098</v>
      </c>
      <c r="CC238" s="17">
        <f>SUMIF('20.01'!$AO:$AO,$B:$B,'20.01'!$D:$D)*1.2</f>
        <v>0</v>
      </c>
      <c r="CD238" s="17">
        <f t="shared" si="237"/>
        <v>20085.853934931936</v>
      </c>
      <c r="CE238" s="17">
        <f>SUMIF('20.01'!$AQ:$AQ,$B:$B,'20.01'!$D:$D)*1.2</f>
        <v>0</v>
      </c>
      <c r="CF238" s="17">
        <f t="shared" si="238"/>
        <v>1827.4951915634738</v>
      </c>
      <c r="CG238" s="17">
        <f>SUMIF('20.01'!$AR:$AR,$B:$B,'20.01'!$D:$D)*1.2</f>
        <v>92390.123999999996</v>
      </c>
      <c r="CH238" s="17">
        <f t="shared" si="239"/>
        <v>1076.2620625667323</v>
      </c>
      <c r="CI238" s="17">
        <f>SUMIF('20.01'!$AT:$AT,$B:$B,'20.01'!$D:$D)*1.2</f>
        <v>0</v>
      </c>
      <c r="CJ238" s="17">
        <f>SUMIF('20.01'!$AU:$AU,$B:$B,'20.01'!$D:$D)*1.2</f>
        <v>0</v>
      </c>
      <c r="CK238" s="17">
        <f>SUMIF('20.01'!$AV:$AV,$B:$B,'20.01'!$D:$D)*1.2</f>
        <v>0</v>
      </c>
      <c r="CL238" s="17">
        <f t="shared" si="240"/>
        <v>1065.4648766925568</v>
      </c>
      <c r="CM238" s="17">
        <f>SUMIF('20.01'!$AW:$AW,$B:$B,'20.01'!$D:$D)*1.2</f>
        <v>0</v>
      </c>
      <c r="CN238" s="17">
        <f>SUMIF('20.01'!$AX:$AX,$B:$B,'20.01'!$D:$D)*1.2</f>
        <v>0</v>
      </c>
      <c r="CO238" s="110">
        <f t="shared" si="285"/>
        <v>357422.36136251077</v>
      </c>
      <c r="CP238" s="17">
        <f t="shared" si="286"/>
        <v>281949.54796286178</v>
      </c>
      <c r="CQ238" s="17">
        <f t="shared" si="241"/>
        <v>86985.315071069854</v>
      </c>
      <c r="CR238" s="17">
        <f t="shared" si="242"/>
        <v>194964.23289179191</v>
      </c>
      <c r="CS238" s="17">
        <f t="shared" si="287"/>
        <v>75472.813399648978</v>
      </c>
      <c r="CT238" s="17">
        <f t="shared" si="243"/>
        <v>2749.5407988494208</v>
      </c>
      <c r="CU238" s="17">
        <f t="shared" si="244"/>
        <v>2659.4479633746278</v>
      </c>
      <c r="CV238" s="17">
        <f t="shared" si="245"/>
        <v>2748.5975951764722</v>
      </c>
      <c r="CW238" s="17">
        <f t="shared" si="246"/>
        <v>28.822072114222099</v>
      </c>
      <c r="CX238" s="17">
        <f t="shared" si="247"/>
        <v>40584.375209312275</v>
      </c>
      <c r="CY238" s="17">
        <f t="shared" si="248"/>
        <v>26702.029760821959</v>
      </c>
      <c r="CZ238" s="110">
        <f t="shared" si="288"/>
        <v>88721.587107898027</v>
      </c>
      <c r="DA238" s="17">
        <f t="shared" si="289"/>
        <v>3351.4037342118722</v>
      </c>
      <c r="DB238" s="17">
        <f t="shared" si="249"/>
        <v>3180.3592055120639</v>
      </c>
      <c r="DC238" s="17">
        <f t="shared" si="250"/>
        <v>171.04452869980847</v>
      </c>
      <c r="DD238" s="17">
        <f t="shared" si="251"/>
        <v>5905.5578141376627</v>
      </c>
      <c r="DE238" s="17">
        <f t="shared" si="252"/>
        <v>2037.5730557161446</v>
      </c>
      <c r="DF238" s="17">
        <f t="shared" si="253"/>
        <v>2472.8787680768573</v>
      </c>
      <c r="DG238" s="17">
        <f t="shared" si="290"/>
        <v>74954.173735755496</v>
      </c>
      <c r="DH238" s="110">
        <f t="shared" si="291"/>
        <v>55369.201039720894</v>
      </c>
      <c r="DI238" s="17">
        <f t="shared" si="254"/>
        <v>49668.430860634602</v>
      </c>
      <c r="DJ238" s="17">
        <f t="shared" si="255"/>
        <v>5493.0365989803768</v>
      </c>
      <c r="DK238" s="17">
        <f t="shared" si="256"/>
        <v>207.73358010591735</v>
      </c>
      <c r="DL238" s="110">
        <f t="shared" si="292"/>
        <v>329171.92232973455</v>
      </c>
      <c r="DM238" s="17">
        <f t="shared" si="257"/>
        <v>174461.11883475931</v>
      </c>
      <c r="DN238" s="17">
        <f t="shared" si="258"/>
        <v>154710.80349497526</v>
      </c>
      <c r="DO238" s="17">
        <f t="shared" si="259"/>
        <v>0</v>
      </c>
      <c r="DP238" s="110">
        <f t="shared" si="293"/>
        <v>0</v>
      </c>
      <c r="DQ238" s="17">
        <f>SUMIF('20.01'!$BB:$BB,$B:$B,'20.01'!$D:$D)*1.2</f>
        <v>0</v>
      </c>
      <c r="DR238" s="17">
        <f t="shared" si="260"/>
        <v>0</v>
      </c>
      <c r="DS238" s="17">
        <f t="shared" si="261"/>
        <v>0</v>
      </c>
      <c r="DT238" s="110">
        <f t="shared" si="294"/>
        <v>6542.94</v>
      </c>
      <c r="DU238" s="17">
        <f>SUMIF('20.01'!$BD:$BD,$B:$B,'20.01'!$D:$D)*1.2</f>
        <v>6542.94</v>
      </c>
      <c r="DV238" s="17">
        <f t="shared" si="262"/>
        <v>0</v>
      </c>
      <c r="DW238" s="17">
        <f t="shared" si="263"/>
        <v>0</v>
      </c>
      <c r="DX238" s="110">
        <f t="shared" si="264"/>
        <v>1535674.1807930917</v>
      </c>
      <c r="DY238" s="110"/>
      <c r="DZ238" s="110">
        <f t="shared" si="295"/>
        <v>1535674.1807930917</v>
      </c>
      <c r="EA238" s="257"/>
      <c r="EB238" s="110">
        <f t="shared" si="265"/>
        <v>0</v>
      </c>
      <c r="EC238" s="110">
        <f>SUMIF(еирц!$B:$B,$B:$B,еирц!$K:$K)</f>
        <v>873242.04</v>
      </c>
      <c r="ED238" s="110">
        <f>SUMIF(еирц!$B:$B,$B:$B,еирц!$P:$P)</f>
        <v>869395.37</v>
      </c>
      <c r="EE238" s="110">
        <f>SUMIF(еирц!$B:$B,$B:$B,еирц!$S:$S)</f>
        <v>89829.06</v>
      </c>
      <c r="EF238" s="177">
        <f t="shared" si="296"/>
        <v>-662432.14079309162</v>
      </c>
      <c r="EG238" s="181">
        <f t="shared" si="297"/>
        <v>0</v>
      </c>
      <c r="EH238" s="177">
        <f t="shared" si="298"/>
        <v>-662432.14079309162</v>
      </c>
    </row>
    <row r="239" spans="1:138" s="24" customFormat="1" ht="12" customHeight="1" x14ac:dyDescent="0.25">
      <c r="A239" s="5">
        <f t="shared" si="299"/>
        <v>235</v>
      </c>
      <c r="B239" s="6" t="s">
        <v>326</v>
      </c>
      <c r="C239" s="7">
        <f t="shared" si="300"/>
        <v>358.6</v>
      </c>
      <c r="D239" s="8">
        <v>358.6</v>
      </c>
      <c r="E239" s="8">
        <v>0</v>
      </c>
      <c r="F239" s="8">
        <v>0</v>
      </c>
      <c r="G239" s="87">
        <f t="shared" si="232"/>
        <v>358.6</v>
      </c>
      <c r="H239" s="87">
        <f t="shared" si="233"/>
        <v>358.6</v>
      </c>
      <c r="I239" s="91">
        <v>0</v>
      </c>
      <c r="J239" s="112">
        <v>0</v>
      </c>
      <c r="K239" s="17">
        <v>0</v>
      </c>
      <c r="L239" s="112">
        <f t="shared" si="266"/>
        <v>0</v>
      </c>
      <c r="M239" s="116">
        <v>3.4064322344322351</v>
      </c>
      <c r="N239" s="120">
        <f t="shared" si="267"/>
        <v>358.6</v>
      </c>
      <c r="O239" s="116">
        <v>2.6059641514041512</v>
      </c>
      <c r="P239" s="120">
        <f t="shared" si="268"/>
        <v>358.6</v>
      </c>
      <c r="Q239" s="116">
        <v>0</v>
      </c>
      <c r="R239" s="120">
        <f t="shared" si="269"/>
        <v>0</v>
      </c>
      <c r="S239" s="5" t="s">
        <v>310</v>
      </c>
      <c r="T239" s="87">
        <v>19.37</v>
      </c>
      <c r="U239" s="88">
        <v>2.86</v>
      </c>
      <c r="V239" s="88">
        <v>3.7399999999999998</v>
      </c>
      <c r="W239" s="88">
        <v>6.5</v>
      </c>
      <c r="X239" s="88">
        <v>4</v>
      </c>
      <c r="Y239" s="88">
        <v>2.0499999999999998</v>
      </c>
      <c r="Z239" s="88">
        <v>0</v>
      </c>
      <c r="AA239" s="88">
        <v>0</v>
      </c>
      <c r="AB239" s="88">
        <v>0.22</v>
      </c>
      <c r="AC239" s="257"/>
      <c r="AD239" s="110">
        <f t="shared" si="270"/>
        <v>11146.04070470799</v>
      </c>
      <c r="AE239" s="110">
        <f t="shared" si="271"/>
        <v>11045.305640238133</v>
      </c>
      <c r="AF239" s="16">
        <f>SUMIF('20.01'!$I:$I,$B:$B,'20.01'!$D:$D)*1.2</f>
        <v>4856.7959999999994</v>
      </c>
      <c r="AG239" s="17">
        <f t="shared" si="304"/>
        <v>975.79529664869733</v>
      </c>
      <c r="AH239" s="17">
        <f t="shared" si="272"/>
        <v>273.82660024868312</v>
      </c>
      <c r="AI239" s="16">
        <f>SUMIF('20.01'!$J:$J,$B:$B,'20.01'!$D:$D)*1.2</f>
        <v>0</v>
      </c>
      <c r="AJ239" s="17">
        <f t="shared" si="273"/>
        <v>111.27697413832</v>
      </c>
      <c r="AK239" s="17">
        <f t="shared" si="274"/>
        <v>270.71215737481037</v>
      </c>
      <c r="AL239" s="17">
        <f t="shared" si="275"/>
        <v>4556.8986118276225</v>
      </c>
      <c r="AM239" s="110">
        <f t="shared" si="276"/>
        <v>0</v>
      </c>
      <c r="AN239" s="17">
        <f>SUMIF('20.01'!$K:$K,$B:$B,'20.01'!$D:$D)*1.2</f>
        <v>0</v>
      </c>
      <c r="AO239" s="17">
        <f>SUMIF('20.01'!$L:$L,$B:$B,'20.01'!$D:$D)*1.2</f>
        <v>0</v>
      </c>
      <c r="AP239" s="17">
        <f>SUMIF('20.01'!$M:$M,$B:$B,'20.01'!$D:$D)*1.2</f>
        <v>0</v>
      </c>
      <c r="AQ239" s="110">
        <f t="shared" si="277"/>
        <v>100.73506446985715</v>
      </c>
      <c r="AR239" s="17">
        <f t="shared" si="278"/>
        <v>100.73506446985715</v>
      </c>
      <c r="AS239" s="17">
        <f>(SUMIF('20.01'!$N:$N,$B:$B,'20.01'!$D:$D)+SUMIF('20.01'!$O:$O,$B:$B,'20.01'!$D:$D))*1.2</f>
        <v>0</v>
      </c>
      <c r="AT239" s="110">
        <f>SUMIF('20.01'!$P:$P,$B:$B,'20.01'!$D:$D)*1.2</f>
        <v>0</v>
      </c>
      <c r="AU239" s="110">
        <f t="shared" si="279"/>
        <v>0</v>
      </c>
      <c r="AV239" s="17">
        <f>SUMIF('20.01'!$Q:$Q,$B:$B,'20.01'!$D:$D)*1.2</f>
        <v>0</v>
      </c>
      <c r="AW239" s="17">
        <f>SUMIF('20.01'!$R:$R,$B:$B,'20.01'!$D:$D)*1.2</f>
        <v>0</v>
      </c>
      <c r="AX239" s="110">
        <f t="shared" si="280"/>
        <v>0</v>
      </c>
      <c r="AY239" s="17">
        <f>SUMIF('20.01'!$S:$S,$B:$B,'20.01'!$D:$D)*1.2</f>
        <v>0</v>
      </c>
      <c r="AZ239" s="17">
        <f>SUMIF('20.01'!$T:$T,$B:$B,'20.01'!$D:$D)*1.2</f>
        <v>0</v>
      </c>
      <c r="BA239" s="110">
        <f t="shared" si="281"/>
        <v>0</v>
      </c>
      <c r="BB239" s="17">
        <f>SUMIF('20.01'!$U:$U,$B:$B,'20.01'!$D:$D)*1.2</f>
        <v>0</v>
      </c>
      <c r="BC239" s="17">
        <f>SUMIF('20.01'!$V:$V,$B:$B,'20.01'!$D:$D)*1.2</f>
        <v>0</v>
      </c>
      <c r="BD239" s="17">
        <f>SUMIF('20.01'!$W:$W,$B:$B,'20.01'!$D:$D)*1.2</f>
        <v>0</v>
      </c>
      <c r="BE239" s="110">
        <f>SUMIF('20.01'!$X:$X,$B:$B,'20.01'!$D:$D)*1.2</f>
        <v>0</v>
      </c>
      <c r="BF239" s="110">
        <f t="shared" si="282"/>
        <v>0</v>
      </c>
      <c r="BG239" s="17">
        <f>SUMIF('20.01'!$Y:$Y,$B:$B,'20.01'!$D:$D)*1.2</f>
        <v>0</v>
      </c>
      <c r="BH239" s="17">
        <f>SUMIF('20.01'!$Z:$Z,$B:$B,'20.01'!$D:$D)*1.2</f>
        <v>0</v>
      </c>
      <c r="BI239" s="17">
        <f>SUMIF('20.01'!$AA:$AA,$B:$B,'20.01'!$D:$D)*1.2</f>
        <v>0</v>
      </c>
      <c r="BJ239" s="17">
        <f>SUMIF('20.01'!$AB:$AB,$B:$B,'20.01'!$D:$D)*1.2</f>
        <v>0</v>
      </c>
      <c r="BK239" s="17">
        <f>SUMIF('20.01'!$AC:$AC,$B:$B,'20.01'!$D:$D)*1.2</f>
        <v>0</v>
      </c>
      <c r="BL239" s="17">
        <f>SUMIF('20.01'!$AD:$AD,$B:$B,'20.01'!$D:$D)*1.2</f>
        <v>0</v>
      </c>
      <c r="BM239" s="110">
        <f t="shared" si="283"/>
        <v>0</v>
      </c>
      <c r="BN239" s="17">
        <f>SUMIF('20.01'!$AE:$AE,$B:$B,'20.01'!$D:$D)*1.2</f>
        <v>0</v>
      </c>
      <c r="BO239" s="17">
        <f>SUMIF('20.01'!$AF:$AF,$B:$B,'20.01'!$D:$D)*1.2</f>
        <v>0</v>
      </c>
      <c r="BP239" s="110">
        <f>SUMIF('20.01'!$AG:$AG,$B:$B,'20.01'!$D:$D)*1.2</f>
        <v>0</v>
      </c>
      <c r="BQ239" s="110">
        <f>SUMIF('20.01'!$AH:$AH,$B:$B,'20.01'!$D:$D)*1.2</f>
        <v>0</v>
      </c>
      <c r="BR239" s="110">
        <f>SUMIF('20.01'!$AI:$AI,$B:$B,'20.01'!$D:$D)*1.2</f>
        <v>0</v>
      </c>
      <c r="BS239" s="110">
        <f t="shared" si="284"/>
        <v>0</v>
      </c>
      <c r="BT239" s="17">
        <f>SUMIF('20.01'!$AJ:$AJ,$B:$B,'20.01'!$D:$D)*1.2</f>
        <v>0</v>
      </c>
      <c r="BU239" s="17">
        <f>SUMIF('20.01'!$AK:$AK,$B:$B,'20.01'!$D:$D)*1.2</f>
        <v>0</v>
      </c>
      <c r="BV239" s="110">
        <f>SUMIF('20.01'!$AL:$AL,$B:$B,'20.01'!$D:$D)*1.2</f>
        <v>0</v>
      </c>
      <c r="BW239" s="110">
        <f>SUMIF('20.01'!$AM:$AM,$B:$B,'20.01'!$D:$D)*1.2</f>
        <v>0</v>
      </c>
      <c r="BX239" s="110">
        <f>SUMIF('20.01'!$AN:$AN,$B:$B,'20.01'!$D:$D)*1.2</f>
        <v>0</v>
      </c>
      <c r="BY239" s="110">
        <f t="shared" si="234"/>
        <v>57026.411764042808</v>
      </c>
      <c r="BZ239" s="17">
        <f t="shared" si="303"/>
        <v>48624.644874353115</v>
      </c>
      <c r="CA239" s="17">
        <f t="shared" si="235"/>
        <v>2224.1379009106549</v>
      </c>
      <c r="CB239" s="17">
        <f t="shared" si="236"/>
        <v>147.8492964679993</v>
      </c>
      <c r="CC239" s="17">
        <f>SUMIF('20.01'!$AO:$AO,$B:$B,'20.01'!$D:$D)*1.2</f>
        <v>0</v>
      </c>
      <c r="CD239" s="17">
        <f t="shared" si="237"/>
        <v>2321.0837912692036</v>
      </c>
      <c r="CE239" s="17">
        <f>SUMIF('20.01'!$AQ:$AQ,$B:$B,'20.01'!$D:$D)*1.2</f>
        <v>0</v>
      </c>
      <c r="CF239" s="17">
        <f t="shared" si="238"/>
        <v>211.18193338961774</v>
      </c>
      <c r="CG239" s="17">
        <f>SUMIF('20.01'!$AR:$AR,$B:$B,'20.01'!$D:$D)*1.2</f>
        <v>3250.02</v>
      </c>
      <c r="CH239" s="17">
        <f t="shared" si="239"/>
        <v>124.37083514966172</v>
      </c>
      <c r="CI239" s="17">
        <f>SUMIF('20.01'!$AT:$AT,$B:$B,'20.01'!$D:$D)*1.2</f>
        <v>0</v>
      </c>
      <c r="CJ239" s="17">
        <f>SUMIF('20.01'!$AU:$AU,$B:$B,'20.01'!$D:$D)*1.2</f>
        <v>0</v>
      </c>
      <c r="CK239" s="17">
        <f>SUMIF('20.01'!$AV:$AV,$B:$B,'20.01'!$D:$D)*1.2</f>
        <v>0</v>
      </c>
      <c r="CL239" s="17">
        <f t="shared" si="240"/>
        <v>123.12313250256217</v>
      </c>
      <c r="CM239" s="17">
        <f>SUMIF('20.01'!$AW:$AW,$B:$B,'20.01'!$D:$D)*1.2</f>
        <v>0</v>
      </c>
      <c r="CN239" s="17">
        <f>SUMIF('20.01'!$AX:$AX,$B:$B,'20.01'!$D:$D)*1.2</f>
        <v>0</v>
      </c>
      <c r="CO239" s="110">
        <f t="shared" si="285"/>
        <v>41303.060964358199</v>
      </c>
      <c r="CP239" s="17">
        <f t="shared" si="286"/>
        <v>32581.563514914364</v>
      </c>
      <c r="CQ239" s="17">
        <f t="shared" si="241"/>
        <v>10051.860654964441</v>
      </c>
      <c r="CR239" s="17">
        <f t="shared" si="242"/>
        <v>22529.702859949921</v>
      </c>
      <c r="CS239" s="17">
        <f t="shared" si="287"/>
        <v>8721.4974494438393</v>
      </c>
      <c r="CT239" s="17">
        <f t="shared" si="243"/>
        <v>317.73180280594306</v>
      </c>
      <c r="CU239" s="17">
        <f t="shared" si="244"/>
        <v>307.32084289318823</v>
      </c>
      <c r="CV239" s="17">
        <f t="shared" si="245"/>
        <v>317.62280794994945</v>
      </c>
      <c r="CW239" s="17">
        <f t="shared" si="246"/>
        <v>3.3306248582624534</v>
      </c>
      <c r="CX239" s="17">
        <f t="shared" si="247"/>
        <v>4689.8546500578059</v>
      </c>
      <c r="CY239" s="17">
        <f t="shared" si="248"/>
        <v>3085.6367208786914</v>
      </c>
      <c r="CZ239" s="110">
        <f t="shared" si="288"/>
        <v>10252.501010857257</v>
      </c>
      <c r="DA239" s="17">
        <f t="shared" si="289"/>
        <v>387.28196026307603</v>
      </c>
      <c r="DB239" s="17">
        <f t="shared" si="249"/>
        <v>367.51637377437038</v>
      </c>
      <c r="DC239" s="17">
        <f t="shared" si="250"/>
        <v>19.765586488705633</v>
      </c>
      <c r="DD239" s="17">
        <f t="shared" si="251"/>
        <v>682.43523851178338</v>
      </c>
      <c r="DE239" s="17">
        <f t="shared" si="252"/>
        <v>235.45813926908016</v>
      </c>
      <c r="DF239" s="17">
        <f t="shared" si="253"/>
        <v>285.76125490859795</v>
      </c>
      <c r="DG239" s="17">
        <f t="shared" si="290"/>
        <v>8661.5644179047194</v>
      </c>
      <c r="DH239" s="110">
        <f t="shared" si="291"/>
        <v>6398.3615277274803</v>
      </c>
      <c r="DI239" s="17">
        <f t="shared" si="254"/>
        <v>5739.5911660942165</v>
      </c>
      <c r="DJ239" s="17">
        <f t="shared" si="255"/>
        <v>634.76505684273116</v>
      </c>
      <c r="DK239" s="17">
        <f t="shared" si="256"/>
        <v>24.005304790532989</v>
      </c>
      <c r="DL239" s="110">
        <f t="shared" si="292"/>
        <v>38038.492958057119</v>
      </c>
      <c r="DM239" s="17">
        <f t="shared" si="257"/>
        <v>20160.40126777027</v>
      </c>
      <c r="DN239" s="17">
        <f t="shared" si="258"/>
        <v>17878.091690286845</v>
      </c>
      <c r="DO239" s="17">
        <f t="shared" si="259"/>
        <v>0</v>
      </c>
      <c r="DP239" s="110">
        <f t="shared" si="293"/>
        <v>0</v>
      </c>
      <c r="DQ239" s="17">
        <f>SUMIF('20.01'!$BB:$BB,$B:$B,'20.01'!$D:$D)*1.2</f>
        <v>0</v>
      </c>
      <c r="DR239" s="17">
        <f t="shared" si="260"/>
        <v>0</v>
      </c>
      <c r="DS239" s="17">
        <f t="shared" si="261"/>
        <v>0</v>
      </c>
      <c r="DT239" s="110">
        <f t="shared" si="294"/>
        <v>1137.8999999999999</v>
      </c>
      <c r="DU239" s="17">
        <f>SUMIF('20.01'!$BD:$BD,$B:$B,'20.01'!$D:$D)*1.2</f>
        <v>1137.8999999999999</v>
      </c>
      <c r="DV239" s="17">
        <f t="shared" si="262"/>
        <v>0</v>
      </c>
      <c r="DW239" s="17">
        <f t="shared" si="263"/>
        <v>0</v>
      </c>
      <c r="DX239" s="110">
        <f t="shared" si="264"/>
        <v>165302.76892975086</v>
      </c>
      <c r="DY239" s="110"/>
      <c r="DZ239" s="110">
        <f t="shared" si="295"/>
        <v>165302.76892975086</v>
      </c>
      <c r="EA239" s="257"/>
      <c r="EB239" s="110">
        <f t="shared" si="265"/>
        <v>0</v>
      </c>
      <c r="EC239" s="110">
        <f>SUMIF(еирц!$B:$B,$B:$B,еирц!$K:$K)</f>
        <v>90263.139999999985</v>
      </c>
      <c r="ED239" s="110">
        <f>SUMIF(еирц!$B:$B,$B:$B,еирц!$P:$P)</f>
        <v>55270.170000000006</v>
      </c>
      <c r="EE239" s="110">
        <f>SUMIF(еирц!$B:$B,$B:$B,еирц!$S:$S)</f>
        <v>86477.900000000009</v>
      </c>
      <c r="EF239" s="177">
        <f t="shared" si="296"/>
        <v>-75039.628929750877</v>
      </c>
      <c r="EG239" s="181">
        <f t="shared" si="297"/>
        <v>0</v>
      </c>
      <c r="EH239" s="177">
        <f t="shared" si="298"/>
        <v>-75039.628929750877</v>
      </c>
    </row>
    <row r="240" spans="1:138" s="24" customFormat="1" ht="12" customHeight="1" x14ac:dyDescent="0.25">
      <c r="A240" s="5">
        <f t="shared" si="299"/>
        <v>236</v>
      </c>
      <c r="B240" s="6" t="s">
        <v>327</v>
      </c>
      <c r="C240" s="7">
        <f t="shared" si="300"/>
        <v>499.5</v>
      </c>
      <c r="D240" s="8">
        <v>499.5</v>
      </c>
      <c r="E240" s="8">
        <v>0</v>
      </c>
      <c r="F240" s="8">
        <v>60</v>
      </c>
      <c r="G240" s="87">
        <f t="shared" si="232"/>
        <v>499.5</v>
      </c>
      <c r="H240" s="87">
        <f t="shared" si="233"/>
        <v>499.5</v>
      </c>
      <c r="I240" s="91">
        <v>0</v>
      </c>
      <c r="J240" s="112">
        <v>0</v>
      </c>
      <c r="K240" s="17">
        <v>0</v>
      </c>
      <c r="L240" s="112">
        <f t="shared" si="266"/>
        <v>0</v>
      </c>
      <c r="M240" s="116">
        <v>0</v>
      </c>
      <c r="N240" s="120">
        <f t="shared" si="267"/>
        <v>0</v>
      </c>
      <c r="O240" s="116">
        <v>0</v>
      </c>
      <c r="P240" s="120">
        <f t="shared" si="268"/>
        <v>0</v>
      </c>
      <c r="Q240" s="116">
        <v>0</v>
      </c>
      <c r="R240" s="120">
        <f t="shared" si="269"/>
        <v>0</v>
      </c>
      <c r="S240" s="5" t="s">
        <v>95</v>
      </c>
      <c r="T240" s="87">
        <v>15</v>
      </c>
      <c r="U240" s="88">
        <v>0</v>
      </c>
      <c r="V240" s="88">
        <v>3</v>
      </c>
      <c r="W240" s="88">
        <v>5.73</v>
      </c>
      <c r="X240" s="88">
        <v>4</v>
      </c>
      <c r="Y240" s="88">
        <v>2.0499999999999998</v>
      </c>
      <c r="Z240" s="88">
        <v>0</v>
      </c>
      <c r="AA240" s="88">
        <v>0</v>
      </c>
      <c r="AB240" s="88">
        <v>0.22</v>
      </c>
      <c r="AC240" s="257"/>
      <c r="AD240" s="110">
        <f t="shared" si="270"/>
        <v>10120.063893982278</v>
      </c>
      <c r="AE240" s="110">
        <f t="shared" si="271"/>
        <v>9979.7483203551346</v>
      </c>
      <c r="AF240" s="16">
        <f>SUMIF('20.01'!$I:$I,$B:$B,'20.01'!$D:$D)*1.2</f>
        <v>82.896000000000001</v>
      </c>
      <c r="AG240" s="17">
        <f t="shared" ref="AG240:AG243" si="305">IF(S240=$S$251,$AG$251,0)/$G$251*G240</f>
        <v>2635.974421239343</v>
      </c>
      <c r="AH240" s="17">
        <f t="shared" si="272"/>
        <v>381.41769889631126</v>
      </c>
      <c r="AI240" s="16">
        <f>SUMIF('20.01'!$J:$J,$B:$B,'20.01'!$D:$D)*1.2</f>
        <v>0</v>
      </c>
      <c r="AJ240" s="17">
        <f t="shared" si="273"/>
        <v>154.99957775262365</v>
      </c>
      <c r="AK240" s="17">
        <f t="shared" si="274"/>
        <v>377.07953878616223</v>
      </c>
      <c r="AL240" s="17">
        <f t="shared" si="275"/>
        <v>6347.3810836806952</v>
      </c>
      <c r="AM240" s="110">
        <f t="shared" si="276"/>
        <v>0</v>
      </c>
      <c r="AN240" s="17">
        <f>SUMIF('20.01'!$K:$K,$B:$B,'20.01'!$D:$D)*1.2</f>
        <v>0</v>
      </c>
      <c r="AO240" s="17">
        <f>SUMIF('20.01'!$L:$L,$B:$B,'20.01'!$D:$D)*1.2</f>
        <v>0</v>
      </c>
      <c r="AP240" s="17">
        <f>SUMIF('20.01'!$M:$M,$B:$B,'20.01'!$D:$D)*1.2</f>
        <v>0</v>
      </c>
      <c r="AQ240" s="110">
        <f t="shared" si="277"/>
        <v>140.31557362714346</v>
      </c>
      <c r="AR240" s="17">
        <f t="shared" si="278"/>
        <v>140.31557362714346</v>
      </c>
      <c r="AS240" s="17">
        <f>(SUMIF('20.01'!$N:$N,$B:$B,'20.01'!$D:$D)+SUMIF('20.01'!$O:$O,$B:$B,'20.01'!$D:$D))*1.2</f>
        <v>0</v>
      </c>
      <c r="AT240" s="110">
        <f>SUMIF('20.01'!$P:$P,$B:$B,'20.01'!$D:$D)*1.2</f>
        <v>0</v>
      </c>
      <c r="AU240" s="110">
        <f t="shared" si="279"/>
        <v>0</v>
      </c>
      <c r="AV240" s="17">
        <f>SUMIF('20.01'!$Q:$Q,$B:$B,'20.01'!$D:$D)*1.2</f>
        <v>0</v>
      </c>
      <c r="AW240" s="17">
        <f>SUMIF('20.01'!$R:$R,$B:$B,'20.01'!$D:$D)*1.2</f>
        <v>0</v>
      </c>
      <c r="AX240" s="110">
        <f t="shared" si="280"/>
        <v>0</v>
      </c>
      <c r="AY240" s="17">
        <f>SUMIF('20.01'!$S:$S,$B:$B,'20.01'!$D:$D)*1.2</f>
        <v>0</v>
      </c>
      <c r="AZ240" s="17">
        <f>SUMIF('20.01'!$T:$T,$B:$B,'20.01'!$D:$D)*1.2</f>
        <v>0</v>
      </c>
      <c r="BA240" s="110">
        <f t="shared" si="281"/>
        <v>0</v>
      </c>
      <c r="BB240" s="17">
        <f>SUMIF('20.01'!$U:$U,$B:$B,'20.01'!$D:$D)*1.2</f>
        <v>0</v>
      </c>
      <c r="BC240" s="17">
        <f>SUMIF('20.01'!$V:$V,$B:$B,'20.01'!$D:$D)*1.2</f>
        <v>0</v>
      </c>
      <c r="BD240" s="17">
        <f>SUMIF('20.01'!$W:$W,$B:$B,'20.01'!$D:$D)*1.2</f>
        <v>0</v>
      </c>
      <c r="BE240" s="110">
        <f>SUMIF('20.01'!$X:$X,$B:$B,'20.01'!$D:$D)*1.2</f>
        <v>0</v>
      </c>
      <c r="BF240" s="110">
        <f t="shared" si="282"/>
        <v>0</v>
      </c>
      <c r="BG240" s="17">
        <f>SUMIF('20.01'!$Y:$Y,$B:$B,'20.01'!$D:$D)*1.2</f>
        <v>0</v>
      </c>
      <c r="BH240" s="17">
        <f>SUMIF('20.01'!$Z:$Z,$B:$B,'20.01'!$D:$D)*1.2</f>
        <v>0</v>
      </c>
      <c r="BI240" s="17">
        <f>SUMIF('20.01'!$AA:$AA,$B:$B,'20.01'!$D:$D)*1.2</f>
        <v>0</v>
      </c>
      <c r="BJ240" s="17">
        <f>SUMIF('20.01'!$AB:$AB,$B:$B,'20.01'!$D:$D)*1.2</f>
        <v>0</v>
      </c>
      <c r="BK240" s="17">
        <f>SUMIF('20.01'!$AC:$AC,$B:$B,'20.01'!$D:$D)*1.2</f>
        <v>0</v>
      </c>
      <c r="BL240" s="17">
        <f>SUMIF('20.01'!$AD:$AD,$B:$B,'20.01'!$D:$D)*1.2</f>
        <v>0</v>
      </c>
      <c r="BM240" s="110">
        <f t="shared" si="283"/>
        <v>0</v>
      </c>
      <c r="BN240" s="17">
        <f>SUMIF('20.01'!$AE:$AE,$B:$B,'20.01'!$D:$D)*1.2</f>
        <v>0</v>
      </c>
      <c r="BO240" s="17">
        <f>SUMIF('20.01'!$AF:$AF,$B:$B,'20.01'!$D:$D)*1.2</f>
        <v>0</v>
      </c>
      <c r="BP240" s="110">
        <f>SUMIF('20.01'!$AG:$AG,$B:$B,'20.01'!$D:$D)*1.2</f>
        <v>0</v>
      </c>
      <c r="BQ240" s="110">
        <f>SUMIF('20.01'!$AH:$AH,$B:$B,'20.01'!$D:$D)*1.2</f>
        <v>0</v>
      </c>
      <c r="BR240" s="110">
        <f>SUMIF('20.01'!$AI:$AI,$B:$B,'20.01'!$D:$D)*1.2</f>
        <v>0</v>
      </c>
      <c r="BS240" s="110">
        <f t="shared" si="284"/>
        <v>0</v>
      </c>
      <c r="BT240" s="17">
        <f>SUMIF('20.01'!$AJ:$AJ,$B:$B,'20.01'!$D:$D)*1.2</f>
        <v>0</v>
      </c>
      <c r="BU240" s="17">
        <f>SUMIF('20.01'!$AK:$AK,$B:$B,'20.01'!$D:$D)*1.2</f>
        <v>0</v>
      </c>
      <c r="BV240" s="110">
        <f>SUMIF('20.01'!$AL:$AL,$B:$B,'20.01'!$D:$D)*1.2</f>
        <v>0</v>
      </c>
      <c r="BW240" s="110">
        <f>SUMIF('20.01'!$AM:$AM,$B:$B,'20.01'!$D:$D)*1.2</f>
        <v>0</v>
      </c>
      <c r="BX240" s="110">
        <f>SUMIF('20.01'!$AN:$AN,$B:$B,'20.01'!$D:$D)*1.2</f>
        <v>0</v>
      </c>
      <c r="BY240" s="110">
        <f t="shared" si="234"/>
        <v>219758.67039892796</v>
      </c>
      <c r="BZ240" s="17">
        <f>IF(S240=$S$251,$BZ$251,0)/$G$251*G240</f>
        <v>190858.80309664129</v>
      </c>
      <c r="CA240" s="17">
        <f t="shared" si="235"/>
        <v>3098.039268000201</v>
      </c>
      <c r="CB240" s="17">
        <f t="shared" si="236"/>
        <v>205.94178356320592</v>
      </c>
      <c r="CC240" s="17">
        <f>SUMIF('20.01'!$AO:$AO,$B:$B,'20.01'!$D:$D)*1.2</f>
        <v>0</v>
      </c>
      <c r="CD240" s="17">
        <f t="shared" si="237"/>
        <v>3233.0768369742532</v>
      </c>
      <c r="CE240" s="17">
        <f>SUMIF('20.01'!$AQ:$AQ,$B:$B,'20.01'!$D:$D)*1.2</f>
        <v>0</v>
      </c>
      <c r="CF240" s="17">
        <f t="shared" si="238"/>
        <v>294.15888379284456</v>
      </c>
      <c r="CG240" s="17">
        <f>SUMIF('20.01'!$AR:$AR,$B:$B,'20.01'!$D:$D)*1.2</f>
        <v>21723.911999999997</v>
      </c>
      <c r="CH240" s="17">
        <f t="shared" si="239"/>
        <v>173.23823802915791</v>
      </c>
      <c r="CI240" s="17">
        <f>SUMIF('20.01'!$AT:$AT,$B:$B,'20.01'!$D:$D)*1.2</f>
        <v>0</v>
      </c>
      <c r="CJ240" s="17">
        <f>SUMIF('20.01'!$AU:$AU,$B:$B,'20.01'!$D:$D)*1.2</f>
        <v>0</v>
      </c>
      <c r="CK240" s="17">
        <f>SUMIF('20.01'!$AV:$AV,$B:$B,'20.01'!$D:$D)*1.2</f>
        <v>0</v>
      </c>
      <c r="CL240" s="17">
        <f t="shared" si="240"/>
        <v>171.50029192702118</v>
      </c>
      <c r="CM240" s="17">
        <f>SUMIF('20.01'!$AW:$AW,$B:$B,'20.01'!$D:$D)*1.2</f>
        <v>0</v>
      </c>
      <c r="CN240" s="17">
        <f>SUMIF('20.01'!$AX:$AX,$B:$B,'20.01'!$D:$D)*1.2</f>
        <v>0</v>
      </c>
      <c r="CO240" s="110">
        <f t="shared" si="285"/>
        <v>57531.731599824096</v>
      </c>
      <c r="CP240" s="17">
        <f t="shared" si="286"/>
        <v>45383.410417456005</v>
      </c>
      <c r="CQ240" s="17">
        <f t="shared" si="241"/>
        <v>14001.406573214552</v>
      </c>
      <c r="CR240" s="17">
        <f t="shared" si="242"/>
        <v>31382.003844241452</v>
      </c>
      <c r="CS240" s="17">
        <f t="shared" si="287"/>
        <v>12148.321182368094</v>
      </c>
      <c r="CT240" s="17">
        <f t="shared" si="243"/>
        <v>442.57399749461388</v>
      </c>
      <c r="CU240" s="17">
        <f t="shared" si="244"/>
        <v>428.0723954967861</v>
      </c>
      <c r="CV240" s="17">
        <f t="shared" si="245"/>
        <v>442.42217671779065</v>
      </c>
      <c r="CW240" s="17">
        <f t="shared" si="246"/>
        <v>4.6392836494760052</v>
      </c>
      <c r="CX240" s="17">
        <f t="shared" si="247"/>
        <v>6532.5777961625035</v>
      </c>
      <c r="CY240" s="17">
        <f t="shared" si="248"/>
        <v>4298.0355328469223</v>
      </c>
      <c r="CZ240" s="110">
        <f t="shared" si="288"/>
        <v>14280.881915569436</v>
      </c>
      <c r="DA240" s="17">
        <f t="shared" si="289"/>
        <v>539.45158714837271</v>
      </c>
      <c r="DB240" s="17">
        <f t="shared" si="249"/>
        <v>511.91976770858338</v>
      </c>
      <c r="DC240" s="17">
        <f t="shared" si="250"/>
        <v>27.531819439789356</v>
      </c>
      <c r="DD240" s="17">
        <f t="shared" si="251"/>
        <v>950.57557623155549</v>
      </c>
      <c r="DE240" s="17">
        <f t="shared" si="252"/>
        <v>327.97362120721004</v>
      </c>
      <c r="DF240" s="17">
        <f t="shared" si="253"/>
        <v>398.04168105645476</v>
      </c>
      <c r="DG240" s="17">
        <f t="shared" si="290"/>
        <v>12064.839449925843</v>
      </c>
      <c r="DH240" s="110">
        <f t="shared" si="291"/>
        <v>8912.3858982149377</v>
      </c>
      <c r="DI240" s="17">
        <f t="shared" si="254"/>
        <v>7994.7735289014527</v>
      </c>
      <c r="DJ240" s="17">
        <f t="shared" si="255"/>
        <v>884.17497460385994</v>
      </c>
      <c r="DK240" s="17">
        <f t="shared" si="256"/>
        <v>33.437394709624172</v>
      </c>
      <c r="DL240" s="110">
        <f t="shared" si="292"/>
        <v>0</v>
      </c>
      <c r="DM240" s="17">
        <f t="shared" si="257"/>
        <v>0</v>
      </c>
      <c r="DN240" s="17">
        <f t="shared" si="258"/>
        <v>0</v>
      </c>
      <c r="DO240" s="17">
        <f t="shared" si="259"/>
        <v>0</v>
      </c>
      <c r="DP240" s="110">
        <f t="shared" si="293"/>
        <v>0</v>
      </c>
      <c r="DQ240" s="17">
        <f>SUMIF('20.01'!$BB:$BB,$B:$B,'20.01'!$D:$D)*1.2</f>
        <v>0</v>
      </c>
      <c r="DR240" s="17">
        <f t="shared" si="260"/>
        <v>0</v>
      </c>
      <c r="DS240" s="17">
        <f t="shared" si="261"/>
        <v>0</v>
      </c>
      <c r="DT240" s="110">
        <f t="shared" si="294"/>
        <v>758.60399999999993</v>
      </c>
      <c r="DU240" s="17">
        <f>SUMIF('20.01'!$BD:$BD,$B:$B,'20.01'!$D:$D)*1.2</f>
        <v>758.60399999999993</v>
      </c>
      <c r="DV240" s="17">
        <f t="shared" si="262"/>
        <v>0</v>
      </c>
      <c r="DW240" s="17">
        <f t="shared" si="263"/>
        <v>0</v>
      </c>
      <c r="DX240" s="110">
        <f t="shared" si="264"/>
        <v>311362.33770651871</v>
      </c>
      <c r="DY240" s="110"/>
      <c r="DZ240" s="110">
        <f t="shared" si="295"/>
        <v>311362.33770651871</v>
      </c>
      <c r="EA240" s="257"/>
      <c r="EB240" s="110">
        <f t="shared" si="265"/>
        <v>0</v>
      </c>
      <c r="EC240" s="110">
        <f>SUMIF(еирц!$B:$B,$B:$B,еирц!$K:$K)</f>
        <v>89244.87</v>
      </c>
      <c r="ED240" s="110">
        <f>SUMIF(еирц!$B:$B,$B:$B,еирц!$P:$P)</f>
        <v>87433.049999999988</v>
      </c>
      <c r="EE240" s="110">
        <f>SUMIF(еирц!$B:$B,$B:$B,еирц!$S:$S)</f>
        <v>8750.61</v>
      </c>
      <c r="EF240" s="177">
        <f t="shared" si="296"/>
        <v>-222117.46770651871</v>
      </c>
      <c r="EG240" s="181">
        <f t="shared" si="297"/>
        <v>0</v>
      </c>
      <c r="EH240" s="177">
        <f t="shared" si="298"/>
        <v>-222117.46770651871</v>
      </c>
    </row>
    <row r="241" spans="1:138" s="24" customFormat="1" ht="12" customHeight="1" x14ac:dyDescent="0.25">
      <c r="A241" s="5">
        <f t="shared" si="299"/>
        <v>237</v>
      </c>
      <c r="B241" s="6" t="s">
        <v>328</v>
      </c>
      <c r="C241" s="7">
        <f t="shared" si="300"/>
        <v>265.5</v>
      </c>
      <c r="D241" s="8">
        <v>265.5</v>
      </c>
      <c r="E241" s="8">
        <v>0</v>
      </c>
      <c r="F241" s="8">
        <v>39.299999999999997</v>
      </c>
      <c r="G241" s="91">
        <f t="shared" si="232"/>
        <v>265.5</v>
      </c>
      <c r="H241" s="87">
        <f t="shared" si="233"/>
        <v>0</v>
      </c>
      <c r="I241" s="91">
        <v>0</v>
      </c>
      <c r="J241" s="112">
        <v>0</v>
      </c>
      <c r="K241" s="17">
        <v>0</v>
      </c>
      <c r="L241" s="112">
        <f t="shared" si="266"/>
        <v>0</v>
      </c>
      <c r="M241" s="116">
        <v>3.4064129715420255</v>
      </c>
      <c r="N241" s="120">
        <f t="shared" si="267"/>
        <v>265.5</v>
      </c>
      <c r="O241" s="116">
        <v>3.086244606221046</v>
      </c>
      <c r="P241" s="120">
        <f t="shared" si="268"/>
        <v>265.5</v>
      </c>
      <c r="Q241" s="116">
        <v>0</v>
      </c>
      <c r="R241" s="120">
        <f t="shared" si="269"/>
        <v>0</v>
      </c>
      <c r="S241" s="5" t="s">
        <v>95</v>
      </c>
      <c r="T241" s="87">
        <v>19.940000000000001</v>
      </c>
      <c r="U241" s="88">
        <v>2.86</v>
      </c>
      <c r="V241" s="88">
        <v>3.7399999999999998</v>
      </c>
      <c r="W241" s="88">
        <v>6.5</v>
      </c>
      <c r="X241" s="88">
        <v>4.17</v>
      </c>
      <c r="Y241" s="88">
        <v>2.67</v>
      </c>
      <c r="Z241" s="88">
        <v>0</v>
      </c>
      <c r="AA241" s="88">
        <v>0</v>
      </c>
      <c r="AB241" s="88">
        <v>0</v>
      </c>
      <c r="AC241" s="257"/>
      <c r="AD241" s="110">
        <f t="shared" si="270"/>
        <v>8946.2312229275176</v>
      </c>
      <c r="AE241" s="110">
        <f t="shared" si="271"/>
        <v>8871.649071179756</v>
      </c>
      <c r="AF241" s="16">
        <f>SUMIF('20.01'!$I:$I,$B:$B,'20.01'!$D:$D)*1.2</f>
        <v>3611.1600000000003</v>
      </c>
      <c r="AG241" s="17">
        <f t="shared" si="305"/>
        <v>1401.1035211992905</v>
      </c>
      <c r="AH241" s="17">
        <f t="shared" si="272"/>
        <v>202.73553364758885</v>
      </c>
      <c r="AI241" s="16">
        <f>SUMIF('20.01'!$J:$J,$B:$B,'20.01'!$D:$D)*1.2</f>
        <v>0</v>
      </c>
      <c r="AJ241" s="17">
        <f t="shared" si="273"/>
        <v>82.387162949592749</v>
      </c>
      <c r="AK241" s="17">
        <f t="shared" si="274"/>
        <v>200.42966476021238</v>
      </c>
      <c r="AL241" s="17">
        <f t="shared" si="275"/>
        <v>3373.8331886230721</v>
      </c>
      <c r="AM241" s="110">
        <f t="shared" si="276"/>
        <v>0</v>
      </c>
      <c r="AN241" s="17">
        <f>SUMIF('20.01'!$K:$K,$B:$B,'20.01'!$D:$D)*1.2</f>
        <v>0</v>
      </c>
      <c r="AO241" s="17">
        <f>SUMIF('20.01'!$L:$L,$B:$B,'20.01'!$D:$D)*1.2</f>
        <v>0</v>
      </c>
      <c r="AP241" s="17">
        <f>SUMIF('20.01'!$M:$M,$B:$B,'20.01'!$D:$D)*1.2</f>
        <v>0</v>
      </c>
      <c r="AQ241" s="110">
        <f t="shared" si="277"/>
        <v>74.582151747760946</v>
      </c>
      <c r="AR241" s="17">
        <f t="shared" si="278"/>
        <v>74.582151747760946</v>
      </c>
      <c r="AS241" s="17">
        <f>(SUMIF('20.01'!$N:$N,$B:$B,'20.01'!$D:$D)+SUMIF('20.01'!$O:$O,$B:$B,'20.01'!$D:$D))*1.2</f>
        <v>0</v>
      </c>
      <c r="AT241" s="110">
        <f>SUMIF('20.01'!$P:$P,$B:$B,'20.01'!$D:$D)*1.2</f>
        <v>0</v>
      </c>
      <c r="AU241" s="110">
        <f t="shared" si="279"/>
        <v>0</v>
      </c>
      <c r="AV241" s="17">
        <f>SUMIF('20.01'!$Q:$Q,$B:$B,'20.01'!$D:$D)*1.2</f>
        <v>0</v>
      </c>
      <c r="AW241" s="17">
        <f>SUMIF('20.01'!$R:$R,$B:$B,'20.01'!$D:$D)*1.2</f>
        <v>0</v>
      </c>
      <c r="AX241" s="110">
        <f t="shared" si="280"/>
        <v>0</v>
      </c>
      <c r="AY241" s="17">
        <f>SUMIF('20.01'!$S:$S,$B:$B,'20.01'!$D:$D)*1.2</f>
        <v>0</v>
      </c>
      <c r="AZ241" s="17">
        <f>SUMIF('20.01'!$T:$T,$B:$B,'20.01'!$D:$D)*1.2</f>
        <v>0</v>
      </c>
      <c r="BA241" s="110">
        <f t="shared" si="281"/>
        <v>0</v>
      </c>
      <c r="BB241" s="17">
        <f>SUMIF('20.01'!$U:$U,$B:$B,'20.01'!$D:$D)*1.2</f>
        <v>0</v>
      </c>
      <c r="BC241" s="17">
        <f>SUMIF('20.01'!$V:$V,$B:$B,'20.01'!$D:$D)*1.2</f>
        <v>0</v>
      </c>
      <c r="BD241" s="17">
        <f>SUMIF('20.01'!$W:$W,$B:$B,'20.01'!$D:$D)*1.2</f>
        <v>0</v>
      </c>
      <c r="BE241" s="110">
        <f>SUMIF('20.01'!$X:$X,$B:$B,'20.01'!$D:$D)*1.2</f>
        <v>0</v>
      </c>
      <c r="BF241" s="110">
        <f t="shared" si="282"/>
        <v>0</v>
      </c>
      <c r="BG241" s="17">
        <f>SUMIF('20.01'!$Y:$Y,$B:$B,'20.01'!$D:$D)*1.2</f>
        <v>0</v>
      </c>
      <c r="BH241" s="17">
        <f>SUMIF('20.01'!$Z:$Z,$B:$B,'20.01'!$D:$D)*1.2</f>
        <v>0</v>
      </c>
      <c r="BI241" s="17">
        <f>SUMIF('20.01'!$AA:$AA,$B:$B,'20.01'!$D:$D)*1.2</f>
        <v>0</v>
      </c>
      <c r="BJ241" s="17">
        <f>SUMIF('20.01'!$AB:$AB,$B:$B,'20.01'!$D:$D)*1.2</f>
        <v>0</v>
      </c>
      <c r="BK241" s="17">
        <f>SUMIF('20.01'!$AC:$AC,$B:$B,'20.01'!$D:$D)*1.2</f>
        <v>0</v>
      </c>
      <c r="BL241" s="17">
        <f>SUMIF('20.01'!$AD:$AD,$B:$B,'20.01'!$D:$D)*1.2</f>
        <v>0</v>
      </c>
      <c r="BM241" s="110">
        <f t="shared" si="283"/>
        <v>0</v>
      </c>
      <c r="BN241" s="17">
        <f>SUMIF('20.01'!$AE:$AE,$B:$B,'20.01'!$D:$D)*1.2</f>
        <v>0</v>
      </c>
      <c r="BO241" s="17">
        <f>SUMIF('20.01'!$AF:$AF,$B:$B,'20.01'!$D:$D)*1.2</f>
        <v>0</v>
      </c>
      <c r="BP241" s="110">
        <f>SUMIF('20.01'!$AG:$AG,$B:$B,'20.01'!$D:$D)*1.2</f>
        <v>0</v>
      </c>
      <c r="BQ241" s="110">
        <f>SUMIF('20.01'!$AH:$AH,$B:$B,'20.01'!$D:$D)*1.2</f>
        <v>0</v>
      </c>
      <c r="BR241" s="110">
        <f>SUMIF('20.01'!$AI:$AI,$B:$B,'20.01'!$D:$D)*1.2</f>
        <v>0</v>
      </c>
      <c r="BS241" s="110">
        <f t="shared" si="284"/>
        <v>0</v>
      </c>
      <c r="BT241" s="17">
        <f>SUMIF('20.01'!$AJ:$AJ,$B:$B,'20.01'!$D:$D)*1.2</f>
        <v>0</v>
      </c>
      <c r="BU241" s="17">
        <f>SUMIF('20.01'!$AK:$AK,$B:$B,'20.01'!$D:$D)*1.2</f>
        <v>0</v>
      </c>
      <c r="BV241" s="110">
        <f>SUMIF('20.01'!$AL:$AL,$B:$B,'20.01'!$D:$D)*1.2</f>
        <v>0</v>
      </c>
      <c r="BW241" s="110">
        <f>SUMIF('20.01'!$AM:$AM,$B:$B,'20.01'!$D:$D)*1.2</f>
        <v>0</v>
      </c>
      <c r="BX241" s="110">
        <f>SUMIF('20.01'!$AN:$AN,$B:$B,'20.01'!$D:$D)*1.2</f>
        <v>0</v>
      </c>
      <c r="BY241" s="110">
        <f t="shared" si="234"/>
        <v>105261.718428259</v>
      </c>
      <c r="BZ241" s="17">
        <f>IF(S241=$S$251,$BZ$251,0)/$G$251*G241</f>
        <v>101447.47191623275</v>
      </c>
      <c r="CA241" s="17">
        <f t="shared" si="235"/>
        <v>1646.7055568649716</v>
      </c>
      <c r="CB241" s="17">
        <f t="shared" si="236"/>
        <v>109.46455162368603</v>
      </c>
      <c r="CC241" s="17">
        <f>SUMIF('20.01'!$AO:$AO,$B:$B,'20.01'!$D:$D)*1.2</f>
        <v>0</v>
      </c>
      <c r="CD241" s="17">
        <f t="shared" si="237"/>
        <v>1718.4822827160444</v>
      </c>
      <c r="CE241" s="17">
        <f>SUMIF('20.01'!$AQ:$AQ,$B:$B,'20.01'!$D:$D)*1.2</f>
        <v>0</v>
      </c>
      <c r="CF241" s="17">
        <f t="shared" si="238"/>
        <v>156.35472201601647</v>
      </c>
      <c r="CG241" s="17">
        <f>SUMIF('20.01'!$AR:$AR,$B:$B,'20.01'!$D:$D)*1.2</f>
        <v>0</v>
      </c>
      <c r="CH241" s="17">
        <f t="shared" si="239"/>
        <v>92.081585979462304</v>
      </c>
      <c r="CI241" s="17">
        <f>SUMIF('20.01'!$AT:$AT,$B:$B,'20.01'!$D:$D)*1.2</f>
        <v>0</v>
      </c>
      <c r="CJ241" s="17">
        <f>SUMIF('20.01'!$AU:$AU,$B:$B,'20.01'!$D:$D)*1.2</f>
        <v>0</v>
      </c>
      <c r="CK241" s="17">
        <f>SUMIF('20.01'!$AV:$AV,$B:$B,'20.01'!$D:$D)*1.2</f>
        <v>0</v>
      </c>
      <c r="CL241" s="17">
        <f t="shared" si="240"/>
        <v>91.157812826074334</v>
      </c>
      <c r="CM241" s="17">
        <f>SUMIF('20.01'!$AW:$AW,$B:$B,'20.01'!$D:$D)*1.2</f>
        <v>0</v>
      </c>
      <c r="CN241" s="17">
        <f>SUMIF('20.01'!$AX:$AX,$B:$B,'20.01'!$D:$D)*1.2</f>
        <v>0</v>
      </c>
      <c r="CO241" s="110">
        <f t="shared" si="285"/>
        <v>30579.929408915508</v>
      </c>
      <c r="CP241" s="17">
        <f t="shared" si="286"/>
        <v>24122.713645314452</v>
      </c>
      <c r="CQ241" s="17">
        <f t="shared" si="241"/>
        <v>7442.1890794563833</v>
      </c>
      <c r="CR241" s="17">
        <f t="shared" si="242"/>
        <v>16680.524565858068</v>
      </c>
      <c r="CS241" s="17">
        <f t="shared" si="287"/>
        <v>6457.2157636010579</v>
      </c>
      <c r="CT241" s="17">
        <f t="shared" si="243"/>
        <v>235.24203470434432</v>
      </c>
      <c r="CU241" s="17">
        <f t="shared" si="244"/>
        <v>227.53397598477821</v>
      </c>
      <c r="CV241" s="17">
        <f t="shared" si="245"/>
        <v>235.16133717432118</v>
      </c>
      <c r="CW241" s="17">
        <f t="shared" si="246"/>
        <v>2.4659255434151737</v>
      </c>
      <c r="CX241" s="17">
        <f t="shared" si="247"/>
        <v>3472.2710808431329</v>
      </c>
      <c r="CY241" s="17">
        <f t="shared" si="248"/>
        <v>2284.5414093510667</v>
      </c>
      <c r="CZ241" s="110">
        <f t="shared" si="288"/>
        <v>7590.739036203574</v>
      </c>
      <c r="DA241" s="17">
        <f t="shared" si="289"/>
        <v>286.73552830409005</v>
      </c>
      <c r="DB241" s="17">
        <f t="shared" si="249"/>
        <v>272.1014981514092</v>
      </c>
      <c r="DC241" s="17">
        <f t="shared" si="250"/>
        <v>14.634030152680829</v>
      </c>
      <c r="DD241" s="17">
        <f t="shared" si="251"/>
        <v>505.26089187082675</v>
      </c>
      <c r="DE241" s="17">
        <f t="shared" si="252"/>
        <v>174.32832118221074</v>
      </c>
      <c r="DF241" s="17">
        <f t="shared" si="253"/>
        <v>211.57170434532279</v>
      </c>
      <c r="DG241" s="17">
        <f t="shared" si="290"/>
        <v>6412.8425905011236</v>
      </c>
      <c r="DH241" s="110">
        <f t="shared" si="291"/>
        <v>4737.21412607821</v>
      </c>
      <c r="DI241" s="17">
        <f t="shared" si="254"/>
        <v>4249.4742180647363</v>
      </c>
      <c r="DJ241" s="17">
        <f t="shared" si="255"/>
        <v>469.96687839304269</v>
      </c>
      <c r="DK241" s="17">
        <f t="shared" si="256"/>
        <v>17.773029620430865</v>
      </c>
      <c r="DL241" s="110">
        <f t="shared" si="292"/>
        <v>28162.91098818785</v>
      </c>
      <c r="DM241" s="17">
        <f t="shared" si="257"/>
        <v>14926.34282373956</v>
      </c>
      <c r="DN241" s="17">
        <f t="shared" si="258"/>
        <v>13236.56816444829</v>
      </c>
      <c r="DO241" s="17">
        <f t="shared" si="259"/>
        <v>0</v>
      </c>
      <c r="DP241" s="110">
        <f t="shared" si="293"/>
        <v>0</v>
      </c>
      <c r="DQ241" s="17">
        <f>SUMIF('20.01'!$BB:$BB,$B:$B,'20.01'!$D:$D)*1.2</f>
        <v>0</v>
      </c>
      <c r="DR241" s="17">
        <f t="shared" si="260"/>
        <v>0</v>
      </c>
      <c r="DS241" s="17">
        <f t="shared" si="261"/>
        <v>0</v>
      </c>
      <c r="DT241" s="110">
        <f t="shared" si="294"/>
        <v>0</v>
      </c>
      <c r="DU241" s="17">
        <f>SUMIF('20.01'!$BD:$BD,$B:$B,'20.01'!$D:$D)*1.2</f>
        <v>0</v>
      </c>
      <c r="DV241" s="17">
        <f t="shared" si="262"/>
        <v>0</v>
      </c>
      <c r="DW241" s="17">
        <f t="shared" si="263"/>
        <v>0</v>
      </c>
      <c r="DX241" s="110">
        <f t="shared" si="264"/>
        <v>185278.74321057164</v>
      </c>
      <c r="DY241" s="110"/>
      <c r="DZ241" s="110">
        <f t="shared" si="295"/>
        <v>185278.74321057164</v>
      </c>
      <c r="EA241" s="257"/>
      <c r="EB241" s="110">
        <f t="shared" si="265"/>
        <v>0</v>
      </c>
      <c r="EC241" s="110">
        <f>SUMIF(еирц!$B:$B,$B:$B,еирц!$K:$K)</f>
        <v>63529.08</v>
      </c>
      <c r="ED241" s="110">
        <f>SUMIF(еирц!$B:$B,$B:$B,еирц!$P:$P)</f>
        <v>65167.34</v>
      </c>
      <c r="EE241" s="110">
        <f>SUMIF(еирц!$B:$B,$B:$B,еирц!$S:$S)</f>
        <v>63295.86</v>
      </c>
      <c r="EF241" s="177">
        <f t="shared" si="296"/>
        <v>-121749.66321057164</v>
      </c>
      <c r="EG241" s="181">
        <f t="shared" si="297"/>
        <v>0</v>
      </c>
      <c r="EH241" s="177">
        <f t="shared" si="298"/>
        <v>-121749.66321057164</v>
      </c>
    </row>
    <row r="242" spans="1:138" s="24" customFormat="1" ht="12" customHeight="1" x14ac:dyDescent="0.25">
      <c r="A242" s="5">
        <f t="shared" si="299"/>
        <v>238</v>
      </c>
      <c r="B242" s="6" t="s">
        <v>329</v>
      </c>
      <c r="C242" s="7">
        <f t="shared" si="300"/>
        <v>175.5</v>
      </c>
      <c r="D242" s="8">
        <v>175.5</v>
      </c>
      <c r="E242" s="8">
        <v>0</v>
      </c>
      <c r="F242" s="8">
        <v>39.799999999999997</v>
      </c>
      <c r="G242" s="91">
        <f t="shared" si="232"/>
        <v>175.5</v>
      </c>
      <c r="H242" s="87">
        <f t="shared" si="233"/>
        <v>0</v>
      </c>
      <c r="I242" s="91">
        <v>0</v>
      </c>
      <c r="J242" s="112">
        <v>0</v>
      </c>
      <c r="K242" s="17">
        <v>0</v>
      </c>
      <c r="L242" s="112">
        <f t="shared" si="266"/>
        <v>0</v>
      </c>
      <c r="M242" s="116">
        <v>3.4065078189300415</v>
      </c>
      <c r="N242" s="120">
        <f t="shared" si="267"/>
        <v>175.5</v>
      </c>
      <c r="O242" s="116">
        <v>3.0863901234567908</v>
      </c>
      <c r="P242" s="120">
        <f t="shared" si="268"/>
        <v>175.5</v>
      </c>
      <c r="Q242" s="116">
        <v>0</v>
      </c>
      <c r="R242" s="120">
        <f t="shared" si="269"/>
        <v>0</v>
      </c>
      <c r="S242" s="5" t="s">
        <v>95</v>
      </c>
      <c r="T242" s="87">
        <v>19.940000000000001</v>
      </c>
      <c r="U242" s="88">
        <v>2.86</v>
      </c>
      <c r="V242" s="88">
        <v>3.7399999999999998</v>
      </c>
      <c r="W242" s="88">
        <v>6.5</v>
      </c>
      <c r="X242" s="88">
        <v>4.17</v>
      </c>
      <c r="Y242" s="88">
        <v>2.67</v>
      </c>
      <c r="Z242" s="88">
        <v>0</v>
      </c>
      <c r="AA242" s="88">
        <v>0</v>
      </c>
      <c r="AB242" s="88">
        <v>0</v>
      </c>
      <c r="AC242" s="257"/>
      <c r="AD242" s="110">
        <f t="shared" si="270"/>
        <v>6387.4685032910711</v>
      </c>
      <c r="AE242" s="110">
        <f t="shared" si="271"/>
        <v>6338.168436881534</v>
      </c>
      <c r="AF242" s="16">
        <f>SUMIF('20.01'!$I:$I,$B:$B,'20.01'!$D:$D)*1.2</f>
        <v>2860.8959999999997</v>
      </c>
      <c r="AG242" s="17">
        <f t="shared" si="305"/>
        <v>926.15317503003951</v>
      </c>
      <c r="AH242" s="17">
        <f t="shared" si="272"/>
        <v>134.01162393654178</v>
      </c>
      <c r="AI242" s="16">
        <f>SUMIF('20.01'!$J:$J,$B:$B,'20.01'!$D:$D)*1.2</f>
        <v>0</v>
      </c>
      <c r="AJ242" s="17">
        <f t="shared" si="273"/>
        <v>54.459311102273169</v>
      </c>
      <c r="AK242" s="17">
        <f t="shared" si="274"/>
        <v>132.48740551946241</v>
      </c>
      <c r="AL242" s="17">
        <f t="shared" si="275"/>
        <v>2230.1609212932171</v>
      </c>
      <c r="AM242" s="110">
        <f t="shared" si="276"/>
        <v>0</v>
      </c>
      <c r="AN242" s="17">
        <f>SUMIF('20.01'!$K:$K,$B:$B,'20.01'!$D:$D)*1.2</f>
        <v>0</v>
      </c>
      <c r="AO242" s="17">
        <f>SUMIF('20.01'!$L:$L,$B:$B,'20.01'!$D:$D)*1.2</f>
        <v>0</v>
      </c>
      <c r="AP242" s="17">
        <f>SUMIF('20.01'!$M:$M,$B:$B,'20.01'!$D:$D)*1.2</f>
        <v>0</v>
      </c>
      <c r="AQ242" s="110">
        <f t="shared" si="277"/>
        <v>49.300066409536889</v>
      </c>
      <c r="AR242" s="17">
        <f t="shared" si="278"/>
        <v>49.300066409536889</v>
      </c>
      <c r="AS242" s="17">
        <f>(SUMIF('20.01'!$N:$N,$B:$B,'20.01'!$D:$D)+SUMIF('20.01'!$O:$O,$B:$B,'20.01'!$D:$D))*1.2</f>
        <v>0</v>
      </c>
      <c r="AT242" s="110">
        <f>SUMIF('20.01'!$P:$P,$B:$B,'20.01'!$D:$D)*1.2</f>
        <v>0</v>
      </c>
      <c r="AU242" s="110">
        <f t="shared" si="279"/>
        <v>0</v>
      </c>
      <c r="AV242" s="17">
        <f>SUMIF('20.01'!$Q:$Q,$B:$B,'20.01'!$D:$D)*1.2</f>
        <v>0</v>
      </c>
      <c r="AW242" s="17">
        <f>SUMIF('20.01'!$R:$R,$B:$B,'20.01'!$D:$D)*1.2</f>
        <v>0</v>
      </c>
      <c r="AX242" s="110">
        <f t="shared" si="280"/>
        <v>0</v>
      </c>
      <c r="AY242" s="17">
        <f>SUMIF('20.01'!$S:$S,$B:$B,'20.01'!$D:$D)*1.2</f>
        <v>0</v>
      </c>
      <c r="AZ242" s="17">
        <f>SUMIF('20.01'!$T:$T,$B:$B,'20.01'!$D:$D)*1.2</f>
        <v>0</v>
      </c>
      <c r="BA242" s="110">
        <f t="shared" si="281"/>
        <v>0</v>
      </c>
      <c r="BB242" s="17">
        <f>SUMIF('20.01'!$U:$U,$B:$B,'20.01'!$D:$D)*1.2</f>
        <v>0</v>
      </c>
      <c r="BC242" s="17">
        <f>SUMIF('20.01'!$V:$V,$B:$B,'20.01'!$D:$D)*1.2</f>
        <v>0</v>
      </c>
      <c r="BD242" s="17">
        <f>SUMIF('20.01'!$W:$W,$B:$B,'20.01'!$D:$D)*1.2</f>
        <v>0</v>
      </c>
      <c r="BE242" s="110">
        <f>SUMIF('20.01'!$X:$X,$B:$B,'20.01'!$D:$D)*1.2</f>
        <v>0</v>
      </c>
      <c r="BF242" s="110">
        <f t="shared" si="282"/>
        <v>0</v>
      </c>
      <c r="BG242" s="17">
        <f>SUMIF('20.01'!$Y:$Y,$B:$B,'20.01'!$D:$D)*1.2</f>
        <v>0</v>
      </c>
      <c r="BH242" s="17">
        <f>SUMIF('20.01'!$Z:$Z,$B:$B,'20.01'!$D:$D)*1.2</f>
        <v>0</v>
      </c>
      <c r="BI242" s="17">
        <f>SUMIF('20.01'!$AA:$AA,$B:$B,'20.01'!$D:$D)*1.2</f>
        <v>0</v>
      </c>
      <c r="BJ242" s="17">
        <f>SUMIF('20.01'!$AB:$AB,$B:$B,'20.01'!$D:$D)*1.2</f>
        <v>0</v>
      </c>
      <c r="BK242" s="17">
        <f>SUMIF('20.01'!$AC:$AC,$B:$B,'20.01'!$D:$D)*1.2</f>
        <v>0</v>
      </c>
      <c r="BL242" s="17">
        <f>SUMIF('20.01'!$AD:$AD,$B:$B,'20.01'!$D:$D)*1.2</f>
        <v>0</v>
      </c>
      <c r="BM242" s="110">
        <f t="shared" si="283"/>
        <v>0</v>
      </c>
      <c r="BN242" s="17">
        <f>SUMIF('20.01'!$AE:$AE,$B:$B,'20.01'!$D:$D)*1.2</f>
        <v>0</v>
      </c>
      <c r="BO242" s="17">
        <f>SUMIF('20.01'!$AF:$AF,$B:$B,'20.01'!$D:$D)*1.2</f>
        <v>0</v>
      </c>
      <c r="BP242" s="110">
        <f>SUMIF('20.01'!$AG:$AG,$B:$B,'20.01'!$D:$D)*1.2</f>
        <v>0</v>
      </c>
      <c r="BQ242" s="110">
        <f>SUMIF('20.01'!$AH:$AH,$B:$B,'20.01'!$D:$D)*1.2</f>
        <v>0</v>
      </c>
      <c r="BR242" s="110">
        <f>SUMIF('20.01'!$AI:$AI,$B:$B,'20.01'!$D:$D)*1.2</f>
        <v>0</v>
      </c>
      <c r="BS242" s="110">
        <f t="shared" si="284"/>
        <v>0</v>
      </c>
      <c r="BT242" s="17">
        <f>SUMIF('20.01'!$AJ:$AJ,$B:$B,'20.01'!$D:$D)*1.2</f>
        <v>0</v>
      </c>
      <c r="BU242" s="17">
        <f>SUMIF('20.01'!$AK:$AK,$B:$B,'20.01'!$D:$D)*1.2</f>
        <v>0</v>
      </c>
      <c r="BV242" s="110">
        <f>SUMIF('20.01'!$AL:$AL,$B:$B,'20.01'!$D:$D)*1.2</f>
        <v>0</v>
      </c>
      <c r="BW242" s="110">
        <f>SUMIF('20.01'!$AM:$AM,$B:$B,'20.01'!$D:$D)*1.2</f>
        <v>0</v>
      </c>
      <c r="BX242" s="110">
        <f>SUMIF('20.01'!$AN:$AN,$B:$B,'20.01'!$D:$D)*1.2</f>
        <v>0</v>
      </c>
      <c r="BY242" s="110">
        <f t="shared" si="234"/>
        <v>69579.779978001709</v>
      </c>
      <c r="BZ242" s="17">
        <f>IF(S242=$S$251,$BZ$251,0)/$G$251*G242</f>
        <v>67058.49838530639</v>
      </c>
      <c r="CA242" s="17">
        <f t="shared" si="235"/>
        <v>1088.500283351422</v>
      </c>
      <c r="CB242" s="17">
        <f t="shared" si="236"/>
        <v>72.357923954639915</v>
      </c>
      <c r="CC242" s="17">
        <f>SUMIF('20.01'!$AO:$AO,$B:$B,'20.01'!$D:$D)*1.2</f>
        <v>0</v>
      </c>
      <c r="CD242" s="17">
        <f t="shared" si="237"/>
        <v>1135.9459156936564</v>
      </c>
      <c r="CE242" s="17">
        <f>SUMIF('20.01'!$AQ:$AQ,$B:$B,'20.01'!$D:$D)*1.2</f>
        <v>0</v>
      </c>
      <c r="CF242" s="17">
        <f t="shared" si="238"/>
        <v>103.35312133262106</v>
      </c>
      <c r="CG242" s="17">
        <f>SUMIF('20.01'!$AR:$AR,$B:$B,'20.01'!$D:$D)*1.2</f>
        <v>0</v>
      </c>
      <c r="CH242" s="17">
        <f t="shared" si="239"/>
        <v>60.867489037271696</v>
      </c>
      <c r="CI242" s="17">
        <f>SUMIF('20.01'!$AT:$AT,$B:$B,'20.01'!$D:$D)*1.2</f>
        <v>0</v>
      </c>
      <c r="CJ242" s="17">
        <f>SUMIF('20.01'!$AU:$AU,$B:$B,'20.01'!$D:$D)*1.2</f>
        <v>0</v>
      </c>
      <c r="CK242" s="17">
        <f>SUMIF('20.01'!$AV:$AV,$B:$B,'20.01'!$D:$D)*1.2</f>
        <v>0</v>
      </c>
      <c r="CL242" s="17">
        <f t="shared" si="240"/>
        <v>60.256859325710145</v>
      </c>
      <c r="CM242" s="17">
        <f>SUMIF('20.01'!$AW:$AW,$B:$B,'20.01'!$D:$D)*1.2</f>
        <v>0</v>
      </c>
      <c r="CN242" s="17">
        <f>SUMIF('20.01'!$AX:$AX,$B:$B,'20.01'!$D:$D)*1.2</f>
        <v>0</v>
      </c>
      <c r="CO242" s="110">
        <f t="shared" si="285"/>
        <v>20213.851643181439</v>
      </c>
      <c r="CP242" s="17">
        <f t="shared" si="286"/>
        <v>15945.522579106162</v>
      </c>
      <c r="CQ242" s="17">
        <f t="shared" si="241"/>
        <v>4919.4131203186262</v>
      </c>
      <c r="CR242" s="17">
        <f t="shared" si="242"/>
        <v>11026.109458787536</v>
      </c>
      <c r="CS242" s="17">
        <f t="shared" si="287"/>
        <v>4268.3290640752757</v>
      </c>
      <c r="CT242" s="17">
        <f t="shared" si="243"/>
        <v>155.49897209270219</v>
      </c>
      <c r="CU242" s="17">
        <f t="shared" si="244"/>
        <v>150.40381463400593</v>
      </c>
      <c r="CV242" s="17">
        <f t="shared" si="245"/>
        <v>155.44562965760213</v>
      </c>
      <c r="CW242" s="17">
        <f t="shared" si="246"/>
        <v>1.6300185795456235</v>
      </c>
      <c r="CX242" s="17">
        <f t="shared" si="247"/>
        <v>2295.2300364895286</v>
      </c>
      <c r="CY242" s="17">
        <f t="shared" si="248"/>
        <v>1510.1205926218915</v>
      </c>
      <c r="CZ242" s="110">
        <f t="shared" si="288"/>
        <v>5017.6071595243966</v>
      </c>
      <c r="DA242" s="17">
        <f t="shared" si="289"/>
        <v>189.53704413321205</v>
      </c>
      <c r="DB242" s="17">
        <f t="shared" si="249"/>
        <v>179.86370216788066</v>
      </c>
      <c r="DC242" s="17">
        <f t="shared" si="250"/>
        <v>9.6733419653313959</v>
      </c>
      <c r="DD242" s="17">
        <f t="shared" si="251"/>
        <v>333.98601327054649</v>
      </c>
      <c r="DE242" s="17">
        <f t="shared" si="252"/>
        <v>115.23397501874948</v>
      </c>
      <c r="DF242" s="17">
        <f t="shared" si="253"/>
        <v>139.85248253334896</v>
      </c>
      <c r="DG242" s="17">
        <f t="shared" si="290"/>
        <v>4238.9976445685397</v>
      </c>
      <c r="DH242" s="110">
        <f t="shared" si="291"/>
        <v>3131.3788291025458</v>
      </c>
      <c r="DI242" s="17">
        <f t="shared" si="254"/>
        <v>2808.9744831275375</v>
      </c>
      <c r="DJ242" s="17">
        <f t="shared" si="255"/>
        <v>310.65607215811298</v>
      </c>
      <c r="DK242" s="17">
        <f t="shared" si="256"/>
        <v>11.748273816894979</v>
      </c>
      <c r="DL242" s="110">
        <f t="shared" si="292"/>
        <v>18616.161500666545</v>
      </c>
      <c r="DM242" s="17">
        <f t="shared" si="257"/>
        <v>9866.5655953532678</v>
      </c>
      <c r="DN242" s="17">
        <f t="shared" si="258"/>
        <v>8749.5959053132774</v>
      </c>
      <c r="DO242" s="17">
        <f t="shared" si="259"/>
        <v>0</v>
      </c>
      <c r="DP242" s="110">
        <f t="shared" si="293"/>
        <v>0</v>
      </c>
      <c r="DQ242" s="17">
        <f>SUMIF('20.01'!$BB:$BB,$B:$B,'20.01'!$D:$D)*1.2</f>
        <v>0</v>
      </c>
      <c r="DR242" s="17">
        <f t="shared" si="260"/>
        <v>0</v>
      </c>
      <c r="DS242" s="17">
        <f t="shared" si="261"/>
        <v>0</v>
      </c>
      <c r="DT242" s="110">
        <f t="shared" si="294"/>
        <v>0</v>
      </c>
      <c r="DU242" s="17">
        <f>SUMIF('20.01'!$BD:$BD,$B:$B,'20.01'!$D:$D)*1.2</f>
        <v>0</v>
      </c>
      <c r="DV242" s="17">
        <f t="shared" si="262"/>
        <v>0</v>
      </c>
      <c r="DW242" s="17">
        <f t="shared" si="263"/>
        <v>0</v>
      </c>
      <c r="DX242" s="110">
        <f t="shared" si="264"/>
        <v>122946.24761376769</v>
      </c>
      <c r="DY242" s="110"/>
      <c r="DZ242" s="110">
        <f t="shared" si="295"/>
        <v>122946.24761376769</v>
      </c>
      <c r="EA242" s="257"/>
      <c r="EB242" s="110">
        <f t="shared" si="265"/>
        <v>0</v>
      </c>
      <c r="EC242" s="110">
        <f>SUMIF(еирц!$B:$B,$B:$B,еирц!$K:$K)</f>
        <v>41993.520000000004</v>
      </c>
      <c r="ED242" s="110">
        <f>SUMIF(еирц!$B:$B,$B:$B,еирц!$P:$P)</f>
        <v>29168.120000000003</v>
      </c>
      <c r="EE242" s="110">
        <f>SUMIF(еирц!$B:$B,$B:$B,еирц!$S:$S)</f>
        <v>52326.98</v>
      </c>
      <c r="EF242" s="177">
        <f t="shared" si="296"/>
        <v>-80952.727613767682</v>
      </c>
      <c r="EG242" s="181">
        <f t="shared" si="297"/>
        <v>0</v>
      </c>
      <c r="EH242" s="177">
        <f t="shared" si="298"/>
        <v>-80952.727613767682</v>
      </c>
    </row>
    <row r="243" spans="1:138" s="24" customFormat="1" ht="12" customHeight="1" x14ac:dyDescent="0.25">
      <c r="A243" s="162">
        <f t="shared" si="299"/>
        <v>239</v>
      </c>
      <c r="B243" s="26" t="s">
        <v>330</v>
      </c>
      <c r="C243" s="28">
        <f t="shared" si="300"/>
        <v>144</v>
      </c>
      <c r="D243" s="27">
        <v>144</v>
      </c>
      <c r="E243" s="27">
        <v>0</v>
      </c>
      <c r="F243" s="27">
        <v>0</v>
      </c>
      <c r="G243" s="106">
        <f>C243*3/12</f>
        <v>36</v>
      </c>
      <c r="H243" s="106">
        <f t="shared" si="233"/>
        <v>36</v>
      </c>
      <c r="I243" s="28">
        <v>0</v>
      </c>
      <c r="J243" s="113">
        <v>0</v>
      </c>
      <c r="K243" s="29">
        <v>0</v>
      </c>
      <c r="L243" s="113">
        <f t="shared" si="266"/>
        <v>0</v>
      </c>
      <c r="M243" s="119">
        <v>3.4064288888888892</v>
      </c>
      <c r="N243" s="121">
        <f t="shared" si="267"/>
        <v>36</v>
      </c>
      <c r="O243" s="119">
        <v>3.0862294444444447</v>
      </c>
      <c r="P243" s="121">
        <f t="shared" si="268"/>
        <v>36</v>
      </c>
      <c r="Q243" s="119">
        <v>0</v>
      </c>
      <c r="R243" s="121">
        <f t="shared" si="269"/>
        <v>0</v>
      </c>
      <c r="S243" s="162" t="s">
        <v>95</v>
      </c>
      <c r="T243" s="89">
        <v>22.1</v>
      </c>
      <c r="U243" s="90">
        <v>3.44</v>
      </c>
      <c r="V243" s="90">
        <v>4.49</v>
      </c>
      <c r="W243" s="90">
        <v>7.45</v>
      </c>
      <c r="X243" s="90">
        <v>4.3499999999999996</v>
      </c>
      <c r="Y243" s="90">
        <v>2.14</v>
      </c>
      <c r="Z243" s="90">
        <v>0</v>
      </c>
      <c r="AA243" s="90">
        <v>0</v>
      </c>
      <c r="AB243" s="90">
        <v>0.23</v>
      </c>
      <c r="AC243" s="257"/>
      <c r="AD243" s="110">
        <f t="shared" si="270"/>
        <v>723.39948785457864</v>
      </c>
      <c r="AE243" s="110">
        <f t="shared" si="271"/>
        <v>713.28665371928901</v>
      </c>
      <c r="AF243" s="16">
        <f>SUMIF('20.01'!$I:$I,$B:$B,'20.01'!$D:$D)*1.2</f>
        <v>0</v>
      </c>
      <c r="AG243" s="17">
        <f t="shared" si="305"/>
        <v>189.98013846770041</v>
      </c>
      <c r="AH243" s="17">
        <f t="shared" si="272"/>
        <v>27.489563884418828</v>
      </c>
      <c r="AI243" s="16">
        <f>SUMIF('20.01'!$J:$J,$B:$B,'20.01'!$D:$D)*1.2</f>
        <v>0</v>
      </c>
      <c r="AJ243" s="17">
        <f t="shared" si="273"/>
        <v>11.17114073892783</v>
      </c>
      <c r="AK243" s="17">
        <f t="shared" si="274"/>
        <v>27.176903696299981</v>
      </c>
      <c r="AL243" s="17">
        <f>$AL$244/$G$244*G243</f>
        <v>457.46890693194194</v>
      </c>
      <c r="AM243" s="110">
        <f t="shared" si="276"/>
        <v>0</v>
      </c>
      <c r="AN243" s="17">
        <f>SUMIF('20.01'!$K:$K,$B:$B,'20.01'!$D:$D)*1.2</f>
        <v>0</v>
      </c>
      <c r="AO243" s="17">
        <f>SUMIF('20.01'!$L:$L,$B:$B,'20.01'!$D:$D)*1.2</f>
        <v>0</v>
      </c>
      <c r="AP243" s="17">
        <f>SUMIF('20.01'!$M:$M,$B:$B,'20.01'!$D:$D)*1.2</f>
        <v>0</v>
      </c>
      <c r="AQ243" s="110">
        <f t="shared" si="277"/>
        <v>10.112834135289619</v>
      </c>
      <c r="AR243" s="17">
        <f t="shared" si="278"/>
        <v>10.112834135289619</v>
      </c>
      <c r="AS243" s="17">
        <f>(SUMIF('20.01'!$N:$N,$B:$B,'20.01'!$D:$D)+SUMIF('20.01'!$O:$O,$B:$B,'20.01'!$D:$D))*1.2</f>
        <v>0</v>
      </c>
      <c r="AT243" s="110">
        <f>SUMIF('20.01'!$P:$P,$B:$B,'20.01'!$D:$D)*1.2</f>
        <v>0</v>
      </c>
      <c r="AU243" s="110">
        <f t="shared" si="279"/>
        <v>0</v>
      </c>
      <c r="AV243" s="17">
        <f>SUMIF('20.01'!$Q:$Q,$B:$B,'20.01'!$D:$D)*1.2</f>
        <v>0</v>
      </c>
      <c r="AW243" s="17">
        <f>SUMIF('20.01'!$R:$R,$B:$B,'20.01'!$D:$D)*1.2</f>
        <v>0</v>
      </c>
      <c r="AX243" s="110">
        <f t="shared" si="280"/>
        <v>0</v>
      </c>
      <c r="AY243" s="17">
        <f>SUMIF('20.01'!$S:$S,$B:$B,'20.01'!$D:$D)*1.2</f>
        <v>0</v>
      </c>
      <c r="AZ243" s="17">
        <f>SUMIF('20.01'!$T:$T,$B:$B,'20.01'!$D:$D)*1.2</f>
        <v>0</v>
      </c>
      <c r="BA243" s="110">
        <f t="shared" si="281"/>
        <v>0</v>
      </c>
      <c r="BB243" s="17">
        <f>SUMIF('20.01'!$U:$U,$B:$B,'20.01'!$D:$D)*1.2</f>
        <v>0</v>
      </c>
      <c r="BC243" s="17">
        <f>SUMIF('20.01'!$V:$V,$B:$B,'20.01'!$D:$D)*1.2</f>
        <v>0</v>
      </c>
      <c r="BD243" s="17">
        <f>SUMIF('20.01'!$W:$W,$B:$B,'20.01'!$D:$D)*1.2</f>
        <v>0</v>
      </c>
      <c r="BE243" s="110">
        <f>SUMIF('20.01'!$X:$X,$B:$B,'20.01'!$D:$D)*1.2</f>
        <v>0</v>
      </c>
      <c r="BF243" s="110">
        <f t="shared" si="282"/>
        <v>0</v>
      </c>
      <c r="BG243" s="17">
        <f>SUMIF('20.01'!$Y:$Y,$B:$B,'20.01'!$D:$D)*1.2</f>
        <v>0</v>
      </c>
      <c r="BH243" s="17">
        <f>SUMIF('20.01'!$Z:$Z,$B:$B,'20.01'!$D:$D)*1.2</f>
        <v>0</v>
      </c>
      <c r="BI243" s="17">
        <f>SUMIF('20.01'!$AA:$AA,$B:$B,'20.01'!$D:$D)*1.2</f>
        <v>0</v>
      </c>
      <c r="BJ243" s="17">
        <f>SUMIF('20.01'!$AB:$AB,$B:$B,'20.01'!$D:$D)*1.2</f>
        <v>0</v>
      </c>
      <c r="BK243" s="17">
        <f>SUMIF('20.01'!$AC:$AC,$B:$B,'20.01'!$D:$D)*1.2</f>
        <v>0</v>
      </c>
      <c r="BL243" s="17">
        <f>SUMIF('20.01'!$AD:$AD,$B:$B,'20.01'!$D:$D)*1.2</f>
        <v>0</v>
      </c>
      <c r="BM243" s="110">
        <f t="shared" si="283"/>
        <v>0</v>
      </c>
      <c r="BN243" s="17">
        <f>SUMIF('20.01'!$AE:$AE,$B:$B,'20.01'!$D:$D)*1.2</f>
        <v>0</v>
      </c>
      <c r="BO243" s="17">
        <f>SUMIF('20.01'!$AF:$AF,$B:$B,'20.01'!$D:$D)*1.2</f>
        <v>0</v>
      </c>
      <c r="BP243" s="110">
        <f>SUMIF('20.01'!$AG:$AG,$B:$B,'20.01'!$D:$D)*1.2</f>
        <v>0</v>
      </c>
      <c r="BQ243" s="110">
        <f>SUMIF('20.01'!$AH:$AH,$B:$B,'20.01'!$D:$D)*1.2</f>
        <v>0</v>
      </c>
      <c r="BR243" s="110">
        <f>SUMIF('20.01'!$AI:$AI,$B:$B,'20.01'!$D:$D)*1.2</f>
        <v>0</v>
      </c>
      <c r="BS243" s="110">
        <f t="shared" si="284"/>
        <v>0</v>
      </c>
      <c r="BT243" s="17">
        <f>SUMIF('20.01'!$AJ:$AJ,$B:$B,'20.01'!$D:$D)*1.2</f>
        <v>0</v>
      </c>
      <c r="BU243" s="17">
        <f>SUMIF('20.01'!$AK:$AK,$B:$B,'20.01'!$D:$D)*1.2</f>
        <v>0</v>
      </c>
      <c r="BV243" s="110">
        <f>SUMIF('20.01'!$AL:$AL,$B:$B,'20.01'!$D:$D)*1.2</f>
        <v>0</v>
      </c>
      <c r="BW243" s="110">
        <f>SUMIF('20.01'!$AM:$AM,$B:$B,'20.01'!$D:$D)*1.2</f>
        <v>0</v>
      </c>
      <c r="BX243" s="110">
        <f>SUMIF('20.01'!$AN:$AN,$B:$B,'20.01'!$D:$D)*1.2</f>
        <v>0</v>
      </c>
      <c r="BY243" s="110">
        <f t="shared" si="234"/>
        <v>14272.775380102916</v>
      </c>
      <c r="BZ243" s="17">
        <f>IF(S243=$S$251,$BZ$251,0)/$G$251*G243</f>
        <v>13755.589412370542</v>
      </c>
      <c r="CA243" s="17">
        <f t="shared" si="235"/>
        <v>223.2821094054199</v>
      </c>
      <c r="CB243" s="17">
        <f t="shared" si="236"/>
        <v>14.842651067618444</v>
      </c>
      <c r="CC243" s="17">
        <f>SUMIF('20.01'!$AO:$AO,$B:$B,'20.01'!$D:$D)*1.2</f>
        <v>0</v>
      </c>
      <c r="CD243" s="17">
        <f t="shared" si="237"/>
        <v>233.01454680895517</v>
      </c>
      <c r="CE243" s="17">
        <f>SUMIF('20.01'!$AQ:$AQ,$B:$B,'20.01'!$D:$D)*1.2</f>
        <v>0</v>
      </c>
      <c r="CF243" s="17">
        <f t="shared" si="238"/>
        <v>21.200640273358164</v>
      </c>
      <c r="CG243" s="17">
        <f>SUMIF('20.01'!$AR:$AR,$B:$B,'20.01'!$D:$D)*1.2</f>
        <v>0</v>
      </c>
      <c r="CH243" s="17">
        <f t="shared" si="239"/>
        <v>12.485638776876245</v>
      </c>
      <c r="CI243" s="17">
        <f>SUMIF('20.01'!$AT:$AT,$B:$B,'20.01'!$D:$D)*1.2</f>
        <v>0</v>
      </c>
      <c r="CJ243" s="17">
        <f>SUMIF('20.01'!$AU:$AU,$B:$B,'20.01'!$D:$D)*1.2</f>
        <v>0</v>
      </c>
      <c r="CK243" s="17">
        <f>SUMIF('20.01'!$AV:$AV,$B:$B,'20.01'!$D:$D)*1.2</f>
        <v>0</v>
      </c>
      <c r="CL243" s="17">
        <f t="shared" si="240"/>
        <v>12.360381400145672</v>
      </c>
      <c r="CM243" s="17">
        <f>SUMIF('20.01'!$AW:$AW,$B:$B,'20.01'!$D:$D)*1.2</f>
        <v>0</v>
      </c>
      <c r="CN243" s="17">
        <f>SUMIF('20.01'!$AX:$AX,$B:$B,'20.01'!$D:$D)*1.2</f>
        <v>0</v>
      </c>
      <c r="CO243" s="110">
        <f t="shared" si="285"/>
        <v>4146.4311062936285</v>
      </c>
      <c r="CP243" s="17">
        <f t="shared" si="286"/>
        <v>3270.8764264833153</v>
      </c>
      <c r="CQ243" s="17">
        <f t="shared" si="241"/>
        <v>1009.1103836551029</v>
      </c>
      <c r="CR243" s="17">
        <f t="shared" si="242"/>
        <v>2261.7660428282124</v>
      </c>
      <c r="CS243" s="17">
        <f t="shared" si="287"/>
        <v>875.55467981031302</v>
      </c>
      <c r="CT243" s="17">
        <f t="shared" si="243"/>
        <v>31.897225044656857</v>
      </c>
      <c r="CU243" s="17">
        <f t="shared" si="244"/>
        <v>30.852064540308909</v>
      </c>
      <c r="CV243" s="17">
        <f t="shared" si="245"/>
        <v>31.886283006687616</v>
      </c>
      <c r="CW243" s="17">
        <f t="shared" si="246"/>
        <v>0.33436278554782017</v>
      </c>
      <c r="CX243" s="17">
        <f t="shared" si="247"/>
        <v>470.81641774144174</v>
      </c>
      <c r="CY243" s="17">
        <f t="shared" si="248"/>
        <v>309.76832669167004</v>
      </c>
      <c r="CZ243" s="110">
        <f t="shared" si="288"/>
        <v>1029.252750671671</v>
      </c>
      <c r="DA243" s="17">
        <f t="shared" si="289"/>
        <v>38.879393668351192</v>
      </c>
      <c r="DB243" s="17">
        <f t="shared" si="249"/>
        <v>36.895118393411416</v>
      </c>
      <c r="DC243" s="17">
        <f t="shared" si="250"/>
        <v>1.9842752749397734</v>
      </c>
      <c r="DD243" s="17">
        <f t="shared" si="251"/>
        <v>68.509951440112104</v>
      </c>
      <c r="DE243" s="17">
        <f t="shared" si="252"/>
        <v>23.637738465384508</v>
      </c>
      <c r="DF243" s="17">
        <f t="shared" si="253"/>
        <v>28.687688724789531</v>
      </c>
      <c r="DG243" s="17">
        <f t="shared" si="290"/>
        <v>869.53797837303375</v>
      </c>
      <c r="DH243" s="110">
        <f t="shared" si="291"/>
        <v>642.33411879026562</v>
      </c>
      <c r="DI243" s="17">
        <f t="shared" si="254"/>
        <v>576.19989397487939</v>
      </c>
      <c r="DJ243" s="17">
        <f t="shared" si="255"/>
        <v>63.72432249397189</v>
      </c>
      <c r="DK243" s="17">
        <f t="shared" si="256"/>
        <v>2.4099023214143545</v>
      </c>
      <c r="DL243" s="110">
        <f t="shared" si="292"/>
        <v>3818.6997950085224</v>
      </c>
      <c r="DM243" s="17">
        <f t="shared" si="257"/>
        <v>2023.9108913545167</v>
      </c>
      <c r="DN243" s="17">
        <f t="shared" si="258"/>
        <v>1794.7889036540055</v>
      </c>
      <c r="DO243" s="17">
        <f t="shared" si="259"/>
        <v>0</v>
      </c>
      <c r="DP243" s="110">
        <f t="shared" si="293"/>
        <v>0</v>
      </c>
      <c r="DQ243" s="17">
        <f>SUMIF('20.01'!$BB:$BB,$B:$B,'20.01'!$D:$D)*1.2</f>
        <v>0</v>
      </c>
      <c r="DR243" s="17">
        <f t="shared" si="260"/>
        <v>0</v>
      </c>
      <c r="DS243" s="17">
        <f t="shared" si="261"/>
        <v>0</v>
      </c>
      <c r="DT243" s="110">
        <f t="shared" si="294"/>
        <v>379.29599999999999</v>
      </c>
      <c r="DU243" s="17">
        <f>SUMIF('20.01'!$BD:$BD,$B:$B,'20.01'!$D:$D)*1.2</f>
        <v>379.29599999999999</v>
      </c>
      <c r="DV243" s="17">
        <f t="shared" si="262"/>
        <v>0</v>
      </c>
      <c r="DW243" s="17">
        <f t="shared" si="263"/>
        <v>0</v>
      </c>
      <c r="DX243" s="110">
        <f t="shared" si="264"/>
        <v>25012.188638721582</v>
      </c>
      <c r="DY243" s="110"/>
      <c r="DZ243" s="110">
        <f t="shared" si="295"/>
        <v>25012.188638721582</v>
      </c>
      <c r="EA243" s="257"/>
      <c r="EB243" s="110">
        <f t="shared" si="265"/>
        <v>0</v>
      </c>
      <c r="EC243" s="110">
        <f>SUMIF(еирц!$B:$B,$B:$B,еирц!$K:$K)</f>
        <v>12056.95</v>
      </c>
      <c r="ED243" s="110">
        <f>SUMIF(еирц!$B:$B,$B:$B,еирц!$P:$P)</f>
        <v>11252.650000000001</v>
      </c>
      <c r="EE243" s="110">
        <f>SUMIF(еирц!$B:$B,$B:$B,еирц!$S:$S)</f>
        <v>23807.57</v>
      </c>
      <c r="EF243" s="177">
        <f t="shared" si="296"/>
        <v>-12955.238638721581</v>
      </c>
      <c r="EG243" s="181">
        <f t="shared" si="297"/>
        <v>0</v>
      </c>
      <c r="EH243" s="177">
        <f t="shared" si="298"/>
        <v>-12955.238638721581</v>
      </c>
    </row>
    <row r="244" spans="1:138" s="24" customFormat="1" ht="12" customHeight="1" x14ac:dyDescent="0.25">
      <c r="A244" s="201" t="s">
        <v>333</v>
      </c>
      <c r="B244" s="201"/>
      <c r="C244" s="7">
        <f>SUM(C5:C243)</f>
        <v>1045124.2969767074</v>
      </c>
      <c r="D244" s="7">
        <f>SUM(D5:D243)</f>
        <v>1006962.7869767066</v>
      </c>
      <c r="E244" s="7">
        <f>SUM(E5:E243)</f>
        <v>38161.509999999987</v>
      </c>
      <c r="F244" s="7">
        <f t="shared" ref="F244:I244" si="306">SUM(F5:F243)</f>
        <v>168858.98</v>
      </c>
      <c r="G244" s="7">
        <f t="shared" si="306"/>
        <v>1045016.2969767074</v>
      </c>
      <c r="H244" s="7">
        <f t="shared" si="306"/>
        <v>683895.81980648264</v>
      </c>
      <c r="I244" s="7">
        <f t="shared" si="306"/>
        <v>353</v>
      </c>
      <c r="J244" s="36" t="s">
        <v>332</v>
      </c>
      <c r="K244" s="37">
        <f>SUM(K5:K243)</f>
        <v>415</v>
      </c>
      <c r="L244" s="37">
        <f>SUM(L5:L243)</f>
        <v>0.99999999999999856</v>
      </c>
      <c r="M244" s="118" t="s">
        <v>332</v>
      </c>
      <c r="N244" s="122">
        <f t="shared" ref="N244:R244" si="307">SUM(N5:N243)</f>
        <v>1043745.5969767073</v>
      </c>
      <c r="O244" s="118" t="s">
        <v>332</v>
      </c>
      <c r="P244" s="122">
        <f t="shared" si="307"/>
        <v>1043745.5969767073</v>
      </c>
      <c r="Q244" s="118" t="s">
        <v>332</v>
      </c>
      <c r="R244" s="122">
        <f t="shared" si="307"/>
        <v>706087.98697670724</v>
      </c>
      <c r="S244" s="36" t="s">
        <v>332</v>
      </c>
      <c r="T244" s="36" t="s">
        <v>332</v>
      </c>
      <c r="U244" s="36" t="s">
        <v>332</v>
      </c>
      <c r="V244" s="36" t="s">
        <v>332</v>
      </c>
      <c r="W244" s="36" t="s">
        <v>332</v>
      </c>
      <c r="X244" s="36" t="s">
        <v>332</v>
      </c>
      <c r="Y244" s="36" t="s">
        <v>332</v>
      </c>
      <c r="Z244" s="36" t="s">
        <v>332</v>
      </c>
      <c r="AA244" s="36" t="s">
        <v>332</v>
      </c>
      <c r="AB244" s="36" t="s">
        <v>332</v>
      </c>
      <c r="AC244" s="258"/>
      <c r="AD244" s="37">
        <f>SUM(AD5:AD243)</f>
        <v>90340477.958000019</v>
      </c>
      <c r="AE244" s="37">
        <f>SUM(AE5:AE243)</f>
        <v>39152152.43</v>
      </c>
      <c r="AF244" s="37">
        <f>SUM(AF5:AF243)</f>
        <v>19921509.650000006</v>
      </c>
      <c r="AG244" s="37">
        <f>SUM(AG5:AG243)</f>
        <v>3902872.6680000015</v>
      </c>
      <c r="AH244" s="107">
        <f>SUMIF('20.01'!$J:$J,$AH$3,'20.01'!$D:$D)*1.2</f>
        <v>797973.39599999995</v>
      </c>
      <c r="AI244" s="37">
        <f>SUM(AI5:AI243)</f>
        <v>137107.97999999998</v>
      </c>
      <c r="AJ244" s="107">
        <f>SUMIF('20.01'!$H:$H,$AE$2,'20.01'!$D:$D)*1.2</f>
        <v>324278.44799999997</v>
      </c>
      <c r="AK244" s="107">
        <f>SUMIF('25'!$H:$H,$AE$2,'25'!$D:$D)*1.2</f>
        <v>788897.424</v>
      </c>
      <c r="AL244" s="107">
        <f>SUMIF('20.01'!$AO:$AO,$AL$3,'20.01'!$D:$D)*1.2</f>
        <v>13279512.864</v>
      </c>
      <c r="AM244" s="37">
        <f>SUM(AM5:AM243)</f>
        <v>2005342.1880000003</v>
      </c>
      <c r="AN244" s="37">
        <f>SUM(AN5:AN243)</f>
        <v>1964991.7920000001</v>
      </c>
      <c r="AO244" s="37">
        <f t="shared" ref="AO244:AT244" si="308">SUM(AO5:AO243)</f>
        <v>30805.151999999998</v>
      </c>
      <c r="AP244" s="37">
        <f t="shared" si="308"/>
        <v>9545.2439999999988</v>
      </c>
      <c r="AQ244" s="37">
        <f t="shared" si="308"/>
        <v>448467.7080000001</v>
      </c>
      <c r="AR244" s="107">
        <f>SUMIF('20.01'!$O:$O,$AR$3,'20.01'!$D:$D)*1.2</f>
        <v>293557.68</v>
      </c>
      <c r="AS244" s="37">
        <f t="shared" si="308"/>
        <v>154910.02799999999</v>
      </c>
      <c r="AT244" s="37">
        <f t="shared" si="308"/>
        <v>60171.743999999999</v>
      </c>
      <c r="AU244" s="37">
        <f t="shared" ref="AU244:AV244" si="309">SUM(AU5:AU243)</f>
        <v>232901.23200000002</v>
      </c>
      <c r="AV244" s="37">
        <f t="shared" si="309"/>
        <v>225172.54800000001</v>
      </c>
      <c r="AW244" s="37">
        <f t="shared" ref="AW244:BX244" si="310">SUM(AW5:AW243)</f>
        <v>7728.6839999999993</v>
      </c>
      <c r="AX244" s="37">
        <f t="shared" si="310"/>
        <v>6681388.1640000017</v>
      </c>
      <c r="AY244" s="37">
        <f t="shared" si="310"/>
        <v>5951681.6639999999</v>
      </c>
      <c r="AZ244" s="37">
        <f t="shared" si="310"/>
        <v>729706.49999999988</v>
      </c>
      <c r="BA244" s="37">
        <f t="shared" si="310"/>
        <v>2042669.0519999997</v>
      </c>
      <c r="BB244" s="37">
        <f t="shared" si="310"/>
        <v>1574992.2479999999</v>
      </c>
      <c r="BC244" s="37">
        <f t="shared" si="310"/>
        <v>62119.199999999997</v>
      </c>
      <c r="BD244" s="37">
        <f t="shared" si="310"/>
        <v>405557.60400000005</v>
      </c>
      <c r="BE244" s="37">
        <f t="shared" si="310"/>
        <v>571850.02799999993</v>
      </c>
      <c r="BF244" s="37">
        <f t="shared" si="310"/>
        <v>24496840.619999997</v>
      </c>
      <c r="BG244" s="37">
        <f t="shared" si="310"/>
        <v>1090673.4480000001</v>
      </c>
      <c r="BH244" s="37">
        <f t="shared" si="310"/>
        <v>22976326.920000002</v>
      </c>
      <c r="BI244" s="37">
        <f t="shared" si="310"/>
        <v>53653.2</v>
      </c>
      <c r="BJ244" s="37">
        <f t="shared" si="310"/>
        <v>170087.66399999999</v>
      </c>
      <c r="BK244" s="37">
        <f t="shared" si="310"/>
        <v>134274.58799999999</v>
      </c>
      <c r="BL244" s="37">
        <f t="shared" si="310"/>
        <v>71824.799999999988</v>
      </c>
      <c r="BM244" s="37">
        <f t="shared" si="310"/>
        <v>621647.49600000004</v>
      </c>
      <c r="BN244" s="37">
        <f t="shared" si="310"/>
        <v>565097.49600000004</v>
      </c>
      <c r="BO244" s="37">
        <f t="shared" si="310"/>
        <v>56550</v>
      </c>
      <c r="BP244" s="37">
        <f t="shared" si="310"/>
        <v>98374.655999999988</v>
      </c>
      <c r="BQ244" s="37">
        <f t="shared" si="310"/>
        <v>1509921.12</v>
      </c>
      <c r="BR244" s="37">
        <f t="shared" si="310"/>
        <v>79200</v>
      </c>
      <c r="BS244" s="37">
        <f t="shared" si="310"/>
        <v>218033.66399999996</v>
      </c>
      <c r="BT244" s="37">
        <f t="shared" si="310"/>
        <v>162284.20799999998</v>
      </c>
      <c r="BU244" s="37">
        <f t="shared" si="310"/>
        <v>55749.455999999998</v>
      </c>
      <c r="BV244" s="37">
        <f t="shared" si="310"/>
        <v>11825792.640000002</v>
      </c>
      <c r="BW244" s="37">
        <f t="shared" si="310"/>
        <v>48158.304000000004</v>
      </c>
      <c r="BX244" s="37">
        <f t="shared" si="310"/>
        <v>247566.91200000001</v>
      </c>
      <c r="BY244" s="37">
        <f>SUM(BY5:BY243)</f>
        <v>107945730.49199997</v>
      </c>
      <c r="BZ244" s="37">
        <f>SUM(BZ5:BZ243)</f>
        <v>83436074.592000008</v>
      </c>
      <c r="CA244" s="107">
        <f>(SUMIF('20.01'!$AO:$AO,$CA$2,'20.01'!$D:$D)+SUMIF('25'!$I:$I,$CA$2,'25'!$D:$D))*1.2</f>
        <v>6481484.5319999987</v>
      </c>
      <c r="CB244" s="107">
        <f>(SUMIF('20.01'!$AO:$AO,$CB$2,'20.01'!$D:$D)+SUMIF('25'!$I:$I,$CB$2,'25'!$D:$D))*1.2</f>
        <v>430855.89600000001</v>
      </c>
      <c r="CC244" s="37">
        <f>SUM(CC5:CC243)</f>
        <v>8831.0040000000008</v>
      </c>
      <c r="CD244" s="107">
        <f>SUMIF('20.01'!$AO:$AO,$CD$2,'20.01'!$D:$D)*1.2</f>
        <v>6763999.9679999994</v>
      </c>
      <c r="CE244" s="37">
        <f>SUM(CE5:CE243)</f>
        <v>104638.224</v>
      </c>
      <c r="CF244" s="107">
        <f>SUMIF('20.01'!$AR:$AR,$CF$2,'20.01'!$D:$D)*1.2</f>
        <v>615417.07199999993</v>
      </c>
      <c r="CG244" s="37">
        <f>SUM(CG5:CG243)</f>
        <v>9027993.203999998</v>
      </c>
      <c r="CH244" s="107">
        <f>SUMIF('20.01'!$AS:$AS,$CH$2,'20.01'!$D:$D)*1.2</f>
        <v>362436</v>
      </c>
      <c r="CI244" s="37">
        <f>SUM(CI5:CI243)</f>
        <v>46800</v>
      </c>
      <c r="CJ244" s="37">
        <f>SUM(CJ5:CJ243)</f>
        <v>116400</v>
      </c>
      <c r="CK244" s="37">
        <f>SUM(CK5:CK243)</f>
        <v>10200</v>
      </c>
      <c r="CL244" s="107">
        <f>SUMIF('20.01'!$AO:$AO,$CL$2,'20.01'!$D:$D)*1.2</f>
        <v>358800</v>
      </c>
      <c r="CM244" s="37">
        <f t="shared" ref="CM244:CN244" si="311">SUM(CM5:CM243)</f>
        <v>165600</v>
      </c>
      <c r="CN244" s="37">
        <f t="shared" si="311"/>
        <v>16200</v>
      </c>
      <c r="CO244" s="37">
        <f>SUM(CO5:CO243)</f>
        <v>120363557.788</v>
      </c>
      <c r="CP244" s="37">
        <f>SUM(CP5:CP243)</f>
        <v>94947754.752000004</v>
      </c>
      <c r="CQ244" s="107">
        <f>SUMIF('20.01'!$AY:$AY,$CQ$3,'20.01'!$D:$D)*1.2</f>
        <v>29292688.788000003</v>
      </c>
      <c r="CR244" s="107">
        <f>SUMIF('26'!$H:$H,$CR$3,'26'!$D:$D)*1.2</f>
        <v>65655065.963999994</v>
      </c>
      <c r="CS244" s="37">
        <f>SUM(CS5:CS243)</f>
        <v>25415803.035999995</v>
      </c>
      <c r="CT244" s="107">
        <f>SUMIF('20.01'!$AY:$AY,$CT$3,'20.01'!$D:$D)*1.2</f>
        <v>925920</v>
      </c>
      <c r="CU244" s="107">
        <f>SUMIF('91.02'!$H:$H,$CU$3,'91.02'!$D:$D)</f>
        <v>895580.84</v>
      </c>
      <c r="CV244" s="107">
        <f>SUMIF('20.01'!$AY:$AY,$CV$3,'20.01'!$D:$D)*1.2</f>
        <v>925602.37200000009</v>
      </c>
      <c r="CW244" s="107">
        <f>SUMIF('25'!$J:$J,$CW$3,'25'!$D:$D)*1.2</f>
        <v>9705.9599999999991</v>
      </c>
      <c r="CX244" s="107">
        <f>SUMIF('26'!$H:$H,$CX$3,'26'!$D:$D)*1.2</f>
        <v>13666967.483999999</v>
      </c>
      <c r="CY244" s="107">
        <f>SUMIF('91.02'!$H:$H,$CY$3,'91.02'!$D:$D)</f>
        <v>8992026.3800000008</v>
      </c>
      <c r="CZ244" s="37">
        <f>SUM(CZ5:CZ243)</f>
        <v>29877386.06000001</v>
      </c>
      <c r="DA244" s="37">
        <f>SUM(DA5:DA243)</f>
        <v>1128599.9999999995</v>
      </c>
      <c r="DB244" s="107">
        <f>SUMIF('20.01'!$AY:$AY,$DB$3,'20.01'!$D:$D)*1.2</f>
        <v>1071000</v>
      </c>
      <c r="DC244" s="107">
        <f>SUMIF('26'!$H:$H,$DC$3,'26'!$D:$D)*1.2</f>
        <v>57600</v>
      </c>
      <c r="DD244" s="107">
        <f>SUMIF('91.02'!$H:$H,$DD$2,'91.02'!$D:$D)</f>
        <v>1988722.66</v>
      </c>
      <c r="DE244" s="107">
        <f>SUMIF('91.02'!$H:$H,$DE$2,'91.02'!$D:$D)</f>
        <v>686161.72</v>
      </c>
      <c r="DF244" s="107">
        <f>SUMIF('91.02'!$H:$H,$DF$2,'91.02'!$D:$D)</f>
        <v>832752.84</v>
      </c>
      <c r="DG244" s="107">
        <f>SUMIF('91.02'!$H:$H,$DG$2,'91.02'!$D:$D)</f>
        <v>25241148.84</v>
      </c>
      <c r="DH244" s="37">
        <f>SUM(DH5:DH243)</f>
        <v>18645822.839999996</v>
      </c>
      <c r="DI244" s="107">
        <f>SUMIF('20.01'!$AY:$AY,$DI$2,'20.01'!$D:$D)*1.2</f>
        <v>16726063.319999998</v>
      </c>
      <c r="DJ244" s="107">
        <f>SUMIF('20.01'!$AY:$AY,$DJ$2,'20.01'!$D:$D)*1.2</f>
        <v>1849804.32</v>
      </c>
      <c r="DK244" s="107">
        <f>SUMIF('20.01'!$AY:$AY,$DK$2,'20.01'!$D:$D)*1.2</f>
        <v>69955.199999999997</v>
      </c>
      <c r="DL244" s="37">
        <f t="shared" ref="DL244:DQ244" si="312">SUM(DL5:DL243)</f>
        <v>131151308.2439999</v>
      </c>
      <c r="DM244" s="37">
        <f t="shared" si="312"/>
        <v>58679113.375679977</v>
      </c>
      <c r="DN244" s="37">
        <f t="shared" si="312"/>
        <v>52036194.880319968</v>
      </c>
      <c r="DO244" s="37">
        <f t="shared" si="312"/>
        <v>20435999.987999998</v>
      </c>
      <c r="DP244" s="37">
        <f t="shared" si="312"/>
        <v>30086807.13522511</v>
      </c>
      <c r="DQ244" s="37">
        <f t="shared" si="312"/>
        <v>2468787.8639999996</v>
      </c>
      <c r="DR244" s="107">
        <f>SUMIF('20.01'!$BB:$BB,$DR$2,'20.01'!$D:$D)*1.2</f>
        <v>27414791.16</v>
      </c>
      <c r="DS244" s="107">
        <f>SUMIF('25'!$K:$K,$DS$2,'25'!$D:$D)*1.2</f>
        <v>203228.02799999999</v>
      </c>
      <c r="DT244" s="37">
        <f>SUM(DT5:DT243)</f>
        <v>1515941.9279999989</v>
      </c>
      <c r="DU244" s="37">
        <f>SUM(DU5:DU243)</f>
        <v>1515941.9279999989</v>
      </c>
      <c r="DV244" s="107">
        <f>SUMIF('20.01'!$BD:$BD,$DU$2,'20.01'!$D:$D)*1.2</f>
        <v>0</v>
      </c>
      <c r="DW244" s="107">
        <f>SUMIF('20.01'!$BC:$BC,$DW$2,'20.01'!$D:$D)*1.2</f>
        <v>0</v>
      </c>
      <c r="DX244" s="37">
        <f>SUM(DX5:DX243)</f>
        <v>529927032.44522524</v>
      </c>
      <c r="DY244" s="37">
        <f t="shared" ref="DY244:DZ244" si="313">SUM(DY5:DY243)</f>
        <v>10460019.763580492</v>
      </c>
      <c r="DZ244" s="37">
        <f t="shared" si="313"/>
        <v>540387052.20880556</v>
      </c>
      <c r="EA244" s="258"/>
      <c r="EB244" s="37">
        <f>SUM(EB5:EB243)</f>
        <v>367920.00000000052</v>
      </c>
      <c r="EC244" s="37">
        <f>SUM(EC5:EC243)</f>
        <v>427438122.45999998</v>
      </c>
      <c r="ED244" s="37">
        <f>SUM(ED5:ED243)</f>
        <v>420561248.74000013</v>
      </c>
      <c r="EE244" s="37">
        <f>SUM(EE5:EE243)</f>
        <v>102680525.53999999</v>
      </c>
      <c r="EF244" s="177">
        <f>SUM(EF5:EF243)</f>
        <v>-102120989.98522499</v>
      </c>
      <c r="EH244" s="177">
        <f>SUM(EH5:EH243)</f>
        <v>-112581009.74880549</v>
      </c>
    </row>
    <row r="245" spans="1:138" s="24" customFormat="1" ht="12" hidden="1" customHeight="1" outlineLevel="1" x14ac:dyDescent="0.25">
      <c r="A245" s="223" t="s">
        <v>854</v>
      </c>
      <c r="B245" s="223"/>
      <c r="C245" s="38"/>
      <c r="D245" s="39"/>
      <c r="E245" s="38"/>
      <c r="F245" s="39"/>
      <c r="G245" s="39"/>
      <c r="H245" s="39"/>
      <c r="I245" s="39"/>
      <c r="J245" s="39"/>
      <c r="K245" s="39"/>
      <c r="L245" s="39"/>
      <c r="M245" s="39"/>
      <c r="N245" s="123">
        <v>0.53</v>
      </c>
      <c r="O245" s="39"/>
      <c r="P245" s="123">
        <v>0.47</v>
      </c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F245" s="224">
        <v>19853651.93</v>
      </c>
      <c r="AG245" s="224"/>
      <c r="AH245" s="224">
        <v>779234.48</v>
      </c>
      <c r="AI245" s="224"/>
      <c r="AJ245" s="165">
        <f>SUMIF('20.01'!$H:$H,$AE$2,'20.01'!$D:$D)</f>
        <v>270232.03999999998</v>
      </c>
      <c r="AK245" s="165">
        <f>SUMIF('25'!$H:$H,$AE$2,'25'!$D:$D)</f>
        <v>657414.52</v>
      </c>
      <c r="AL245" s="185">
        <f>SUMIF('20.01'!$AO:$AO,$AL$3,'20.01'!$D:$D)</f>
        <v>11066260.720000001</v>
      </c>
      <c r="AN245" s="165">
        <v>1637493.16</v>
      </c>
      <c r="AO245" s="165">
        <v>25670.959999999999</v>
      </c>
      <c r="AP245" s="165">
        <v>7954.37</v>
      </c>
      <c r="AR245" s="165">
        <f>SUMIF('20.01'!$O:$O,$AR$3,'20.01'!$D:$D)</f>
        <v>244631.4</v>
      </c>
      <c r="AS245" s="165">
        <v>129091.69</v>
      </c>
      <c r="AT245" s="165">
        <v>50143.12</v>
      </c>
      <c r="AV245" s="165">
        <v>187643.79</v>
      </c>
      <c r="AW245" s="165">
        <v>6440.57</v>
      </c>
      <c r="AY245" s="165">
        <v>4959734.72</v>
      </c>
      <c r="AZ245" s="165">
        <v>608088.75</v>
      </c>
      <c r="BB245" s="165">
        <v>1312493.54</v>
      </c>
      <c r="BC245" s="165">
        <v>51766</v>
      </c>
      <c r="BD245" s="165">
        <v>337964.67</v>
      </c>
      <c r="BE245" s="165">
        <v>476541.69</v>
      </c>
      <c r="BG245" s="165">
        <v>908894.54</v>
      </c>
      <c r="BH245" s="165">
        <v>19146939.100000001</v>
      </c>
      <c r="BI245" s="165">
        <v>44711</v>
      </c>
      <c r="BJ245" s="165">
        <v>141739.72</v>
      </c>
      <c r="BK245" s="165">
        <v>111895.49</v>
      </c>
      <c r="BL245" s="165">
        <v>59854</v>
      </c>
      <c r="BN245" s="165">
        <v>470914.58</v>
      </c>
      <c r="BO245" s="165">
        <v>47125</v>
      </c>
      <c r="BP245" s="165">
        <v>81978.880000000005</v>
      </c>
      <c r="BQ245" s="165">
        <v>1258267.6000000001</v>
      </c>
      <c r="BR245" s="165">
        <v>66000</v>
      </c>
      <c r="BT245" s="165">
        <v>135236.84</v>
      </c>
      <c r="BU245" s="165">
        <v>46457.88</v>
      </c>
      <c r="BV245" s="165">
        <v>9854827.1999999993</v>
      </c>
      <c r="BW245" s="165">
        <v>40131.919999999998</v>
      </c>
      <c r="BX245" s="165">
        <v>206305.76</v>
      </c>
      <c r="BZ245" s="165">
        <f>BZ244/1.2</f>
        <v>69530062.160000011</v>
      </c>
      <c r="CA245" s="165">
        <f>SUMIF('20.01'!$AO:$AO,$CA$2,'20.01'!$D:$D)+SUMIF('25'!$I:$I,$CA$2,'25'!$D:$D)</f>
        <v>5401237.1099999994</v>
      </c>
      <c r="CB245" s="165">
        <f>SUMIF('20.01'!$AO:$AO,$CB$2,'20.01'!$D:$D)+SUMIF('25'!$I:$I,$CB$2,'25'!$D:$D)</f>
        <v>359046.58</v>
      </c>
      <c r="CC245" s="165">
        <v>7359.17</v>
      </c>
      <c r="CD245" s="165">
        <f>SUMIF('20.01'!$AO:$AO,$CD$2,'20.01'!$D:$D)</f>
        <v>5636666.6399999997</v>
      </c>
      <c r="CE245" s="165">
        <v>87198.52</v>
      </c>
      <c r="CF245" s="165">
        <f>SUMIF('20.01'!$AR:$AR,$CF$2,'20.01'!$D:$D)</f>
        <v>512847.56</v>
      </c>
      <c r="CG245" s="165">
        <f>8036175.23-CF245</f>
        <v>7523327.6700000009</v>
      </c>
      <c r="CH245" s="165">
        <f>SUMIF('20.01'!$AS:$AS,$CH$2,'20.01'!$D:$D)</f>
        <v>302030</v>
      </c>
      <c r="CI245" s="165">
        <v>39000</v>
      </c>
      <c r="CJ245" s="165">
        <v>97000</v>
      </c>
      <c r="CK245" s="165">
        <v>8500</v>
      </c>
      <c r="CL245" s="165">
        <f>SUMIF('20.01'!$AO:$AO,$CL$2,'20.01'!$D:$D)</f>
        <v>299000</v>
      </c>
      <c r="CM245" s="165">
        <v>138000</v>
      </c>
      <c r="CN245" s="165">
        <v>13500</v>
      </c>
      <c r="CQ245" s="165">
        <f>SUMIF('20.01'!$AY:$AY,$CQ$3,'20.01'!$D:$D)</f>
        <v>24410573.990000002</v>
      </c>
      <c r="CR245" s="165">
        <f>SUMIF('26'!$H:$H,$CR$3,'26'!$D:$D)</f>
        <v>54712554.969999999</v>
      </c>
      <c r="CT245" s="165">
        <f>SUMIF('20.01'!$AY:$AY,$CT$3,'20.01'!$D:$D)</f>
        <v>771600</v>
      </c>
      <c r="CU245" s="165">
        <f>SUMIF('91.02'!$H:$H,$CU$3,'91.02'!$D:$D)</f>
        <v>895580.84</v>
      </c>
      <c r="CV245" s="165">
        <f>SUMIF('20.01'!$AY:$AY,$CV$3,'20.01'!$D:$D)</f>
        <v>771335.31</v>
      </c>
      <c r="CW245" s="165">
        <f>SUMIF('25'!$J:$J,$CW$3,'25'!$D:$D)</f>
        <v>8088.3</v>
      </c>
      <c r="CX245" s="165">
        <f>SUMIF('26'!$H:$H,$CX$3,'26'!$D:$D)</f>
        <v>11389139.57</v>
      </c>
      <c r="CY245" s="165">
        <f>SUMIF('91.02'!$H:$H,$CY$3,'91.02'!$D:$D)</f>
        <v>8992026.3800000008</v>
      </c>
      <c r="CZ245" s="164"/>
      <c r="DB245" s="165">
        <f>SUMIF('20.01'!$AY:$AY,$DB$3,'20.01'!$D:$D)</f>
        <v>892500</v>
      </c>
      <c r="DC245" s="165">
        <f>SUMIF('26'!$H:$H,$DC$3,'26'!$D:$D)</f>
        <v>48000</v>
      </c>
      <c r="DD245" s="165">
        <f>SUMIF('91.02'!$H:$H,$DD$2,'91.02'!$D:$D)</f>
        <v>1988722.66</v>
      </c>
      <c r="DE245" s="165">
        <f>SUMIF('91.02'!$H:$H,$DE$2,'91.02'!$D:$D)</f>
        <v>686161.72</v>
      </c>
      <c r="DF245" s="165">
        <f>SUMIF('91.02'!$H:$H,$DF$2,'91.02'!$D:$D)</f>
        <v>832752.84</v>
      </c>
      <c r="DG245" s="185">
        <f>SUMIF('91.02'!$H:$H,$DG$2,'91.02'!$D:$D)</f>
        <v>25241148.84</v>
      </c>
      <c r="DH245" s="164"/>
      <c r="DI245" s="165">
        <f>SUMIF('20.01'!$AY:$AY,$DI$2,'20.01'!$D:$D)</f>
        <v>13938386.1</v>
      </c>
      <c r="DJ245" s="165">
        <f>SUMIF('20.01'!$AY:$AY,$DJ$2,'20.01'!$D:$D)</f>
        <v>1541503.6</v>
      </c>
      <c r="DK245" s="165">
        <f>SUMIF('20.01'!$AY:$AY,$DK$2,'20.01'!$D:$D)</f>
        <v>58296</v>
      </c>
      <c r="DM245" s="225">
        <f>SUMIF('20.01'!$AZ:$AZ,$DL$1,'20.01'!$D:$D)</f>
        <v>92262756.879999995</v>
      </c>
      <c r="DN245" s="225"/>
      <c r="DO245" s="165">
        <f>SUMIF('20.01'!$BA:$BA,$DO$2,'20.01'!$D:$D)</f>
        <v>17029999.989999998</v>
      </c>
      <c r="DQ245" s="165">
        <v>2057323.22</v>
      </c>
      <c r="DR245" s="165">
        <f>SUMIF('20.01'!$BB:$BB,$DR$2,'20.01'!$D:$D)</f>
        <v>22845659.300000001</v>
      </c>
      <c r="DS245" s="165">
        <f>SUMIF('25'!$K:$K,$DS$2,'25'!$D:$D)</f>
        <v>169356.69</v>
      </c>
      <c r="DU245" s="165">
        <v>1263284.94</v>
      </c>
      <c r="DV245" s="165">
        <f>SUMIF('20.01'!$BD:$BD,$DU$2,'20.01'!$D:$D)</f>
        <v>0</v>
      </c>
      <c r="DW245" s="165">
        <f>SUMIF('20.01'!$BC:$BC,$DW$2,'20.01'!$D:$D)</f>
        <v>0</v>
      </c>
      <c r="EB245" s="165">
        <f>реклама!E34</f>
        <v>367920</v>
      </c>
    </row>
    <row r="246" spans="1:138" s="24" customFormat="1" ht="12" hidden="1" customHeight="1" outlineLevel="1" x14ac:dyDescent="0.25">
      <c r="A246" s="221" t="s">
        <v>855</v>
      </c>
      <c r="B246" s="221"/>
      <c r="C246" s="38"/>
      <c r="D246" s="38"/>
      <c r="E246" s="38"/>
      <c r="F246" s="38"/>
      <c r="G246" s="129">
        <f>SUMIF($S$5:$S$244,$S$246,$G$5:$G$244)</f>
        <v>508283.32717022422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130" t="s">
        <v>143</v>
      </c>
      <c r="T246" s="38"/>
      <c r="U246" s="38"/>
      <c r="V246" s="38"/>
      <c r="W246" s="38"/>
      <c r="X246" s="38"/>
      <c r="Y246" s="38"/>
      <c r="Z246" s="38"/>
      <c r="AA246" s="38"/>
      <c r="AB246" s="38"/>
      <c r="AF246" s="165">
        <f t="shared" ref="AF246" si="314">AF245*1.2</f>
        <v>23824382.316</v>
      </c>
      <c r="AG246" s="129">
        <f>SUMIF('20.01'!$I:$I,$S$246,'20.01'!$D:$D)*1.2</f>
        <v>1355911.0319999999</v>
      </c>
      <c r="AH246" s="226">
        <f t="shared" ref="AH246:AJ246" si="315">AH245*1.2</f>
        <v>935081.37599999993</v>
      </c>
      <c r="AI246" s="226"/>
      <c r="AJ246" s="165">
        <f t="shared" si="315"/>
        <v>324278.44799999997</v>
      </c>
      <c r="AK246" s="165">
        <f>AK245*1.2</f>
        <v>788897.424</v>
      </c>
      <c r="AL246" s="185">
        <f t="shared" ref="AL246" si="316">AL245*1.2</f>
        <v>13279512.864</v>
      </c>
      <c r="AN246" s="165">
        <f>AN245*1.2</f>
        <v>1964991.7919999999</v>
      </c>
      <c r="AO246" s="165">
        <f t="shared" ref="AO246:BR246" si="317">AO245*1.2</f>
        <v>30805.151999999998</v>
      </c>
      <c r="AP246" s="165">
        <f t="shared" si="317"/>
        <v>9545.2439999999988</v>
      </c>
      <c r="AR246" s="165">
        <f t="shared" si="317"/>
        <v>293557.68</v>
      </c>
      <c r="AS246" s="165">
        <f t="shared" si="317"/>
        <v>154910.02799999999</v>
      </c>
      <c r="AT246" s="165">
        <f t="shared" si="317"/>
        <v>60171.743999999999</v>
      </c>
      <c r="AV246" s="165">
        <f t="shared" si="317"/>
        <v>225172.54800000001</v>
      </c>
      <c r="AW246" s="165">
        <f t="shared" si="317"/>
        <v>7728.6839999999993</v>
      </c>
      <c r="AY246" s="165">
        <f t="shared" si="317"/>
        <v>5951681.6639999999</v>
      </c>
      <c r="AZ246" s="165">
        <f t="shared" si="317"/>
        <v>729706.5</v>
      </c>
      <c r="BB246" s="165">
        <f t="shared" si="317"/>
        <v>1574992.2479999999</v>
      </c>
      <c r="BC246" s="165">
        <f t="shared" si="317"/>
        <v>62119.199999999997</v>
      </c>
      <c r="BD246" s="165">
        <f t="shared" si="317"/>
        <v>405557.60399999999</v>
      </c>
      <c r="BE246" s="165">
        <f t="shared" si="317"/>
        <v>571850.02799999993</v>
      </c>
      <c r="BG246" s="165">
        <f t="shared" si="317"/>
        <v>1090673.4480000001</v>
      </c>
      <c r="BH246" s="165">
        <f t="shared" si="317"/>
        <v>22976326.920000002</v>
      </c>
      <c r="BI246" s="165">
        <f t="shared" si="317"/>
        <v>53653.2</v>
      </c>
      <c r="BJ246" s="165">
        <f t="shared" si="317"/>
        <v>170087.66399999999</v>
      </c>
      <c r="BK246" s="165">
        <f t="shared" si="317"/>
        <v>134274.58799999999</v>
      </c>
      <c r="BL246" s="165">
        <f t="shared" si="317"/>
        <v>71824.800000000003</v>
      </c>
      <c r="BN246" s="165">
        <f t="shared" si="317"/>
        <v>565097.49600000004</v>
      </c>
      <c r="BO246" s="165">
        <f t="shared" si="317"/>
        <v>56550</v>
      </c>
      <c r="BP246" s="165">
        <f t="shared" si="317"/>
        <v>98374.656000000003</v>
      </c>
      <c r="BQ246" s="165">
        <f t="shared" si="317"/>
        <v>1509921.12</v>
      </c>
      <c r="BR246" s="165">
        <f t="shared" si="317"/>
        <v>79200</v>
      </c>
      <c r="BT246" s="165">
        <f t="shared" ref="BT246:BX246" si="318">BT245*1.2</f>
        <v>162284.20799999998</v>
      </c>
      <c r="BU246" s="165">
        <f t="shared" si="318"/>
        <v>55749.455999999998</v>
      </c>
      <c r="BV246" s="165">
        <f t="shared" si="318"/>
        <v>11825792.639999999</v>
      </c>
      <c r="BW246" s="165">
        <f t="shared" si="318"/>
        <v>48158.303999999996</v>
      </c>
      <c r="BX246" s="165">
        <f t="shared" si="318"/>
        <v>247566.91200000001</v>
      </c>
      <c r="BZ246" s="129">
        <f>(SUMIF('20.01'!$AP:$AP,$S$246,'20.01'!$D:$D)+SUMIF('25'!$I:$I,$S$246:$S$251,'25'!$D:$D))*1.2</f>
        <v>31149745.188000001</v>
      </c>
      <c r="CA246" s="165">
        <f t="shared" ref="CA246:CN246" si="319">CA245*1.2</f>
        <v>6481484.5319999987</v>
      </c>
      <c r="CB246" s="165">
        <f t="shared" si="319"/>
        <v>430855.89600000001</v>
      </c>
      <c r="CC246" s="165">
        <f t="shared" si="319"/>
        <v>8831.003999999999</v>
      </c>
      <c r="CD246" s="165">
        <f t="shared" si="319"/>
        <v>6763999.9679999994</v>
      </c>
      <c r="CE246" s="165">
        <f t="shared" si="319"/>
        <v>104638.224</v>
      </c>
      <c r="CF246" s="165">
        <f t="shared" si="319"/>
        <v>615417.07199999993</v>
      </c>
      <c r="CG246" s="165">
        <f t="shared" si="319"/>
        <v>9027993.2039999999</v>
      </c>
      <c r="CH246" s="165">
        <f t="shared" si="319"/>
        <v>362436</v>
      </c>
      <c r="CI246" s="165">
        <f t="shared" si="319"/>
        <v>46800</v>
      </c>
      <c r="CJ246" s="165">
        <f t="shared" si="319"/>
        <v>116400</v>
      </c>
      <c r="CK246" s="165">
        <f t="shared" si="319"/>
        <v>10200</v>
      </c>
      <c r="CL246" s="165">
        <f t="shared" si="319"/>
        <v>358800</v>
      </c>
      <c r="CM246" s="165">
        <f t="shared" si="319"/>
        <v>165600</v>
      </c>
      <c r="CN246" s="165">
        <f t="shared" si="319"/>
        <v>16200</v>
      </c>
      <c r="CQ246" s="165">
        <f>CQ245*1.2</f>
        <v>29292688.788000003</v>
      </c>
      <c r="CR246" s="165">
        <f>CR245*1.2</f>
        <v>65655065.963999994</v>
      </c>
      <c r="CT246" s="165">
        <f>CT245*1.2</f>
        <v>925920</v>
      </c>
      <c r="CU246" s="165">
        <f>CU245</f>
        <v>895580.84</v>
      </c>
      <c r="CV246" s="165">
        <f>CV245*1.2</f>
        <v>925602.37200000009</v>
      </c>
      <c r="CW246" s="165">
        <f>CW245*1.2</f>
        <v>9705.9599999999991</v>
      </c>
      <c r="CX246" s="165">
        <f>CX245*1.2</f>
        <v>13666967.483999999</v>
      </c>
      <c r="CY246" s="165">
        <f>CY245</f>
        <v>8992026.3800000008</v>
      </c>
      <c r="CZ246" s="164"/>
      <c r="DB246" s="165">
        <f>DB245*1.2</f>
        <v>1071000</v>
      </c>
      <c r="DC246" s="165">
        <f>DC245*1.2</f>
        <v>57600</v>
      </c>
      <c r="DD246" s="165">
        <f>DD245</f>
        <v>1988722.66</v>
      </c>
      <c r="DE246" s="165">
        <f>DE245</f>
        <v>686161.72</v>
      </c>
      <c r="DF246" s="165">
        <f>DF245</f>
        <v>832752.84</v>
      </c>
      <c r="DG246" s="185">
        <f>DG245</f>
        <v>25241148.84</v>
      </c>
      <c r="DH246" s="164"/>
      <c r="DI246" s="165">
        <f>DI245*1.2</f>
        <v>16726063.319999998</v>
      </c>
      <c r="DJ246" s="165">
        <f>DJ245*1.2</f>
        <v>1849804.32</v>
      </c>
      <c r="DK246" s="165">
        <f>DK245*1.2</f>
        <v>69955.199999999997</v>
      </c>
      <c r="DM246" s="225">
        <f>DM245*1.2</f>
        <v>110715308.256</v>
      </c>
      <c r="DN246" s="225"/>
      <c r="DO246" s="165">
        <f>DO245*1.2</f>
        <v>20435999.987999998</v>
      </c>
      <c r="DQ246" s="165">
        <f>DQ245*1.2</f>
        <v>2468787.8640000001</v>
      </c>
      <c r="DR246" s="165">
        <f t="shared" ref="DR246:DS246" si="320">DR245*1.2</f>
        <v>27414791.16</v>
      </c>
      <c r="DS246" s="165">
        <f t="shared" si="320"/>
        <v>203228.02799999999</v>
      </c>
      <c r="DU246" s="165">
        <f>DU245*1.2</f>
        <v>1515941.9279999998</v>
      </c>
      <c r="DV246" s="165">
        <f>DV245*1.2</f>
        <v>0</v>
      </c>
      <c r="DW246" s="165">
        <f>DW245*1.2</f>
        <v>0</v>
      </c>
    </row>
    <row r="247" spans="1:138" s="24" customFormat="1" ht="12" hidden="1" customHeight="1" outlineLevel="1" x14ac:dyDescent="0.25">
      <c r="A247" s="221" t="s">
        <v>856</v>
      </c>
      <c r="B247" s="221"/>
      <c r="C247" s="38"/>
      <c r="D247" s="38"/>
      <c r="E247" s="38"/>
      <c r="F247" s="38"/>
      <c r="G247" s="129">
        <f>SUMIF($S$5:$S$244,$S$247,$G$5:$G$244)</f>
        <v>29199.690000000002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130" t="s">
        <v>310</v>
      </c>
      <c r="T247" s="38"/>
      <c r="U247" s="38"/>
      <c r="V247" s="38"/>
      <c r="W247" s="38"/>
      <c r="X247" s="38"/>
      <c r="Y247" s="38"/>
      <c r="Z247" s="38"/>
      <c r="AA247" s="38"/>
      <c r="AB247" s="38"/>
      <c r="AF247" s="164">
        <f>(AF244+AG244)-AF246</f>
        <v>2.0000077784061432E-3</v>
      </c>
      <c r="AG247" s="129">
        <f>SUMIF('20.01'!$I:$I,$S$247,'20.01'!$D:$D)*1.2</f>
        <v>79455.995999999999</v>
      </c>
      <c r="AH247" s="222">
        <f>(AH244+AI244)-AH246</f>
        <v>0</v>
      </c>
      <c r="AI247" s="222"/>
      <c r="AJ247" s="164">
        <f t="shared" ref="AJ247:AP247" si="321">AJ244-AJ246</f>
        <v>0</v>
      </c>
      <c r="AK247" s="164">
        <f t="shared" si="321"/>
        <v>0</v>
      </c>
      <c r="AL247" s="184">
        <f t="shared" si="321"/>
        <v>0</v>
      </c>
      <c r="AN247" s="164">
        <f t="shared" si="321"/>
        <v>0</v>
      </c>
      <c r="AO247" s="164">
        <f t="shared" si="321"/>
        <v>0</v>
      </c>
      <c r="AP247" s="164">
        <f t="shared" si="321"/>
        <v>0</v>
      </c>
      <c r="AQ247" s="164"/>
      <c r="AR247" s="164">
        <f t="shared" ref="AR247:AT247" si="322">AR244-AR246</f>
        <v>0</v>
      </c>
      <c r="AS247" s="164">
        <f t="shared" si="322"/>
        <v>0</v>
      </c>
      <c r="AT247" s="164">
        <f t="shared" si="322"/>
        <v>0</v>
      </c>
      <c r="AV247" s="164">
        <f t="shared" ref="AV247:AW247" si="323">AV244-AV246</f>
        <v>0</v>
      </c>
      <c r="AW247" s="164">
        <f t="shared" si="323"/>
        <v>0</v>
      </c>
      <c r="AY247" s="164">
        <f t="shared" ref="AY247:AZ247" si="324">AY244-AY246</f>
        <v>0</v>
      </c>
      <c r="AZ247" s="164">
        <f t="shared" si="324"/>
        <v>0</v>
      </c>
      <c r="BB247" s="164">
        <f t="shared" ref="BB247:BL247" si="325">BB244-BB246</f>
        <v>0</v>
      </c>
      <c r="BC247" s="164">
        <f t="shared" si="325"/>
        <v>0</v>
      </c>
      <c r="BD247" s="164">
        <f t="shared" si="325"/>
        <v>0</v>
      </c>
      <c r="BE247" s="164">
        <f t="shared" si="325"/>
        <v>0</v>
      </c>
      <c r="BG247" s="164">
        <f t="shared" si="325"/>
        <v>0</v>
      </c>
      <c r="BH247" s="164">
        <f t="shared" si="325"/>
        <v>0</v>
      </c>
      <c r="BI247" s="164">
        <f t="shared" si="325"/>
        <v>0</v>
      </c>
      <c r="BJ247" s="164">
        <f t="shared" si="325"/>
        <v>0</v>
      </c>
      <c r="BK247" s="164">
        <f t="shared" si="325"/>
        <v>0</v>
      </c>
      <c r="BL247" s="164">
        <f t="shared" si="325"/>
        <v>0</v>
      </c>
      <c r="BN247" s="164">
        <f t="shared" ref="BN247:BX247" si="326">BN244-BN246</f>
        <v>0</v>
      </c>
      <c r="BO247" s="164">
        <f t="shared" si="326"/>
        <v>0</v>
      </c>
      <c r="BP247" s="164">
        <f t="shared" si="326"/>
        <v>0</v>
      </c>
      <c r="BQ247" s="164">
        <f t="shared" si="326"/>
        <v>0</v>
      </c>
      <c r="BR247" s="164">
        <f t="shared" si="326"/>
        <v>0</v>
      </c>
      <c r="BT247" s="164">
        <f t="shared" si="326"/>
        <v>0</v>
      </c>
      <c r="BU247" s="164">
        <f t="shared" si="326"/>
        <v>0</v>
      </c>
      <c r="BV247" s="164">
        <f t="shared" si="326"/>
        <v>0</v>
      </c>
      <c r="BW247" s="164">
        <f t="shared" si="326"/>
        <v>0</v>
      </c>
      <c r="BX247" s="164">
        <f t="shared" si="326"/>
        <v>0</v>
      </c>
      <c r="BZ247" s="129">
        <f>(SUMIF('20.01'!$AP:$AP,$S$247,'20.01'!$D:$D)+SUMIF('25'!$I:$I,$S$247:$S$251,'25'!$D:$D))*1.2</f>
        <v>3959354.5920000002</v>
      </c>
      <c r="CA247" s="164">
        <f t="shared" ref="CA247:CN247" si="327">CA244-CA246</f>
        <v>0</v>
      </c>
      <c r="CB247" s="164">
        <f t="shared" si="327"/>
        <v>0</v>
      </c>
      <c r="CC247" s="164">
        <f t="shared" si="327"/>
        <v>0</v>
      </c>
      <c r="CD247" s="164">
        <f t="shared" si="327"/>
        <v>0</v>
      </c>
      <c r="CE247" s="164">
        <f t="shared" si="327"/>
        <v>0</v>
      </c>
      <c r="CF247" s="164">
        <f t="shared" si="327"/>
        <v>0</v>
      </c>
      <c r="CG247" s="164">
        <f t="shared" si="327"/>
        <v>0</v>
      </c>
      <c r="CH247" s="164">
        <f t="shared" si="327"/>
        <v>0</v>
      </c>
      <c r="CI247" s="164">
        <f t="shared" si="327"/>
        <v>0</v>
      </c>
      <c r="CJ247" s="164">
        <f t="shared" si="327"/>
        <v>0</v>
      </c>
      <c r="CK247" s="164">
        <f t="shared" si="327"/>
        <v>0</v>
      </c>
      <c r="CL247" s="164">
        <f t="shared" si="327"/>
        <v>0</v>
      </c>
      <c r="CM247" s="164">
        <f t="shared" si="327"/>
        <v>0</v>
      </c>
      <c r="CN247" s="164">
        <f t="shared" si="327"/>
        <v>0</v>
      </c>
      <c r="CQ247" s="164">
        <f>CQ244-CQ246</f>
        <v>0</v>
      </c>
      <c r="CR247" s="164">
        <f>CR244-CR246</f>
        <v>0</v>
      </c>
      <c r="CT247" s="164">
        <f t="shared" ref="CT247:CY247" si="328">CT244-CT246</f>
        <v>0</v>
      </c>
      <c r="CU247" s="164">
        <f t="shared" si="328"/>
        <v>0</v>
      </c>
      <c r="CV247" s="164">
        <f t="shared" si="328"/>
        <v>0</v>
      </c>
      <c r="CW247" s="164">
        <f t="shared" si="328"/>
        <v>0</v>
      </c>
      <c r="CX247" s="164">
        <f t="shared" si="328"/>
        <v>0</v>
      </c>
      <c r="CY247" s="164">
        <f t="shared" si="328"/>
        <v>0</v>
      </c>
      <c r="CZ247" s="164"/>
      <c r="DB247" s="164">
        <f t="shared" ref="DB247:DK247" si="329">DB244-DB246</f>
        <v>0</v>
      </c>
      <c r="DC247" s="164">
        <f t="shared" si="329"/>
        <v>0</v>
      </c>
      <c r="DD247" s="164">
        <f t="shared" si="329"/>
        <v>0</v>
      </c>
      <c r="DE247" s="164">
        <f t="shared" si="329"/>
        <v>0</v>
      </c>
      <c r="DF247" s="164">
        <f t="shared" si="329"/>
        <v>0</v>
      </c>
      <c r="DG247" s="184">
        <f t="shared" si="329"/>
        <v>0</v>
      </c>
      <c r="DH247" s="164"/>
      <c r="DI247" s="164">
        <f t="shared" si="329"/>
        <v>0</v>
      </c>
      <c r="DJ247" s="164">
        <f t="shared" si="329"/>
        <v>0</v>
      </c>
      <c r="DK247" s="164">
        <f t="shared" si="329"/>
        <v>0</v>
      </c>
      <c r="DM247" s="222">
        <f>(DM244+DN244)-DM246</f>
        <v>0</v>
      </c>
      <c r="DN247" s="222"/>
      <c r="DO247" s="164">
        <f>DO244-DO246</f>
        <v>0</v>
      </c>
      <c r="DQ247" s="164">
        <f>DQ244-DQ246</f>
        <v>0</v>
      </c>
      <c r="DR247" s="164">
        <f t="shared" ref="DR247:DS247" si="330">DR244-DR246</f>
        <v>0</v>
      </c>
      <c r="DS247" s="164">
        <f t="shared" si="330"/>
        <v>0</v>
      </c>
      <c r="DU247" s="164">
        <f>DU244-DU246</f>
        <v>0</v>
      </c>
      <c r="DV247" s="164">
        <f>DV244-DV246</f>
        <v>0</v>
      </c>
      <c r="DW247" s="164">
        <f>DW244-DW246</f>
        <v>0</v>
      </c>
      <c r="EB247" s="142"/>
    </row>
    <row r="248" spans="1:138" ht="12" customHeight="1" collapsed="1" x14ac:dyDescent="0.25">
      <c r="G248" s="129">
        <f>SUMIF($S$5:$S$244,$S$248,$G$5:$G$244)</f>
        <v>96107.719806482826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130" t="s">
        <v>98</v>
      </c>
      <c r="AG248" s="129">
        <f>SUMIF('20.01'!$I:$I,$S$248,'20.01'!$D:$D)*1.2</f>
        <v>204182.66399999999</v>
      </c>
      <c r="AL248" s="115"/>
      <c r="BZ248" s="129">
        <f>(SUMIF('20.01'!$AP:$AP,$S$248,'20.01'!$D:$D)+SUMIF('25'!$I:$I,$S$248:$S$251,'25'!$D:$D))*1.2</f>
        <v>4881584.9879999999</v>
      </c>
      <c r="CA248" s="115"/>
      <c r="CB248" s="115"/>
      <c r="CC248" s="115"/>
    </row>
    <row r="249" spans="1:138" ht="12" customHeight="1" x14ac:dyDescent="0.25">
      <c r="G249" s="129">
        <f>SUMIF($S$5:$S$244,$S$249,$G$5:$G$244)</f>
        <v>272640.76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130" t="s">
        <v>73</v>
      </c>
      <c r="AG249" s="129">
        <f>SUMIF('20.01'!$I:$I,$S$249,'20.01'!$D:$D)*1.2</f>
        <v>1744440.996</v>
      </c>
      <c r="AL249" s="115"/>
      <c r="BZ249" s="129">
        <f>(SUMIF('20.01'!$AP:$AP,$S$249,'20.01'!$D:$D)+SUMIF('25'!$I:$I,$S$249:$S$251,'25'!$D:$D))*1.2</f>
        <v>23676325.536000002</v>
      </c>
      <c r="CA249" s="115"/>
      <c r="CB249" s="115"/>
      <c r="CC249" s="115"/>
    </row>
    <row r="250" spans="1:138" ht="12" customHeight="1" x14ac:dyDescent="0.25">
      <c r="G250" s="129">
        <f>SUMIF($S$5:$S$244,$S$250,$G$5:$G$244)</f>
        <v>137037.1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130" t="s">
        <v>102</v>
      </c>
      <c r="AG250" s="129">
        <f>SUMIF('20.01'!$I:$I,$S$250,'20.01'!$D:$D)*1.2</f>
        <v>509658.97199999995</v>
      </c>
      <c r="AL250" s="115"/>
      <c r="BZ250" s="129">
        <f>(SUMIF('20.01'!$AP:$AP,$S$250,'20.01'!$D:$D)+SUMIF('25'!$I:$I,$S$250:$S$251,'25'!$D:$D))*1.2</f>
        <v>19101268.631999999</v>
      </c>
      <c r="CA250" s="115"/>
      <c r="CB250" s="115"/>
      <c r="CC250" s="115"/>
    </row>
    <row r="251" spans="1:138" ht="12" customHeight="1" x14ac:dyDescent="0.25">
      <c r="G251" s="129">
        <f>SUMIF($S$5:$S$244,$S$251,$G$5:$G$244)</f>
        <v>1747.7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130" t="s">
        <v>95</v>
      </c>
      <c r="AG251" s="129">
        <f>SUMIF('20.01'!$I:$I,$S$251,'20.01'!$D:$D)*1.2</f>
        <v>9223.0079999999998</v>
      </c>
      <c r="AL251" s="115"/>
      <c r="BZ251" s="129">
        <f>(SUMIF('20.01'!$AP:$AP,$S$251,'20.01'!$D:$D)+SUMIF('25'!$I:$I,$S$251:$S$251,'25'!$D:$D))*1.2</f>
        <v>667795.65599999996</v>
      </c>
      <c r="CA251" s="115"/>
      <c r="CB251" s="115"/>
      <c r="CC251" s="115"/>
    </row>
    <row r="252" spans="1:138" ht="12" customHeight="1" x14ac:dyDescent="0.25">
      <c r="DR252" s="114"/>
    </row>
    <row r="254" spans="1:138" ht="12" customHeight="1" x14ac:dyDescent="0.25">
      <c r="AL254" s="127"/>
      <c r="BZ254" s="127"/>
      <c r="CA254" s="127"/>
    </row>
  </sheetData>
  <autoFilter ref="A4:EH251"/>
  <mergeCells count="170">
    <mergeCell ref="H1:H4"/>
    <mergeCell ref="I1:I4"/>
    <mergeCell ref="J1:J4"/>
    <mergeCell ref="K1:L3"/>
    <mergeCell ref="M1:R1"/>
    <mergeCell ref="S1:S4"/>
    <mergeCell ref="R2:R4"/>
    <mergeCell ref="A1:A4"/>
    <mergeCell ref="B1:B4"/>
    <mergeCell ref="C1:C4"/>
    <mergeCell ref="D1:E1"/>
    <mergeCell ref="F1:F4"/>
    <mergeCell ref="G1:G4"/>
    <mergeCell ref="T1:T4"/>
    <mergeCell ref="U1:AB1"/>
    <mergeCell ref="AC1:AC244"/>
    <mergeCell ref="AD1:AD4"/>
    <mergeCell ref="AE1:BX1"/>
    <mergeCell ref="BY1:BY4"/>
    <mergeCell ref="U2:U4"/>
    <mergeCell ref="V2:V4"/>
    <mergeCell ref="W2:W4"/>
    <mergeCell ref="X2:X4"/>
    <mergeCell ref="Y2:Y4"/>
    <mergeCell ref="Z2:Z4"/>
    <mergeCell ref="AA2:AA4"/>
    <mergeCell ref="AB2:AB4"/>
    <mergeCell ref="AE2:AE4"/>
    <mergeCell ref="AK3:AK4"/>
    <mergeCell ref="AV2:AW2"/>
    <mergeCell ref="AX2:AX4"/>
    <mergeCell ref="AY2:AZ2"/>
    <mergeCell ref="BA2:BA4"/>
    <mergeCell ref="BB2:BD2"/>
    <mergeCell ref="BE2:BE4"/>
    <mergeCell ref="BC3:BC4"/>
    <mergeCell ref="EH1:EH4"/>
    <mergeCell ref="D2:D4"/>
    <mergeCell ref="E2:E4"/>
    <mergeCell ref="M2:M4"/>
    <mergeCell ref="N2:N4"/>
    <mergeCell ref="O2:O4"/>
    <mergeCell ref="P2:P4"/>
    <mergeCell ref="Q2:Q4"/>
    <mergeCell ref="DU1:DW1"/>
    <mergeCell ref="DX1:DX4"/>
    <mergeCell ref="DY1:DY4"/>
    <mergeCell ref="DZ1:DZ4"/>
    <mergeCell ref="EA1:EA244"/>
    <mergeCell ref="EB1:EB4"/>
    <mergeCell ref="DI1:DK1"/>
    <mergeCell ref="DL1:DL4"/>
    <mergeCell ref="DM1:DO1"/>
    <mergeCell ref="DP1:DP4"/>
    <mergeCell ref="DQ1:DS1"/>
    <mergeCell ref="DT1:DT4"/>
    <mergeCell ref="DM2:DM4"/>
    <mergeCell ref="DN2:DN4"/>
    <mergeCell ref="DO2:DO4"/>
    <mergeCell ref="DQ2:DQ4"/>
    <mergeCell ref="EC1:EC4"/>
    <mergeCell ref="EF1:EF4"/>
    <mergeCell ref="BZ1:CN1"/>
    <mergeCell ref="CO1:CO4"/>
    <mergeCell ref="CP1:CY1"/>
    <mergeCell ref="CZ1:CZ4"/>
    <mergeCell ref="DH1:DH4"/>
    <mergeCell ref="BZ2:BZ4"/>
    <mergeCell ref="CA2:CA4"/>
    <mergeCell ref="CB2:CB4"/>
    <mergeCell ref="ED1:ED4"/>
    <mergeCell ref="EE1:EE4"/>
    <mergeCell ref="DV2:DV4"/>
    <mergeCell ref="DW2:DW4"/>
    <mergeCell ref="DJ2:DJ4"/>
    <mergeCell ref="DK2:DK4"/>
    <mergeCell ref="DR2:DR4"/>
    <mergeCell ref="DS2:DS4"/>
    <mergeCell ref="DU2:DU4"/>
    <mergeCell ref="CJ2:CJ4"/>
    <mergeCell ref="CK2:CK4"/>
    <mergeCell ref="CL2:CL4"/>
    <mergeCell ref="BD3:BD4"/>
    <mergeCell ref="AM2:AM4"/>
    <mergeCell ref="AN2:AP2"/>
    <mergeCell ref="AQ2:AQ4"/>
    <mergeCell ref="AR2:AS2"/>
    <mergeCell ref="AT2:AT4"/>
    <mergeCell ref="AU2:AU4"/>
    <mergeCell ref="AN3:AN4"/>
    <mergeCell ref="AO3:AO4"/>
    <mergeCell ref="AP3:AP4"/>
    <mergeCell ref="AR3:AR4"/>
    <mergeCell ref="AZ3:AZ4"/>
    <mergeCell ref="BB3:BB4"/>
    <mergeCell ref="BF2:BF4"/>
    <mergeCell ref="BG2:BL2"/>
    <mergeCell ref="BM2:BM4"/>
    <mergeCell ref="BN2:BO2"/>
    <mergeCell ref="BP2:BP4"/>
    <mergeCell ref="BQ2:BQ4"/>
    <mergeCell ref="BG3:BG4"/>
    <mergeCell ref="BH3:BH4"/>
    <mergeCell ref="BI3:BI4"/>
    <mergeCell ref="BJ3:BJ4"/>
    <mergeCell ref="AF3:AF4"/>
    <mergeCell ref="AG3:AG4"/>
    <mergeCell ref="AH3:AH4"/>
    <mergeCell ref="AI3:AI4"/>
    <mergeCell ref="AJ3:AJ4"/>
    <mergeCell ref="DD2:DD4"/>
    <mergeCell ref="DE2:DE4"/>
    <mergeCell ref="DF2:DF4"/>
    <mergeCell ref="DI2:DI4"/>
    <mergeCell ref="CP2:CP4"/>
    <mergeCell ref="CQ2:CR2"/>
    <mergeCell ref="CS2:CS4"/>
    <mergeCell ref="CT2:CY2"/>
    <mergeCell ref="DA2:DA4"/>
    <mergeCell ref="DB2:DC2"/>
    <mergeCell ref="CQ3:CQ4"/>
    <mergeCell ref="CR3:CR4"/>
    <mergeCell ref="CT3:CT4"/>
    <mergeCell ref="CU3:CU4"/>
    <mergeCell ref="CI2:CI4"/>
    <mergeCell ref="AS3:AS4"/>
    <mergeCell ref="AV3:AV4"/>
    <mergeCell ref="AW3:AW4"/>
    <mergeCell ref="AY3:AY4"/>
    <mergeCell ref="BO3:BO4"/>
    <mergeCell ref="BT3:BT4"/>
    <mergeCell ref="BU3:BU4"/>
    <mergeCell ref="BW2:BW4"/>
    <mergeCell ref="BX2:BX4"/>
    <mergeCell ref="CM2:CM4"/>
    <mergeCell ref="CN2:CN4"/>
    <mergeCell ref="CC2:CC4"/>
    <mergeCell ref="CD2:CD4"/>
    <mergeCell ref="CE2:CE4"/>
    <mergeCell ref="CF2:CF4"/>
    <mergeCell ref="CG2:CG4"/>
    <mergeCell ref="CH2:CH4"/>
    <mergeCell ref="BR2:BR4"/>
    <mergeCell ref="BS2:BS4"/>
    <mergeCell ref="BT2:BU2"/>
    <mergeCell ref="BV2:BV4"/>
    <mergeCell ref="AL3:AL4"/>
    <mergeCell ref="AF2:AL2"/>
    <mergeCell ref="DG2:DG4"/>
    <mergeCell ref="DA1:DG1"/>
    <mergeCell ref="A247:B247"/>
    <mergeCell ref="AH247:AI247"/>
    <mergeCell ref="DM247:DN247"/>
    <mergeCell ref="A244:B244"/>
    <mergeCell ref="A245:B245"/>
    <mergeCell ref="AF245:AG245"/>
    <mergeCell ref="AH245:AI245"/>
    <mergeCell ref="DM245:DN245"/>
    <mergeCell ref="A246:B246"/>
    <mergeCell ref="AH246:AI246"/>
    <mergeCell ref="DM246:DN246"/>
    <mergeCell ref="CV3:CV4"/>
    <mergeCell ref="CW3:CW4"/>
    <mergeCell ref="CX3:CX4"/>
    <mergeCell ref="CY3:CY4"/>
    <mergeCell ref="DB3:DB4"/>
    <mergeCell ref="DC3:DC4"/>
    <mergeCell ref="BK3:BK4"/>
    <mergeCell ref="BL3:BL4"/>
    <mergeCell ref="BN3:BN4"/>
  </mergeCells>
  <pageMargins left="0.25" right="0.25" top="0.75" bottom="0.75" header="0.3" footer="0.3"/>
  <pageSetup paperSize="9"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82"/>
  <sheetViews>
    <sheetView zoomScaleNormal="100" workbookViewId="0">
      <pane ySplit="1" topLeftCell="A2" activePane="bottomLeft" state="frozen"/>
      <selection pane="bottomLeft" sqref="A1:B1"/>
    </sheetView>
  </sheetViews>
  <sheetFormatPr defaultColWidth="10.7109375" defaultRowHeight="12" customHeight="1" x14ac:dyDescent="0.25"/>
  <cols>
    <col min="1" max="1" width="30.7109375" style="1" customWidth="1"/>
    <col min="2" max="3" width="15.7109375" style="1" customWidth="1"/>
    <col min="4" max="6" width="15.7109375" style="24" customWidth="1"/>
    <col min="7" max="21" width="15.7109375" style="1" customWidth="1"/>
    <col min="22" max="16384" width="10.7109375" style="1"/>
  </cols>
  <sheetData>
    <row r="1" spans="1:21" ht="30" customHeight="1" x14ac:dyDescent="0.25">
      <c r="A1" s="273" t="s">
        <v>20</v>
      </c>
      <c r="B1" s="273"/>
      <c r="C1" s="187" t="s">
        <v>836</v>
      </c>
      <c r="D1" s="274" t="s">
        <v>21</v>
      </c>
      <c r="E1" s="274"/>
      <c r="F1" s="188" t="s">
        <v>836</v>
      </c>
      <c r="G1" s="273" t="s">
        <v>22</v>
      </c>
      <c r="H1" s="273"/>
      <c r="I1" s="187" t="s">
        <v>836</v>
      </c>
      <c r="J1" s="274" t="s">
        <v>338</v>
      </c>
      <c r="K1" s="274"/>
      <c r="L1" s="188" t="s">
        <v>836</v>
      </c>
      <c r="M1" s="273" t="s">
        <v>25</v>
      </c>
      <c r="N1" s="273"/>
      <c r="O1" s="187" t="s">
        <v>836</v>
      </c>
      <c r="P1" s="274" t="s">
        <v>26</v>
      </c>
      <c r="Q1" s="274"/>
      <c r="R1" s="188" t="s">
        <v>836</v>
      </c>
      <c r="S1" s="273" t="s">
        <v>27</v>
      </c>
      <c r="T1" s="273"/>
      <c r="U1" s="187" t="s">
        <v>836</v>
      </c>
    </row>
    <row r="2" spans="1:21" ht="20.100000000000001" customHeight="1" x14ac:dyDescent="0.25">
      <c r="A2" s="92" t="s">
        <v>372</v>
      </c>
      <c r="B2" s="92" t="s">
        <v>340</v>
      </c>
      <c r="C2" s="93">
        <f>49550.7+147189.11</f>
        <v>196739.81</v>
      </c>
      <c r="D2" s="94" t="s">
        <v>842</v>
      </c>
      <c r="E2" s="94" t="s">
        <v>143</v>
      </c>
      <c r="F2" s="96">
        <v>17243496.140000001</v>
      </c>
      <c r="G2" s="92" t="s">
        <v>845</v>
      </c>
      <c r="H2" s="92" t="s">
        <v>505</v>
      </c>
      <c r="I2" s="93">
        <v>5974325.9299999997</v>
      </c>
      <c r="J2" s="94" t="s">
        <v>338</v>
      </c>
      <c r="K2" s="95" t="s">
        <v>795</v>
      </c>
      <c r="L2" s="96">
        <v>92262756.879999995</v>
      </c>
      <c r="M2" s="92" t="s">
        <v>824</v>
      </c>
      <c r="N2" s="98" t="s">
        <v>795</v>
      </c>
      <c r="O2" s="93">
        <v>17029999.989999998</v>
      </c>
      <c r="P2" s="94" t="s">
        <v>369</v>
      </c>
      <c r="Q2" s="95" t="s">
        <v>795</v>
      </c>
      <c r="R2" s="96">
        <v>24902982.52</v>
      </c>
      <c r="S2" s="92" t="s">
        <v>758</v>
      </c>
      <c r="T2" s="98" t="s">
        <v>795</v>
      </c>
      <c r="U2" s="99">
        <v>1263284.94</v>
      </c>
    </row>
    <row r="3" spans="1:21" ht="20.100000000000001" customHeight="1" x14ac:dyDescent="0.25">
      <c r="A3" s="93"/>
      <c r="B3" s="92" t="s">
        <v>340</v>
      </c>
      <c r="C3" s="93">
        <v>73492.23</v>
      </c>
      <c r="D3" s="94"/>
      <c r="E3" s="94" t="s">
        <v>310</v>
      </c>
      <c r="F3" s="96">
        <v>1651343.92</v>
      </c>
      <c r="G3" s="92"/>
      <c r="H3" s="92" t="s">
        <v>402</v>
      </c>
      <c r="I3" s="93">
        <v>3968742.22</v>
      </c>
      <c r="J3" s="94"/>
      <c r="K3" s="95"/>
      <c r="L3" s="100">
        <f>SUM(L2:L2)</f>
        <v>92262756.879999995</v>
      </c>
      <c r="M3" s="92"/>
      <c r="N3" s="98"/>
      <c r="O3" s="99">
        <f>SUM(O2)</f>
        <v>17029999.989999998</v>
      </c>
      <c r="P3" s="94" t="s">
        <v>370</v>
      </c>
      <c r="Q3" s="95" t="s">
        <v>426</v>
      </c>
      <c r="R3" s="96">
        <v>169356.69</v>
      </c>
      <c r="S3" s="92"/>
      <c r="T3" s="98"/>
      <c r="U3" s="99">
        <f>U2*1.2</f>
        <v>1515941.9279999998</v>
      </c>
    </row>
    <row r="4" spans="1:21" ht="20.100000000000001" customHeight="1" x14ac:dyDescent="0.25">
      <c r="A4" s="93"/>
      <c r="B4" s="92" t="s">
        <v>833</v>
      </c>
      <c r="C4" s="93">
        <v>779234.48</v>
      </c>
      <c r="D4" s="94"/>
      <c r="E4" s="94" t="s">
        <v>98</v>
      </c>
      <c r="F4" s="96">
        <v>2529007.7999999998</v>
      </c>
      <c r="G4" s="92"/>
      <c r="H4" s="92" t="s">
        <v>504</v>
      </c>
      <c r="I4" s="93">
        <v>1265619.57</v>
      </c>
      <c r="J4" s="94"/>
      <c r="K4" s="95"/>
      <c r="L4" s="100">
        <f>L3*1.2</f>
        <v>110715308.256</v>
      </c>
      <c r="M4" s="92"/>
      <c r="N4" s="98"/>
      <c r="O4" s="99">
        <f>O3*1.2</f>
        <v>20435999.987999998</v>
      </c>
      <c r="P4" s="94"/>
      <c r="Q4" s="95"/>
      <c r="R4" s="100">
        <f>SUM(R2:R3)</f>
        <v>25072339.210000001</v>
      </c>
      <c r="S4" s="92"/>
      <c r="T4" s="98"/>
      <c r="U4" s="93"/>
    </row>
    <row r="5" spans="1:21" ht="20.100000000000001" customHeight="1" x14ac:dyDescent="0.25">
      <c r="A5" s="93"/>
      <c r="B5" s="92"/>
      <c r="C5" s="99">
        <f>SUM(C2:C4)</f>
        <v>1049466.52</v>
      </c>
      <c r="D5" s="94"/>
      <c r="E5" s="94" t="s">
        <v>73</v>
      </c>
      <c r="F5" s="96">
        <v>13276664.17</v>
      </c>
      <c r="G5" s="92"/>
      <c r="H5" s="92" t="s">
        <v>503</v>
      </c>
      <c r="I5" s="93">
        <v>2878972.84</v>
      </c>
      <c r="J5" s="94"/>
      <c r="K5" s="95"/>
      <c r="L5" s="96"/>
      <c r="M5" s="92"/>
      <c r="N5" s="98"/>
      <c r="O5" s="93"/>
      <c r="P5" s="94"/>
      <c r="Q5" s="95"/>
      <c r="R5" s="100">
        <f>R4*1.2</f>
        <v>30086807.052000001</v>
      </c>
      <c r="S5" s="92"/>
      <c r="T5" s="98"/>
      <c r="U5" s="93"/>
    </row>
    <row r="6" spans="1:21" ht="20.100000000000001" customHeight="1" x14ac:dyDescent="0.25">
      <c r="A6" s="92" t="s">
        <v>371</v>
      </c>
      <c r="B6" s="92" t="s">
        <v>340</v>
      </c>
      <c r="C6" s="99">
        <v>657414.52</v>
      </c>
      <c r="D6" s="94"/>
      <c r="E6" s="94" t="s">
        <v>102</v>
      </c>
      <c r="F6" s="96">
        <v>9859984.5800000001</v>
      </c>
      <c r="G6" s="92"/>
      <c r="H6" s="92" t="s">
        <v>846</v>
      </c>
      <c r="I6" s="93">
        <v>2336001.54</v>
      </c>
      <c r="J6" s="94"/>
      <c r="K6" s="95"/>
      <c r="L6" s="96"/>
      <c r="M6" s="92"/>
      <c r="N6" s="98"/>
      <c r="O6" s="93"/>
      <c r="P6" s="94"/>
      <c r="Q6" s="95"/>
      <c r="R6" s="96"/>
      <c r="S6" s="92"/>
      <c r="T6" s="98"/>
      <c r="U6" s="93"/>
    </row>
    <row r="7" spans="1:21" ht="20.100000000000001" customHeight="1" x14ac:dyDescent="0.25">
      <c r="A7" s="92" t="s">
        <v>373</v>
      </c>
      <c r="B7" s="92" t="s">
        <v>143</v>
      </c>
      <c r="C7" s="93">
        <v>208071.65</v>
      </c>
      <c r="D7" s="94"/>
      <c r="E7" s="96"/>
      <c r="F7" s="100">
        <f>SUM(F2:F6)</f>
        <v>44560496.609999999</v>
      </c>
      <c r="G7" s="92"/>
      <c r="H7" s="92" t="s">
        <v>396</v>
      </c>
      <c r="I7" s="93">
        <v>7986911.8899999997</v>
      </c>
      <c r="J7" s="94"/>
      <c r="K7" s="95"/>
      <c r="L7" s="96"/>
      <c r="M7" s="92"/>
      <c r="N7" s="98"/>
      <c r="O7" s="93"/>
      <c r="P7" s="94"/>
      <c r="Q7" s="95"/>
      <c r="R7" s="96"/>
      <c r="S7" s="92"/>
      <c r="T7" s="98"/>
      <c r="U7" s="93"/>
    </row>
    <row r="8" spans="1:21" ht="20.100000000000001" customHeight="1" x14ac:dyDescent="0.25">
      <c r="A8" s="93"/>
      <c r="B8" s="92" t="s">
        <v>143</v>
      </c>
      <c r="C8" s="93">
        <v>1095981.7</v>
      </c>
      <c r="D8" s="94" t="s">
        <v>841</v>
      </c>
      <c r="E8" s="94" t="s">
        <v>143</v>
      </c>
      <c r="F8" s="96">
        <v>8714624.8499999996</v>
      </c>
      <c r="G8" s="97"/>
      <c r="H8" s="97"/>
      <c r="I8" s="99">
        <f>SUM(I2:I7)</f>
        <v>24410573.990000002</v>
      </c>
      <c r="J8" s="94"/>
      <c r="K8" s="95"/>
      <c r="L8" s="96"/>
      <c r="M8" s="92"/>
      <c r="N8" s="98"/>
      <c r="O8" s="93"/>
      <c r="P8" s="94"/>
      <c r="Q8" s="95"/>
      <c r="R8" s="96"/>
      <c r="S8" s="92"/>
      <c r="T8" s="98"/>
      <c r="U8" s="93"/>
    </row>
    <row r="9" spans="1:21" ht="20.100000000000001" customHeight="1" x14ac:dyDescent="0.25">
      <c r="A9" s="93"/>
      <c r="B9" s="92" t="s">
        <v>143</v>
      </c>
      <c r="C9" s="93">
        <v>8433597.5500000007</v>
      </c>
      <c r="D9" s="96"/>
      <c r="E9" s="94" t="s">
        <v>310</v>
      </c>
      <c r="F9" s="96">
        <v>1648118.24</v>
      </c>
      <c r="G9" s="92" t="s">
        <v>847</v>
      </c>
      <c r="H9" s="92" t="s">
        <v>361</v>
      </c>
      <c r="I9" s="93">
        <v>9563714.1699999999</v>
      </c>
      <c r="J9" s="94"/>
      <c r="K9" s="95"/>
      <c r="L9" s="96"/>
      <c r="M9" s="92"/>
      <c r="N9" s="98"/>
      <c r="O9" s="93"/>
      <c r="P9" s="94"/>
      <c r="Q9" s="95"/>
      <c r="R9" s="96"/>
      <c r="S9" s="92"/>
      <c r="T9" s="98"/>
      <c r="U9" s="93"/>
    </row>
    <row r="10" spans="1:21" ht="20.100000000000001" customHeight="1" x14ac:dyDescent="0.25">
      <c r="A10" s="93"/>
      <c r="B10" s="92" t="s">
        <v>310</v>
      </c>
      <c r="C10" s="93">
        <v>560933.04</v>
      </c>
      <c r="D10" s="96"/>
      <c r="E10" s="94" t="s">
        <v>98</v>
      </c>
      <c r="F10" s="96">
        <v>1538979.69</v>
      </c>
      <c r="G10" s="92"/>
      <c r="H10" s="92" t="s">
        <v>848</v>
      </c>
      <c r="I10" s="93">
        <v>1842283.47</v>
      </c>
      <c r="J10" s="94"/>
      <c r="K10" s="95"/>
      <c r="L10" s="96"/>
      <c r="M10" s="92"/>
      <c r="N10" s="98"/>
      <c r="O10" s="93"/>
      <c r="P10" s="94"/>
      <c r="Q10" s="95"/>
      <c r="R10" s="96"/>
      <c r="S10" s="92"/>
      <c r="T10" s="98"/>
      <c r="U10" s="93"/>
    </row>
    <row r="11" spans="1:21" ht="20.100000000000001" customHeight="1" x14ac:dyDescent="0.25">
      <c r="A11" s="93"/>
      <c r="B11" s="92" t="s">
        <v>98</v>
      </c>
      <c r="C11" s="93">
        <v>759852.17</v>
      </c>
      <c r="D11" s="96"/>
      <c r="E11" s="94" t="s">
        <v>73</v>
      </c>
      <c r="F11" s="96">
        <v>6453607.1100000003</v>
      </c>
      <c r="G11" s="92"/>
      <c r="H11" s="92" t="s">
        <v>467</v>
      </c>
      <c r="I11" s="93">
        <v>2027699.97</v>
      </c>
      <c r="J11" s="94"/>
      <c r="K11" s="95"/>
      <c r="L11" s="96"/>
      <c r="M11" s="92"/>
      <c r="N11" s="98"/>
      <c r="O11" s="93"/>
      <c r="P11" s="94"/>
      <c r="Q11" s="95"/>
      <c r="R11" s="96"/>
      <c r="S11" s="92"/>
      <c r="T11" s="98"/>
      <c r="U11" s="93"/>
    </row>
    <row r="12" spans="1:21" ht="20.100000000000001" customHeight="1" x14ac:dyDescent="0.25">
      <c r="A12" s="93"/>
      <c r="B12" s="92" t="s">
        <v>73</v>
      </c>
      <c r="C12" s="93">
        <v>5336060.66</v>
      </c>
      <c r="D12" s="96"/>
      <c r="E12" s="94" t="s">
        <v>102</v>
      </c>
      <c r="F12" s="96">
        <v>6057739.2800000003</v>
      </c>
      <c r="G12" s="92"/>
      <c r="H12" s="92" t="s">
        <v>455</v>
      </c>
      <c r="I12" s="93">
        <v>5465930.6799999997</v>
      </c>
      <c r="J12" s="94"/>
      <c r="K12" s="95"/>
      <c r="L12" s="96"/>
      <c r="M12" s="92"/>
      <c r="N12" s="98"/>
      <c r="O12" s="93"/>
      <c r="P12" s="94"/>
      <c r="Q12" s="95"/>
      <c r="R12" s="96"/>
      <c r="S12" s="92"/>
      <c r="T12" s="98"/>
      <c r="U12" s="93"/>
    </row>
    <row r="13" spans="1:21" ht="20.100000000000001" customHeight="1" x14ac:dyDescent="0.25">
      <c r="A13" s="93"/>
      <c r="B13" s="92" t="s">
        <v>102</v>
      </c>
      <c r="C13" s="93">
        <v>424346.76</v>
      </c>
      <c r="D13" s="96"/>
      <c r="E13" s="94" t="s">
        <v>95</v>
      </c>
      <c r="F13" s="96">
        <v>556496.38</v>
      </c>
      <c r="G13" s="92"/>
      <c r="H13" s="92" t="s">
        <v>454</v>
      </c>
      <c r="I13" s="93">
        <v>14275452.35</v>
      </c>
      <c r="J13" s="94"/>
      <c r="K13" s="95"/>
      <c r="L13" s="96"/>
      <c r="M13" s="92"/>
      <c r="N13" s="98"/>
      <c r="O13" s="93"/>
      <c r="P13" s="94"/>
      <c r="Q13" s="95"/>
      <c r="R13" s="96"/>
      <c r="S13" s="92"/>
      <c r="T13" s="98"/>
      <c r="U13" s="93"/>
    </row>
    <row r="14" spans="1:21" ht="20.100000000000001" customHeight="1" x14ac:dyDescent="0.25">
      <c r="A14" s="93"/>
      <c r="B14" s="92" t="s">
        <v>102</v>
      </c>
      <c r="C14" s="93">
        <v>3008920.33</v>
      </c>
      <c r="D14" s="96"/>
      <c r="E14" s="96"/>
      <c r="F14" s="100">
        <f>SUM(F8:F13)</f>
        <v>24969565.550000001</v>
      </c>
      <c r="G14" s="92"/>
      <c r="H14" s="92" t="s">
        <v>453</v>
      </c>
      <c r="I14" s="93">
        <v>2095569.39</v>
      </c>
      <c r="J14" s="94"/>
      <c r="K14" s="95"/>
      <c r="L14" s="96"/>
      <c r="M14" s="92"/>
      <c r="N14" s="92"/>
      <c r="O14" s="93"/>
      <c r="P14" s="94"/>
      <c r="Q14" s="95"/>
      <c r="R14" s="96"/>
      <c r="S14" s="92"/>
      <c r="T14" s="98"/>
      <c r="U14" s="93"/>
    </row>
    <row r="15" spans="1:21" ht="20.100000000000001" customHeight="1" x14ac:dyDescent="0.25">
      <c r="A15" s="93"/>
      <c r="B15" s="92" t="s">
        <v>95</v>
      </c>
      <c r="C15" s="93">
        <v>25888.07</v>
      </c>
      <c r="D15" s="94" t="s">
        <v>822</v>
      </c>
      <c r="E15" s="95" t="s">
        <v>795</v>
      </c>
      <c r="F15" s="96">
        <v>2379658.02</v>
      </c>
      <c r="G15" s="92"/>
      <c r="H15" s="92" t="s">
        <v>451</v>
      </c>
      <c r="I15" s="93">
        <v>2530572.08</v>
      </c>
      <c r="J15" s="94"/>
      <c r="K15" s="95"/>
      <c r="L15" s="96"/>
      <c r="M15" s="92"/>
      <c r="N15" s="92"/>
      <c r="O15" s="93"/>
      <c r="P15" s="94"/>
      <c r="Q15" s="95"/>
      <c r="R15" s="96"/>
      <c r="S15" s="92"/>
      <c r="T15" s="98"/>
      <c r="U15" s="93"/>
    </row>
    <row r="16" spans="1:21" ht="20.100000000000001" customHeight="1" x14ac:dyDescent="0.25">
      <c r="A16" s="93"/>
      <c r="B16" s="93"/>
      <c r="C16" s="99">
        <f>SUM(C7:C15)</f>
        <v>19853651.93</v>
      </c>
      <c r="D16" s="96"/>
      <c r="E16" s="94">
        <v>25</v>
      </c>
      <c r="F16" s="96">
        <v>3021579.09</v>
      </c>
      <c r="G16" s="92"/>
      <c r="H16" s="92" t="s">
        <v>849</v>
      </c>
      <c r="I16" s="93">
        <v>950635.63</v>
      </c>
      <c r="J16" s="94"/>
      <c r="K16" s="95"/>
      <c r="L16" s="96"/>
      <c r="M16" s="101"/>
      <c r="N16" s="101"/>
      <c r="O16" s="102"/>
      <c r="P16" s="94"/>
      <c r="Q16" s="95"/>
      <c r="R16" s="96"/>
      <c r="S16" s="92"/>
      <c r="T16" s="98"/>
      <c r="U16" s="93"/>
    </row>
    <row r="17" spans="1:21" ht="20.100000000000001" customHeight="1" x14ac:dyDescent="0.25">
      <c r="A17" s="93" t="s">
        <v>832</v>
      </c>
      <c r="B17" s="93" t="s">
        <v>795</v>
      </c>
      <c r="C17" s="99">
        <v>11066260.720000001</v>
      </c>
      <c r="D17" s="96"/>
      <c r="E17" s="96"/>
      <c r="F17" s="100">
        <f>SUM(F15:F16)</f>
        <v>5401237.1099999994</v>
      </c>
      <c r="G17" s="92"/>
      <c r="H17" s="92" t="s">
        <v>449</v>
      </c>
      <c r="I17" s="93">
        <v>1854566.73</v>
      </c>
      <c r="J17" s="94"/>
      <c r="K17" s="95"/>
      <c r="L17" s="96"/>
      <c r="M17" s="101"/>
      <c r="N17" s="101"/>
      <c r="O17" s="102"/>
      <c r="P17" s="94"/>
      <c r="Q17" s="95"/>
      <c r="R17" s="96"/>
      <c r="S17" s="92"/>
      <c r="T17" s="98"/>
      <c r="U17" s="93"/>
    </row>
    <row r="18" spans="1:21" ht="20.100000000000001" customHeight="1" x14ac:dyDescent="0.25">
      <c r="A18" s="92" t="s">
        <v>786</v>
      </c>
      <c r="B18" s="92" t="s">
        <v>795</v>
      </c>
      <c r="C18" s="93">
        <v>1637493.16</v>
      </c>
      <c r="D18" s="94" t="s">
        <v>838</v>
      </c>
      <c r="E18" s="94" t="s">
        <v>471</v>
      </c>
      <c r="F18" s="96">
        <v>136726.6</v>
      </c>
      <c r="G18" s="92"/>
      <c r="H18" s="92" t="s">
        <v>448</v>
      </c>
      <c r="I18" s="93">
        <v>3969267.65</v>
      </c>
      <c r="J18" s="94"/>
      <c r="K18" s="95"/>
      <c r="L18" s="96"/>
      <c r="M18" s="101"/>
      <c r="N18" s="101"/>
      <c r="O18" s="102"/>
      <c r="P18" s="94"/>
      <c r="Q18" s="95"/>
      <c r="R18" s="96"/>
      <c r="S18" s="92"/>
      <c r="T18" s="98"/>
      <c r="U18" s="93"/>
    </row>
    <row r="19" spans="1:21" ht="20.100000000000001" customHeight="1" x14ac:dyDescent="0.25">
      <c r="A19" s="92" t="s">
        <v>375</v>
      </c>
      <c r="B19" s="92" t="s">
        <v>795</v>
      </c>
      <c r="C19" s="93">
        <v>25670.959999999999</v>
      </c>
      <c r="D19" s="94"/>
      <c r="E19" s="94" t="s">
        <v>457</v>
      </c>
      <c r="F19" s="96">
        <v>14184.84</v>
      </c>
      <c r="G19" s="92"/>
      <c r="H19" s="92" t="s">
        <v>439</v>
      </c>
      <c r="I19" s="93">
        <v>6022393.0899999999</v>
      </c>
      <c r="J19" s="94"/>
      <c r="K19" s="95"/>
      <c r="L19" s="96"/>
      <c r="M19" s="101"/>
      <c r="N19" s="101"/>
      <c r="O19" s="102"/>
      <c r="P19" s="94"/>
      <c r="Q19" s="95"/>
      <c r="R19" s="96"/>
      <c r="S19" s="92"/>
      <c r="T19" s="98"/>
      <c r="U19" s="93"/>
    </row>
    <row r="20" spans="1:21" ht="20.100000000000001" customHeight="1" x14ac:dyDescent="0.25">
      <c r="A20" s="92" t="s">
        <v>376</v>
      </c>
      <c r="B20" s="92" t="s">
        <v>795</v>
      </c>
      <c r="C20" s="93">
        <v>7954.37</v>
      </c>
      <c r="D20" s="94"/>
      <c r="E20" s="94"/>
      <c r="F20" s="100">
        <f>SUM(F18:F19)</f>
        <v>150911.44</v>
      </c>
      <c r="G20" s="92"/>
      <c r="H20" s="92" t="s">
        <v>396</v>
      </c>
      <c r="I20" s="93">
        <v>4114469.76</v>
      </c>
      <c r="J20" s="94"/>
      <c r="K20" s="95"/>
      <c r="L20" s="96"/>
      <c r="M20" s="101"/>
      <c r="N20" s="101"/>
      <c r="O20" s="102"/>
      <c r="P20" s="94"/>
      <c r="Q20" s="95"/>
      <c r="R20" s="96"/>
      <c r="S20" s="92"/>
      <c r="T20" s="98"/>
      <c r="U20" s="93"/>
    </row>
    <row r="21" spans="1:21" ht="20.100000000000001" customHeight="1" x14ac:dyDescent="0.25">
      <c r="A21" s="93"/>
      <c r="B21" s="93"/>
      <c r="C21" s="99">
        <f>SUM(C18:C20)</f>
        <v>1671118.49</v>
      </c>
      <c r="D21" s="94" t="s">
        <v>840</v>
      </c>
      <c r="E21" s="94" t="s">
        <v>457</v>
      </c>
      <c r="F21" s="96">
        <v>113125.14</v>
      </c>
      <c r="G21" s="92"/>
      <c r="H21" s="92"/>
      <c r="I21" s="99">
        <f>SUM(I9:I20)</f>
        <v>54712554.969999991</v>
      </c>
      <c r="J21" s="94"/>
      <c r="K21" s="95"/>
      <c r="L21" s="96"/>
      <c r="M21" s="101"/>
      <c r="N21" s="101"/>
      <c r="O21" s="102"/>
      <c r="P21" s="94"/>
      <c r="Q21" s="95"/>
      <c r="R21" s="96"/>
      <c r="S21" s="92"/>
      <c r="T21" s="98"/>
      <c r="U21" s="93"/>
    </row>
    <row r="22" spans="1:21" ht="20.100000000000001" customHeight="1" x14ac:dyDescent="0.25">
      <c r="A22" s="92" t="s">
        <v>342</v>
      </c>
      <c r="B22" s="92" t="s">
        <v>795</v>
      </c>
      <c r="C22" s="93">
        <v>244631.4</v>
      </c>
      <c r="D22" s="96"/>
      <c r="E22" s="94" t="s">
        <v>851</v>
      </c>
      <c r="F22" s="96">
        <v>95010</v>
      </c>
      <c r="G22" s="92" t="s">
        <v>401</v>
      </c>
      <c r="H22" s="98" t="s">
        <v>795</v>
      </c>
      <c r="I22" s="93">
        <v>621600</v>
      </c>
      <c r="J22" s="94"/>
      <c r="K22" s="95"/>
      <c r="L22" s="96"/>
      <c r="M22" s="101"/>
      <c r="N22" s="101"/>
      <c r="O22" s="102"/>
      <c r="P22" s="94"/>
      <c r="Q22" s="95"/>
      <c r="R22" s="96"/>
      <c r="S22" s="92"/>
      <c r="T22" s="98"/>
      <c r="U22" s="93"/>
    </row>
    <row r="23" spans="1:21" ht="20.100000000000001" customHeight="1" x14ac:dyDescent="0.25">
      <c r="A23" s="92" t="s">
        <v>875</v>
      </c>
      <c r="B23" s="92" t="s">
        <v>795</v>
      </c>
      <c r="C23" s="93">
        <v>9948.15</v>
      </c>
      <c r="D23" s="96"/>
      <c r="E23" s="96"/>
      <c r="F23" s="100">
        <f>SUM(F21:F22)</f>
        <v>208135.14</v>
      </c>
      <c r="G23" s="92"/>
      <c r="H23" s="98" t="s">
        <v>795</v>
      </c>
      <c r="I23" s="93">
        <v>150000</v>
      </c>
      <c r="J23" s="94"/>
      <c r="K23" s="95"/>
      <c r="L23" s="96"/>
      <c r="M23" s="101"/>
      <c r="N23" s="101"/>
      <c r="O23" s="102"/>
      <c r="P23" s="94"/>
      <c r="Q23" s="95"/>
      <c r="R23" s="96"/>
      <c r="S23" s="92"/>
      <c r="T23" s="98"/>
      <c r="U23" s="93"/>
    </row>
    <row r="24" spans="1:21" ht="20.100000000000001" customHeight="1" x14ac:dyDescent="0.25">
      <c r="A24" s="92" t="s">
        <v>875</v>
      </c>
      <c r="B24" s="92" t="s">
        <v>795</v>
      </c>
      <c r="C24" s="93">
        <v>119143.54</v>
      </c>
      <c r="D24" s="94" t="s">
        <v>869</v>
      </c>
      <c r="E24" s="95" t="s">
        <v>795</v>
      </c>
      <c r="F24" s="96">
        <v>2864.17</v>
      </c>
      <c r="G24" s="92"/>
      <c r="H24" s="98" t="s">
        <v>818</v>
      </c>
      <c r="I24" s="97">
        <v>895580.84</v>
      </c>
      <c r="J24" s="94"/>
      <c r="K24" s="95"/>
      <c r="L24" s="96"/>
      <c r="M24" s="101"/>
      <c r="N24" s="101"/>
      <c r="O24" s="102"/>
      <c r="P24" s="94"/>
      <c r="Q24" s="95"/>
      <c r="R24" s="96"/>
      <c r="S24" s="92"/>
      <c r="T24" s="98"/>
      <c r="U24" s="93"/>
    </row>
    <row r="25" spans="1:21" ht="20.100000000000001" customHeight="1" x14ac:dyDescent="0.25">
      <c r="A25" s="93"/>
      <c r="B25" s="93"/>
      <c r="C25" s="99">
        <f>SUM(C22:C24)</f>
        <v>373723.08999999997</v>
      </c>
      <c r="D25" s="94" t="s">
        <v>869</v>
      </c>
      <c r="E25" s="95" t="s">
        <v>795</v>
      </c>
      <c r="F25" s="96">
        <v>4495</v>
      </c>
      <c r="G25" s="92"/>
      <c r="H25" s="98"/>
      <c r="I25" s="99">
        <f>SUM(I22:I24)</f>
        <v>1667180.8399999999</v>
      </c>
      <c r="J25" s="94"/>
      <c r="K25" s="95"/>
      <c r="L25" s="96"/>
      <c r="M25" s="101"/>
      <c r="N25" s="101"/>
      <c r="O25" s="102"/>
      <c r="P25" s="94"/>
      <c r="Q25" s="95"/>
      <c r="R25" s="96"/>
      <c r="S25" s="92"/>
      <c r="T25" s="98"/>
      <c r="U25" s="93"/>
    </row>
    <row r="26" spans="1:21" ht="20.100000000000001" customHeight="1" x14ac:dyDescent="0.25">
      <c r="A26" s="92" t="s">
        <v>343</v>
      </c>
      <c r="B26" s="92" t="s">
        <v>795</v>
      </c>
      <c r="C26" s="99">
        <v>50143.12</v>
      </c>
      <c r="D26" s="94"/>
      <c r="E26" s="95"/>
      <c r="F26" s="100">
        <f>SUM(F24:F25)</f>
        <v>7359.17</v>
      </c>
      <c r="G26" s="92" t="s">
        <v>837</v>
      </c>
      <c r="H26" s="92" t="s">
        <v>787</v>
      </c>
      <c r="I26" s="93">
        <v>287699.8</v>
      </c>
      <c r="J26" s="94"/>
      <c r="K26" s="95"/>
      <c r="L26" s="96"/>
      <c r="M26" s="101"/>
      <c r="N26" s="101"/>
      <c r="O26" s="102"/>
      <c r="P26" s="94"/>
      <c r="Q26" s="95"/>
      <c r="R26" s="96"/>
      <c r="S26" s="92"/>
      <c r="T26" s="98"/>
      <c r="U26" s="93"/>
    </row>
    <row r="27" spans="1:21" ht="20.100000000000001" customHeight="1" x14ac:dyDescent="0.25">
      <c r="A27" s="92" t="s">
        <v>344</v>
      </c>
      <c r="B27" s="92" t="s">
        <v>795</v>
      </c>
      <c r="C27" s="93">
        <v>187643.79</v>
      </c>
      <c r="D27" s="94" t="s">
        <v>358</v>
      </c>
      <c r="E27" s="95" t="s">
        <v>795</v>
      </c>
      <c r="F27" s="100">
        <v>5636666.6399999997</v>
      </c>
      <c r="G27" s="92"/>
      <c r="H27" s="92" t="s">
        <v>362</v>
      </c>
      <c r="I27" s="93">
        <v>483635.51</v>
      </c>
      <c r="J27" s="94"/>
      <c r="K27" s="95"/>
      <c r="L27" s="96"/>
      <c r="M27" s="101"/>
      <c r="N27" s="101"/>
      <c r="O27" s="102"/>
      <c r="P27" s="94"/>
      <c r="Q27" s="95"/>
      <c r="R27" s="96"/>
      <c r="S27" s="92"/>
      <c r="T27" s="98"/>
      <c r="U27" s="93"/>
    </row>
    <row r="28" spans="1:21" ht="20.100000000000001" customHeight="1" x14ac:dyDescent="0.25">
      <c r="A28" s="92" t="s">
        <v>771</v>
      </c>
      <c r="B28" s="92" t="s">
        <v>795</v>
      </c>
      <c r="C28" s="93">
        <v>6440.57</v>
      </c>
      <c r="D28" s="94" t="s">
        <v>357</v>
      </c>
      <c r="E28" s="95" t="s">
        <v>795</v>
      </c>
      <c r="F28" s="100">
        <v>87198.52</v>
      </c>
      <c r="G28" s="92"/>
      <c r="H28" s="92"/>
      <c r="I28" s="99">
        <f>SUM(I26:I27)</f>
        <v>771335.31</v>
      </c>
      <c r="J28" s="94"/>
      <c r="K28" s="95"/>
      <c r="L28" s="96"/>
      <c r="M28" s="101"/>
      <c r="N28" s="101"/>
      <c r="O28" s="102"/>
      <c r="P28" s="94"/>
      <c r="Q28" s="95"/>
      <c r="R28" s="96"/>
      <c r="S28" s="92"/>
      <c r="T28" s="98"/>
      <c r="U28" s="93"/>
    </row>
    <row r="29" spans="1:21" ht="20.100000000000001" customHeight="1" x14ac:dyDescent="0.25">
      <c r="A29" s="93"/>
      <c r="B29" s="93"/>
      <c r="C29" s="99">
        <f>SUM(C27:C28)</f>
        <v>194084.36000000002</v>
      </c>
      <c r="D29" s="94" t="s">
        <v>355</v>
      </c>
      <c r="E29" s="95" t="s">
        <v>795</v>
      </c>
      <c r="F29" s="100">
        <v>8036175.2300000004</v>
      </c>
      <c r="G29" s="92" t="s">
        <v>843</v>
      </c>
      <c r="H29" s="92" t="s">
        <v>844</v>
      </c>
      <c r="I29" s="99">
        <v>8088.3</v>
      </c>
      <c r="J29" s="94"/>
      <c r="K29" s="95"/>
      <c r="L29" s="96"/>
      <c r="M29" s="101"/>
      <c r="N29" s="101"/>
      <c r="O29" s="102"/>
      <c r="P29" s="94"/>
      <c r="Q29" s="95"/>
      <c r="R29" s="96"/>
      <c r="S29" s="92"/>
      <c r="T29" s="98"/>
      <c r="U29" s="93"/>
    </row>
    <row r="30" spans="1:21" ht="20.100000000000001" customHeight="1" x14ac:dyDescent="0.25">
      <c r="A30" s="92" t="s">
        <v>345</v>
      </c>
      <c r="B30" s="92" t="s">
        <v>795</v>
      </c>
      <c r="C30" s="93">
        <v>4932799.71</v>
      </c>
      <c r="D30" s="94" t="s">
        <v>356</v>
      </c>
      <c r="E30" s="95" t="s">
        <v>795</v>
      </c>
      <c r="F30" s="96">
        <v>302030</v>
      </c>
      <c r="G30" s="92" t="s">
        <v>850</v>
      </c>
      <c r="H30" s="92" t="s">
        <v>340</v>
      </c>
      <c r="I30" s="93">
        <v>33687.4</v>
      </c>
      <c r="J30" s="94"/>
      <c r="K30" s="95"/>
      <c r="L30" s="96"/>
      <c r="M30" s="101"/>
      <c r="N30" s="101"/>
      <c r="O30" s="102"/>
      <c r="P30" s="94"/>
      <c r="Q30" s="95"/>
      <c r="R30" s="96"/>
      <c r="S30" s="92"/>
      <c r="T30" s="98"/>
      <c r="U30" s="93"/>
    </row>
    <row r="31" spans="1:21" ht="20.100000000000001" customHeight="1" x14ac:dyDescent="0.25">
      <c r="A31" s="92" t="s">
        <v>770</v>
      </c>
      <c r="B31" s="92" t="s">
        <v>795</v>
      </c>
      <c r="C31" s="93">
        <v>606314.73</v>
      </c>
      <c r="D31" s="94" t="s">
        <v>386</v>
      </c>
      <c r="E31" s="95" t="s">
        <v>795</v>
      </c>
      <c r="F31" s="96">
        <v>39000</v>
      </c>
      <c r="G31" s="92"/>
      <c r="H31" s="103" t="s">
        <v>460</v>
      </c>
      <c r="I31" s="93">
        <v>122954.58</v>
      </c>
      <c r="J31" s="94"/>
      <c r="K31" s="95"/>
      <c r="L31" s="96"/>
      <c r="M31" s="101"/>
      <c r="N31" s="101"/>
      <c r="O31" s="102"/>
      <c r="P31" s="94"/>
      <c r="Q31" s="95"/>
      <c r="R31" s="96"/>
      <c r="S31" s="92"/>
      <c r="T31" s="98"/>
      <c r="U31" s="93"/>
    </row>
    <row r="32" spans="1:21" ht="20.100000000000001" customHeight="1" x14ac:dyDescent="0.25">
      <c r="A32" s="92" t="s">
        <v>377</v>
      </c>
      <c r="B32" s="92" t="s">
        <v>795</v>
      </c>
      <c r="C32" s="93">
        <v>1774.02</v>
      </c>
      <c r="D32" s="94"/>
      <c r="E32" s="95"/>
      <c r="F32" s="100">
        <f>SUM(F30:F31)</f>
        <v>341030</v>
      </c>
      <c r="G32" s="92"/>
      <c r="H32" s="92" t="s">
        <v>460</v>
      </c>
      <c r="I32" s="93">
        <v>4022361.28</v>
      </c>
      <c r="J32" s="94"/>
      <c r="K32" s="95"/>
      <c r="L32" s="96"/>
      <c r="M32" s="101"/>
      <c r="N32" s="101"/>
      <c r="O32" s="102"/>
      <c r="P32" s="94"/>
      <c r="Q32" s="95"/>
      <c r="R32" s="96"/>
      <c r="S32" s="92"/>
      <c r="T32" s="98"/>
      <c r="U32" s="93"/>
    </row>
    <row r="33" spans="1:21" ht="20.100000000000001" customHeight="1" x14ac:dyDescent="0.25">
      <c r="A33" s="92" t="s">
        <v>767</v>
      </c>
      <c r="B33" s="92" t="s">
        <v>795</v>
      </c>
      <c r="C33" s="93">
        <v>8370.01</v>
      </c>
      <c r="D33" s="94" t="s">
        <v>826</v>
      </c>
      <c r="E33" s="95" t="s">
        <v>795</v>
      </c>
      <c r="F33" s="100">
        <v>97000</v>
      </c>
      <c r="G33" s="92"/>
      <c r="H33" s="92" t="s">
        <v>470</v>
      </c>
      <c r="I33" s="93">
        <v>74800</v>
      </c>
      <c r="J33" s="94"/>
      <c r="K33" s="95"/>
      <c r="L33" s="96"/>
      <c r="M33" s="101"/>
      <c r="N33" s="101"/>
      <c r="O33" s="102"/>
      <c r="P33" s="94"/>
      <c r="Q33" s="95"/>
      <c r="R33" s="96"/>
      <c r="S33" s="92"/>
      <c r="T33" s="98"/>
      <c r="U33" s="93"/>
    </row>
    <row r="34" spans="1:21" ht="20.100000000000001" customHeight="1" x14ac:dyDescent="0.25">
      <c r="A34" s="92" t="s">
        <v>768</v>
      </c>
      <c r="B34" s="92" t="s">
        <v>795</v>
      </c>
      <c r="C34" s="93">
        <v>18565</v>
      </c>
      <c r="D34" s="94" t="s">
        <v>870</v>
      </c>
      <c r="E34" s="95" t="s">
        <v>795</v>
      </c>
      <c r="F34" s="100">
        <v>8500</v>
      </c>
      <c r="G34" s="92"/>
      <c r="H34" s="92" t="s">
        <v>469</v>
      </c>
      <c r="I34" s="93">
        <v>165493.32999999999</v>
      </c>
      <c r="J34" s="94"/>
      <c r="K34" s="95"/>
      <c r="L34" s="96"/>
      <c r="M34" s="101"/>
      <c r="N34" s="101"/>
      <c r="O34" s="102"/>
      <c r="P34" s="94"/>
      <c r="Q34" s="95"/>
      <c r="R34" s="96"/>
      <c r="S34" s="92"/>
      <c r="T34" s="98"/>
      <c r="U34" s="93"/>
    </row>
    <row r="35" spans="1:21" ht="20.100000000000001" customHeight="1" x14ac:dyDescent="0.25">
      <c r="A35" s="93"/>
      <c r="B35" s="93"/>
      <c r="C35" s="99">
        <f>SUM(C30:C34)</f>
        <v>5567823.4699999988</v>
      </c>
      <c r="D35" s="94" t="s">
        <v>360</v>
      </c>
      <c r="E35" s="95" t="s">
        <v>795</v>
      </c>
      <c r="F35" s="100">
        <v>299000</v>
      </c>
      <c r="G35" s="92"/>
      <c r="H35" s="92" t="s">
        <v>440</v>
      </c>
      <c r="I35" s="93">
        <v>25650</v>
      </c>
      <c r="J35" s="94"/>
      <c r="K35" s="95"/>
      <c r="L35" s="96"/>
      <c r="M35" s="101"/>
      <c r="N35" s="101"/>
      <c r="O35" s="102"/>
      <c r="P35" s="94"/>
      <c r="Q35" s="95"/>
      <c r="R35" s="96"/>
      <c r="S35" s="92"/>
      <c r="T35" s="98"/>
      <c r="U35" s="93"/>
    </row>
    <row r="36" spans="1:21" ht="20.100000000000001" customHeight="1" x14ac:dyDescent="0.25">
      <c r="A36" s="92" t="s">
        <v>346</v>
      </c>
      <c r="B36" s="92" t="s">
        <v>795</v>
      </c>
      <c r="C36" s="93">
        <v>1312493.54</v>
      </c>
      <c r="D36" s="94" t="s">
        <v>759</v>
      </c>
      <c r="E36" s="95" t="s">
        <v>795</v>
      </c>
      <c r="F36" s="100">
        <v>138000</v>
      </c>
      <c r="G36" s="92"/>
      <c r="H36" s="92" t="s">
        <v>466</v>
      </c>
      <c r="I36" s="93">
        <v>700000</v>
      </c>
      <c r="J36" s="94"/>
      <c r="K36" s="95"/>
      <c r="L36" s="96"/>
      <c r="M36" s="101"/>
      <c r="N36" s="101"/>
      <c r="O36" s="102"/>
      <c r="P36" s="94"/>
      <c r="Q36" s="95"/>
      <c r="R36" s="96"/>
      <c r="S36" s="92"/>
      <c r="T36" s="98"/>
      <c r="U36" s="93"/>
    </row>
    <row r="37" spans="1:21" ht="20.100000000000001" customHeight="1" x14ac:dyDescent="0.25">
      <c r="A37" s="92" t="s">
        <v>378</v>
      </c>
      <c r="B37" s="92" t="s">
        <v>795</v>
      </c>
      <c r="C37" s="93">
        <v>51766</v>
      </c>
      <c r="D37" s="94" t="s">
        <v>587</v>
      </c>
      <c r="E37" s="95" t="s">
        <v>795</v>
      </c>
      <c r="F37" s="100">
        <v>13500</v>
      </c>
      <c r="G37" s="92"/>
      <c r="H37" s="92" t="s">
        <v>867</v>
      </c>
      <c r="I37" s="93">
        <v>7240</v>
      </c>
      <c r="J37" s="94"/>
      <c r="K37" s="95"/>
      <c r="L37" s="96"/>
      <c r="M37" s="101"/>
      <c r="N37" s="101"/>
      <c r="O37" s="102"/>
      <c r="P37" s="94"/>
      <c r="Q37" s="95"/>
      <c r="R37" s="96"/>
      <c r="S37" s="92"/>
      <c r="T37" s="98"/>
      <c r="U37" s="93"/>
    </row>
    <row r="38" spans="1:21" ht="20.100000000000001" customHeight="1" x14ac:dyDescent="0.25">
      <c r="A38" s="92" t="s">
        <v>379</v>
      </c>
      <c r="B38" s="92" t="s">
        <v>795</v>
      </c>
      <c r="C38" s="93">
        <v>337964.67</v>
      </c>
      <c r="D38" s="96"/>
      <c r="E38" s="96"/>
      <c r="F38" s="100">
        <f>SUM(F7,F14,F17,F20,F23,F26,F27,F28,F29,F32,F33,F34,F35,F36,F37)</f>
        <v>89954775.409999996</v>
      </c>
      <c r="G38" s="92"/>
      <c r="H38" s="92" t="s">
        <v>464</v>
      </c>
      <c r="I38" s="93">
        <v>71250</v>
      </c>
      <c r="J38" s="94"/>
      <c r="K38" s="95"/>
      <c r="L38" s="96"/>
      <c r="M38" s="101"/>
      <c r="N38" s="101"/>
      <c r="O38" s="102"/>
      <c r="P38" s="94"/>
      <c r="Q38" s="95"/>
      <c r="R38" s="96"/>
      <c r="S38" s="92"/>
      <c r="T38" s="98"/>
      <c r="U38" s="93"/>
    </row>
    <row r="39" spans="1:21" ht="20.100000000000001" customHeight="1" x14ac:dyDescent="0.25">
      <c r="A39" s="93"/>
      <c r="B39" s="93"/>
      <c r="C39" s="99">
        <f>SUM(C36:C38)</f>
        <v>1702224.21</v>
      </c>
      <c r="D39" s="96"/>
      <c r="E39" s="96"/>
      <c r="F39" s="100">
        <f>F38*1.2</f>
        <v>107945730.492</v>
      </c>
      <c r="G39" s="92"/>
      <c r="H39" s="103" t="s">
        <v>852</v>
      </c>
      <c r="I39" s="93">
        <v>219286</v>
      </c>
      <c r="J39" s="94"/>
      <c r="K39" s="95"/>
      <c r="L39" s="96"/>
      <c r="M39" s="101"/>
      <c r="N39" s="101"/>
      <c r="O39" s="102"/>
      <c r="P39" s="94"/>
      <c r="Q39" s="95"/>
      <c r="R39" s="96"/>
      <c r="S39" s="92"/>
      <c r="T39" s="98"/>
      <c r="U39" s="93"/>
    </row>
    <row r="40" spans="1:21" ht="20.100000000000001" customHeight="1" x14ac:dyDescent="0.25">
      <c r="A40" s="92" t="s">
        <v>347</v>
      </c>
      <c r="B40" s="92" t="s">
        <v>795</v>
      </c>
      <c r="C40" s="99">
        <v>476541.69</v>
      </c>
      <c r="D40" s="94"/>
      <c r="E40" s="95"/>
      <c r="F40" s="96"/>
      <c r="G40" s="92"/>
      <c r="H40" s="92" t="s">
        <v>465</v>
      </c>
      <c r="I40" s="93">
        <v>156345.54999999999</v>
      </c>
      <c r="J40" s="94"/>
      <c r="K40" s="95"/>
      <c r="L40" s="96"/>
      <c r="M40" s="101"/>
      <c r="N40" s="101"/>
      <c r="O40" s="102"/>
      <c r="P40" s="94"/>
      <c r="Q40" s="95"/>
      <c r="R40" s="96"/>
      <c r="S40" s="92"/>
      <c r="T40" s="98"/>
      <c r="U40" s="93"/>
    </row>
    <row r="41" spans="1:21" ht="20.100000000000001" customHeight="1" x14ac:dyDescent="0.25">
      <c r="A41" s="92" t="s">
        <v>348</v>
      </c>
      <c r="B41" s="92" t="s">
        <v>795</v>
      </c>
      <c r="C41" s="93">
        <v>908894.54</v>
      </c>
      <c r="D41" s="94"/>
      <c r="E41" s="95"/>
      <c r="F41" s="96"/>
      <c r="G41" s="92"/>
      <c r="H41" s="92" t="s">
        <v>392</v>
      </c>
      <c r="I41" s="93">
        <v>16205.8</v>
      </c>
      <c r="J41" s="94"/>
      <c r="K41" s="95"/>
      <c r="L41" s="96"/>
      <c r="M41" s="101"/>
      <c r="N41" s="101"/>
      <c r="O41" s="102"/>
      <c r="P41" s="94"/>
      <c r="Q41" s="95"/>
      <c r="R41" s="96"/>
      <c r="S41" s="92"/>
      <c r="T41" s="98"/>
      <c r="U41" s="93"/>
    </row>
    <row r="42" spans="1:21" ht="20.100000000000001" customHeight="1" x14ac:dyDescent="0.25">
      <c r="A42" s="92" t="s">
        <v>380</v>
      </c>
      <c r="B42" s="92" t="s">
        <v>795</v>
      </c>
      <c r="C42" s="93">
        <v>19146939.100000001</v>
      </c>
      <c r="D42" s="94"/>
      <c r="E42" s="95"/>
      <c r="F42" s="96"/>
      <c r="G42" s="92"/>
      <c r="H42" s="92" t="s">
        <v>463</v>
      </c>
      <c r="I42" s="93">
        <v>5534.25</v>
      </c>
      <c r="J42" s="94"/>
      <c r="K42" s="95"/>
      <c r="L42" s="96"/>
      <c r="M42" s="101"/>
      <c r="N42" s="101"/>
      <c r="O42" s="102"/>
      <c r="P42" s="94"/>
      <c r="Q42" s="95"/>
      <c r="R42" s="96"/>
      <c r="S42" s="92"/>
      <c r="T42" s="98"/>
      <c r="U42" s="93"/>
    </row>
    <row r="43" spans="1:21" ht="20.100000000000001" customHeight="1" x14ac:dyDescent="0.25">
      <c r="A43" s="92" t="s">
        <v>762</v>
      </c>
      <c r="B43" s="92" t="s">
        <v>795</v>
      </c>
      <c r="C43" s="93">
        <v>44711</v>
      </c>
      <c r="D43" s="94"/>
      <c r="E43" s="95"/>
      <c r="F43" s="96"/>
      <c r="G43" s="92"/>
      <c r="H43" s="92" t="s">
        <v>868</v>
      </c>
      <c r="I43" s="93">
        <v>34908.81</v>
      </c>
      <c r="J43" s="94"/>
      <c r="K43" s="95"/>
      <c r="L43" s="96"/>
      <c r="M43" s="101"/>
      <c r="N43" s="101"/>
      <c r="O43" s="102"/>
      <c r="P43" s="94"/>
      <c r="Q43" s="95"/>
      <c r="R43" s="96"/>
      <c r="S43" s="92"/>
      <c r="T43" s="98"/>
      <c r="U43" s="93"/>
    </row>
    <row r="44" spans="1:21" ht="20.100000000000001" customHeight="1" x14ac:dyDescent="0.25">
      <c r="A44" s="92" t="s">
        <v>764</v>
      </c>
      <c r="B44" s="92" t="s">
        <v>795</v>
      </c>
      <c r="C44" s="93">
        <v>141739.72</v>
      </c>
      <c r="D44" s="94"/>
      <c r="E44" s="95"/>
      <c r="F44" s="96"/>
      <c r="G44" s="92"/>
      <c r="H44" s="92" t="s">
        <v>851</v>
      </c>
      <c r="I44" s="93">
        <v>12300</v>
      </c>
      <c r="J44" s="94"/>
      <c r="K44" s="95"/>
      <c r="L44" s="96"/>
      <c r="M44" s="101"/>
      <c r="N44" s="101"/>
      <c r="O44" s="102"/>
      <c r="P44" s="94"/>
      <c r="Q44" s="95"/>
      <c r="R44" s="96"/>
      <c r="S44" s="92"/>
      <c r="T44" s="98"/>
      <c r="U44" s="93"/>
    </row>
    <row r="45" spans="1:21" ht="20.100000000000001" customHeight="1" x14ac:dyDescent="0.25">
      <c r="A45" s="92" t="s">
        <v>381</v>
      </c>
      <c r="B45" s="92" t="s">
        <v>795</v>
      </c>
      <c r="C45" s="93">
        <v>111895.49</v>
      </c>
      <c r="D45" s="94"/>
      <c r="E45" s="95"/>
      <c r="F45" s="96"/>
      <c r="G45" s="92"/>
      <c r="H45" s="92" t="s">
        <v>471</v>
      </c>
      <c r="I45" s="93">
        <v>2298939.96</v>
      </c>
      <c r="J45" s="94"/>
      <c r="K45" s="95"/>
      <c r="L45" s="96"/>
      <c r="M45" s="101"/>
      <c r="N45" s="101"/>
      <c r="O45" s="102"/>
      <c r="P45" s="94"/>
      <c r="Q45" s="95"/>
      <c r="R45" s="96"/>
      <c r="S45" s="92"/>
      <c r="T45" s="98"/>
      <c r="U45" s="93"/>
    </row>
    <row r="46" spans="1:21" ht="20.100000000000001" customHeight="1" x14ac:dyDescent="0.25">
      <c r="A46" s="92" t="s">
        <v>382</v>
      </c>
      <c r="B46" s="92" t="s">
        <v>795</v>
      </c>
      <c r="C46" s="93">
        <v>59854</v>
      </c>
      <c r="D46" s="94"/>
      <c r="E46" s="95"/>
      <c r="F46" s="96"/>
      <c r="G46" s="92"/>
      <c r="H46" s="92" t="s">
        <v>457</v>
      </c>
      <c r="I46" s="93">
        <v>523800</v>
      </c>
      <c r="J46" s="94"/>
      <c r="K46" s="95"/>
      <c r="L46" s="96"/>
      <c r="M46" s="101"/>
      <c r="N46" s="101"/>
      <c r="O46" s="102"/>
      <c r="P46" s="94"/>
      <c r="Q46" s="95"/>
      <c r="R46" s="96"/>
      <c r="S46" s="92"/>
      <c r="T46" s="98"/>
      <c r="U46" s="93"/>
    </row>
    <row r="47" spans="1:21" ht="20.100000000000001" customHeight="1" x14ac:dyDescent="0.25">
      <c r="A47" s="93"/>
      <c r="B47" s="93"/>
      <c r="C47" s="99">
        <f>SUM(C41:C46)</f>
        <v>20414033.849999998</v>
      </c>
      <c r="D47" s="94"/>
      <c r="E47" s="95"/>
      <c r="F47" s="96"/>
      <c r="G47" s="92"/>
      <c r="H47" s="92" t="s">
        <v>362</v>
      </c>
      <c r="I47" s="93">
        <v>59800</v>
      </c>
      <c r="J47" s="94"/>
      <c r="K47" s="95"/>
      <c r="L47" s="96"/>
      <c r="M47" s="101"/>
      <c r="N47" s="101"/>
      <c r="O47" s="102"/>
      <c r="P47" s="94"/>
      <c r="Q47" s="95"/>
      <c r="R47" s="96"/>
      <c r="S47" s="92"/>
      <c r="T47" s="98"/>
      <c r="U47" s="93"/>
    </row>
    <row r="48" spans="1:21" ht="20.100000000000001" customHeight="1" x14ac:dyDescent="0.25">
      <c r="A48" s="92" t="s">
        <v>349</v>
      </c>
      <c r="B48" s="92" t="s">
        <v>795</v>
      </c>
      <c r="C48" s="93">
        <v>470914.58</v>
      </c>
      <c r="D48" s="94"/>
      <c r="E48" s="95"/>
      <c r="F48" s="96"/>
      <c r="G48" s="92"/>
      <c r="H48" s="103" t="s">
        <v>362</v>
      </c>
      <c r="I48" s="93">
        <v>1781804.55</v>
      </c>
      <c r="J48" s="94"/>
      <c r="K48" s="95"/>
      <c r="L48" s="96"/>
      <c r="M48" s="101"/>
      <c r="N48" s="101"/>
      <c r="O48" s="102"/>
      <c r="P48" s="94"/>
      <c r="Q48" s="95"/>
      <c r="R48" s="96"/>
      <c r="S48" s="92"/>
      <c r="T48" s="98"/>
      <c r="U48" s="93"/>
    </row>
    <row r="49" spans="1:21" ht="20.100000000000001" customHeight="1" x14ac:dyDescent="0.25">
      <c r="A49" s="92" t="s">
        <v>383</v>
      </c>
      <c r="B49" s="92" t="s">
        <v>795</v>
      </c>
      <c r="C49" s="93">
        <v>47125</v>
      </c>
      <c r="D49" s="94"/>
      <c r="E49" s="95"/>
      <c r="F49" s="96"/>
      <c r="G49" s="92"/>
      <c r="H49" s="92" t="s">
        <v>441</v>
      </c>
      <c r="I49" s="93">
        <v>1056778.06</v>
      </c>
      <c r="J49" s="94"/>
      <c r="K49" s="95"/>
      <c r="L49" s="96"/>
      <c r="M49" s="101"/>
      <c r="N49" s="101"/>
      <c r="O49" s="102"/>
      <c r="P49" s="94"/>
      <c r="Q49" s="95"/>
      <c r="R49" s="96"/>
      <c r="S49" s="92"/>
      <c r="T49" s="98"/>
      <c r="U49" s="93"/>
    </row>
    <row r="50" spans="1:21" ht="20.100000000000001" customHeight="1" x14ac:dyDescent="0.25">
      <c r="A50" s="93"/>
      <c r="B50" s="93"/>
      <c r="C50" s="99">
        <f>SUM(C48:C49)</f>
        <v>518039.58</v>
      </c>
      <c r="D50" s="94"/>
      <c r="E50" s="95"/>
      <c r="F50" s="96"/>
      <c r="G50" s="92"/>
      <c r="H50" s="98"/>
      <c r="I50" s="99">
        <f>SUM(I30:I49)</f>
        <v>11389139.57</v>
      </c>
      <c r="J50" s="94"/>
      <c r="K50" s="95"/>
      <c r="L50" s="96"/>
      <c r="M50" s="101"/>
      <c r="N50" s="101"/>
      <c r="O50" s="102"/>
      <c r="P50" s="94"/>
      <c r="Q50" s="95"/>
      <c r="R50" s="96"/>
      <c r="S50" s="92"/>
      <c r="T50" s="98"/>
      <c r="U50" s="93"/>
    </row>
    <row r="51" spans="1:21" ht="20.100000000000001" customHeight="1" x14ac:dyDescent="0.25">
      <c r="A51" s="92" t="s">
        <v>350</v>
      </c>
      <c r="B51" s="92" t="s">
        <v>795</v>
      </c>
      <c r="C51" s="99">
        <v>81978.880000000005</v>
      </c>
      <c r="D51" s="94"/>
      <c r="E51" s="95"/>
      <c r="F51" s="96"/>
      <c r="G51" s="92" t="s">
        <v>839</v>
      </c>
      <c r="H51" s="92" t="s">
        <v>816</v>
      </c>
      <c r="I51" s="97">
        <v>8333.33</v>
      </c>
      <c r="J51" s="94"/>
      <c r="K51" s="95"/>
      <c r="L51" s="96"/>
      <c r="M51" s="101"/>
      <c r="N51" s="101"/>
      <c r="O51" s="102"/>
      <c r="P51" s="94"/>
      <c r="Q51" s="95"/>
      <c r="R51" s="96"/>
      <c r="S51" s="92"/>
      <c r="T51" s="98"/>
      <c r="U51" s="93"/>
    </row>
    <row r="52" spans="1:21" ht="20.100000000000001" customHeight="1" x14ac:dyDescent="0.25">
      <c r="A52" s="92" t="s">
        <v>827</v>
      </c>
      <c r="B52" s="92" t="s">
        <v>795</v>
      </c>
      <c r="C52" s="99">
        <v>1258267.6000000001</v>
      </c>
      <c r="D52" s="94"/>
      <c r="E52" s="95"/>
      <c r="F52" s="96"/>
      <c r="G52" s="92"/>
      <c r="H52" s="92" t="s">
        <v>806</v>
      </c>
      <c r="I52" s="97">
        <v>629751.51</v>
      </c>
      <c r="J52" s="94"/>
      <c r="K52" s="95"/>
      <c r="L52" s="96"/>
      <c r="M52" s="101"/>
      <c r="N52" s="101"/>
      <c r="O52" s="102"/>
      <c r="P52" s="94"/>
      <c r="Q52" s="95"/>
      <c r="R52" s="96"/>
      <c r="S52" s="92"/>
      <c r="T52" s="98"/>
      <c r="U52" s="93"/>
    </row>
    <row r="53" spans="1:21" ht="20.100000000000001" customHeight="1" x14ac:dyDescent="0.25">
      <c r="A53" s="92" t="s">
        <v>825</v>
      </c>
      <c r="B53" s="92" t="s">
        <v>795</v>
      </c>
      <c r="C53" s="99">
        <v>66000</v>
      </c>
      <c r="D53" s="94"/>
      <c r="E53" s="95"/>
      <c r="F53" s="96"/>
      <c r="G53" s="92"/>
      <c r="H53" s="92" t="s">
        <v>803</v>
      </c>
      <c r="I53" s="97">
        <v>7500</v>
      </c>
      <c r="J53" s="94"/>
      <c r="K53" s="95"/>
      <c r="L53" s="96"/>
      <c r="M53" s="101"/>
      <c r="N53" s="101"/>
      <c r="O53" s="102"/>
      <c r="P53" s="94"/>
      <c r="Q53" s="95"/>
      <c r="R53" s="96"/>
      <c r="S53" s="92"/>
      <c r="T53" s="98"/>
      <c r="U53" s="93"/>
    </row>
    <row r="54" spans="1:21" ht="20.100000000000001" customHeight="1" x14ac:dyDescent="0.25">
      <c r="A54" s="92" t="s">
        <v>384</v>
      </c>
      <c r="B54" s="92" t="s">
        <v>795</v>
      </c>
      <c r="C54" s="93">
        <v>135236.84</v>
      </c>
      <c r="D54" s="94"/>
      <c r="E54" s="95"/>
      <c r="F54" s="96"/>
      <c r="G54" s="92"/>
      <c r="H54" s="92" t="s">
        <v>809</v>
      </c>
      <c r="I54" s="97">
        <v>139968.76999999999</v>
      </c>
      <c r="J54" s="94"/>
      <c r="K54" s="95"/>
      <c r="L54" s="96"/>
      <c r="M54" s="101"/>
      <c r="N54" s="101"/>
      <c r="O54" s="102"/>
      <c r="P54" s="94"/>
      <c r="Q54" s="95"/>
      <c r="R54" s="96"/>
      <c r="S54" s="92"/>
      <c r="T54" s="98"/>
      <c r="U54" s="93"/>
    </row>
    <row r="55" spans="1:21" ht="20.100000000000001" customHeight="1" x14ac:dyDescent="0.25">
      <c r="A55" s="92" t="s">
        <v>753</v>
      </c>
      <c r="B55" s="92" t="s">
        <v>795</v>
      </c>
      <c r="C55" s="93">
        <v>46457.88</v>
      </c>
      <c r="D55" s="94"/>
      <c r="E55" s="95"/>
      <c r="F55" s="96"/>
      <c r="G55" s="92"/>
      <c r="H55" s="92" t="s">
        <v>441</v>
      </c>
      <c r="I55" s="97">
        <v>13235.8</v>
      </c>
      <c r="J55" s="94"/>
      <c r="K55" s="95"/>
      <c r="L55" s="96"/>
      <c r="M55" s="101"/>
      <c r="N55" s="101"/>
      <c r="O55" s="102"/>
      <c r="P55" s="94"/>
      <c r="Q55" s="95"/>
      <c r="R55" s="96"/>
      <c r="S55" s="92"/>
      <c r="T55" s="98"/>
      <c r="U55" s="93"/>
    </row>
    <row r="56" spans="1:21" ht="20.100000000000001" customHeight="1" x14ac:dyDescent="0.25">
      <c r="A56" s="93"/>
      <c r="B56" s="93"/>
      <c r="C56" s="99">
        <f>SUM(C54:C55)</f>
        <v>181694.72</v>
      </c>
      <c r="D56" s="94"/>
      <c r="E56" s="95"/>
      <c r="F56" s="96"/>
      <c r="G56" s="92"/>
      <c r="H56" s="92" t="s">
        <v>801</v>
      </c>
      <c r="I56" s="97">
        <v>683163.77</v>
      </c>
      <c r="J56" s="94"/>
      <c r="K56" s="95"/>
      <c r="L56" s="96"/>
      <c r="M56" s="101"/>
      <c r="N56" s="101"/>
      <c r="O56" s="102"/>
      <c r="P56" s="94"/>
      <c r="Q56" s="95"/>
      <c r="R56" s="96"/>
      <c r="S56" s="92"/>
      <c r="T56" s="98"/>
      <c r="U56" s="93"/>
    </row>
    <row r="57" spans="1:21" ht="20.100000000000001" customHeight="1" x14ac:dyDescent="0.25">
      <c r="A57" s="92" t="s">
        <v>385</v>
      </c>
      <c r="B57" s="92" t="s">
        <v>795</v>
      </c>
      <c r="C57" s="99">
        <v>9854827.1999999993</v>
      </c>
      <c r="D57" s="94"/>
      <c r="E57" s="95"/>
      <c r="F57" s="96"/>
      <c r="G57" s="92"/>
      <c r="H57" s="92" t="s">
        <v>800</v>
      </c>
      <c r="I57" s="97">
        <v>3188.5</v>
      </c>
      <c r="J57" s="94"/>
      <c r="K57" s="95"/>
      <c r="L57" s="96"/>
      <c r="M57" s="101"/>
      <c r="N57" s="101"/>
      <c r="O57" s="102"/>
      <c r="P57" s="94"/>
      <c r="Q57" s="95"/>
      <c r="R57" s="96"/>
      <c r="S57" s="92"/>
      <c r="T57" s="98"/>
      <c r="U57" s="93"/>
    </row>
    <row r="58" spans="1:21" ht="20.100000000000001" customHeight="1" x14ac:dyDescent="0.25">
      <c r="A58" s="92" t="s">
        <v>353</v>
      </c>
      <c r="B58" s="92" t="s">
        <v>795</v>
      </c>
      <c r="C58" s="93">
        <v>22931.919999999998</v>
      </c>
      <c r="D58" s="94"/>
      <c r="E58" s="95"/>
      <c r="F58" s="96"/>
      <c r="G58" s="92"/>
      <c r="H58" s="92" t="s">
        <v>799</v>
      </c>
      <c r="I58" s="97">
        <v>100000</v>
      </c>
      <c r="J58" s="94"/>
      <c r="K58" s="95"/>
      <c r="L58" s="96"/>
      <c r="M58" s="101"/>
      <c r="N58" s="101"/>
      <c r="O58" s="102"/>
      <c r="P58" s="94"/>
      <c r="Q58" s="95"/>
      <c r="R58" s="96"/>
      <c r="S58" s="92"/>
      <c r="T58" s="98"/>
      <c r="U58" s="93"/>
    </row>
    <row r="59" spans="1:21" ht="20.100000000000001" customHeight="1" x14ac:dyDescent="0.25">
      <c r="A59" s="92" t="s">
        <v>831</v>
      </c>
      <c r="B59" s="92" t="s">
        <v>795</v>
      </c>
      <c r="C59" s="93">
        <v>17200</v>
      </c>
      <c r="D59" s="94"/>
      <c r="E59" s="95"/>
      <c r="F59" s="96"/>
      <c r="G59" s="92"/>
      <c r="H59" s="92" t="s">
        <v>805</v>
      </c>
      <c r="I59" s="97">
        <v>11550</v>
      </c>
      <c r="J59" s="94"/>
      <c r="K59" s="95"/>
      <c r="L59" s="96"/>
      <c r="M59" s="101"/>
      <c r="N59" s="101"/>
      <c r="O59" s="102"/>
      <c r="P59" s="94"/>
      <c r="Q59" s="95"/>
      <c r="R59" s="96"/>
      <c r="S59" s="92"/>
      <c r="T59" s="98"/>
      <c r="U59" s="93"/>
    </row>
    <row r="60" spans="1:21" ht="20.100000000000001" customHeight="1" x14ac:dyDescent="0.25">
      <c r="A60" s="93"/>
      <c r="B60" s="93"/>
      <c r="C60" s="99">
        <f>SUM(C58:C59)</f>
        <v>40131.919999999998</v>
      </c>
      <c r="D60" s="94"/>
      <c r="E60" s="95"/>
      <c r="F60" s="96"/>
      <c r="G60" s="92"/>
      <c r="H60" s="92" t="s">
        <v>813</v>
      </c>
      <c r="I60" s="97">
        <v>1526865</v>
      </c>
      <c r="J60" s="94"/>
      <c r="K60" s="95"/>
      <c r="L60" s="96"/>
      <c r="M60" s="101"/>
      <c r="N60" s="101"/>
      <c r="O60" s="102"/>
      <c r="P60" s="94"/>
      <c r="Q60" s="95"/>
      <c r="R60" s="96"/>
      <c r="S60" s="92"/>
      <c r="T60" s="98"/>
      <c r="U60" s="93"/>
    </row>
    <row r="61" spans="1:21" ht="20.100000000000001" customHeight="1" x14ac:dyDescent="0.25">
      <c r="A61" s="92" t="s">
        <v>773</v>
      </c>
      <c r="B61" s="92" t="s">
        <v>795</v>
      </c>
      <c r="C61" s="99">
        <v>206305.76</v>
      </c>
      <c r="D61" s="94"/>
      <c r="E61" s="95"/>
      <c r="F61" s="96"/>
      <c r="G61" s="92"/>
      <c r="H61" s="92" t="s">
        <v>812</v>
      </c>
      <c r="I61" s="97">
        <v>77610.47</v>
      </c>
      <c r="J61" s="94"/>
      <c r="K61" s="95"/>
      <c r="L61" s="96"/>
      <c r="M61" s="101"/>
      <c r="N61" s="101"/>
      <c r="O61" s="102"/>
      <c r="P61" s="94"/>
      <c r="Q61" s="95"/>
      <c r="R61" s="96"/>
      <c r="S61" s="92"/>
      <c r="T61" s="98"/>
      <c r="U61" s="93"/>
    </row>
    <row r="62" spans="1:21" ht="20.100000000000001" customHeight="1" x14ac:dyDescent="0.25">
      <c r="A62" s="93"/>
      <c r="B62" s="93"/>
      <c r="C62" s="99">
        <f>SUM(C5,C6,C16,C17,C21,C25,C26,C29,C35,C39,C40,C47,C50,C51,C52,C53,C56,C57,C60,C61)</f>
        <v>75283731.63000001</v>
      </c>
      <c r="D62" s="94"/>
      <c r="E62" s="95"/>
      <c r="F62" s="96"/>
      <c r="G62" s="92"/>
      <c r="H62" s="92" t="s">
        <v>808</v>
      </c>
      <c r="I62" s="97">
        <v>5790859.2300000004</v>
      </c>
      <c r="J62" s="94"/>
      <c r="K62" s="95"/>
      <c r="L62" s="96"/>
      <c r="M62" s="101"/>
      <c r="N62" s="101"/>
      <c r="O62" s="102"/>
      <c r="P62" s="94"/>
      <c r="Q62" s="95"/>
      <c r="R62" s="96"/>
      <c r="S62" s="92"/>
      <c r="T62" s="98"/>
      <c r="U62" s="93"/>
    </row>
    <row r="63" spans="1:21" ht="20.100000000000001" customHeight="1" x14ac:dyDescent="0.25">
      <c r="A63" s="93"/>
      <c r="B63" s="93"/>
      <c r="C63" s="99">
        <f>C62*1.2</f>
        <v>90340477.956000015</v>
      </c>
      <c r="D63" s="94"/>
      <c r="E63" s="95"/>
      <c r="F63" s="96"/>
      <c r="G63" s="92"/>
      <c r="H63" s="92"/>
      <c r="I63" s="99">
        <f>SUM(I51:I62)</f>
        <v>8992026.3800000008</v>
      </c>
      <c r="J63" s="94"/>
      <c r="K63" s="95"/>
      <c r="L63" s="96"/>
      <c r="M63" s="101"/>
      <c r="N63" s="101"/>
      <c r="O63" s="102"/>
      <c r="P63" s="94"/>
      <c r="Q63" s="95"/>
      <c r="R63" s="96"/>
      <c r="S63" s="92"/>
      <c r="T63" s="98"/>
      <c r="U63" s="93"/>
    </row>
    <row r="64" spans="1:21" ht="20.100000000000001" customHeight="1" x14ac:dyDescent="0.25">
      <c r="A64" s="93"/>
      <c r="B64" s="93"/>
      <c r="C64" s="93"/>
      <c r="D64" s="94"/>
      <c r="E64" s="95"/>
      <c r="F64" s="96"/>
      <c r="G64" s="92"/>
      <c r="H64" s="92"/>
      <c r="I64" s="93"/>
      <c r="J64" s="94"/>
      <c r="K64" s="95"/>
      <c r="L64" s="96"/>
      <c r="M64" s="101"/>
      <c r="N64" s="101"/>
      <c r="O64" s="102"/>
      <c r="P64" s="94"/>
      <c r="Q64" s="95"/>
      <c r="R64" s="96"/>
      <c r="S64" s="92"/>
      <c r="T64" s="98"/>
      <c r="U64" s="93"/>
    </row>
    <row r="65" spans="1:21" ht="20.100000000000001" customHeight="1" x14ac:dyDescent="0.25">
      <c r="A65" s="93"/>
      <c r="B65" s="93"/>
      <c r="C65" s="93"/>
      <c r="D65" s="94"/>
      <c r="E65" s="95"/>
      <c r="F65" s="96"/>
      <c r="G65" s="92" t="s">
        <v>363</v>
      </c>
      <c r="H65" s="98" t="s">
        <v>795</v>
      </c>
      <c r="I65" s="93">
        <v>892500</v>
      </c>
      <c r="J65" s="94"/>
      <c r="K65" s="95"/>
      <c r="L65" s="96"/>
      <c r="M65" s="101"/>
      <c r="N65" s="101"/>
      <c r="O65" s="102"/>
      <c r="P65" s="94"/>
      <c r="Q65" s="95"/>
      <c r="R65" s="96"/>
      <c r="S65" s="92"/>
      <c r="T65" s="98"/>
      <c r="U65" s="93"/>
    </row>
    <row r="66" spans="1:21" ht="20.100000000000001" customHeight="1" x14ac:dyDescent="0.25">
      <c r="A66" s="93"/>
      <c r="B66" s="93"/>
      <c r="C66" s="93"/>
      <c r="D66" s="94"/>
      <c r="E66" s="95"/>
      <c r="F66" s="96"/>
      <c r="G66" s="92"/>
      <c r="H66" s="98" t="s">
        <v>473</v>
      </c>
      <c r="I66" s="93">
        <v>48000</v>
      </c>
      <c r="J66" s="94"/>
      <c r="K66" s="95"/>
      <c r="L66" s="96"/>
      <c r="M66" s="101"/>
      <c r="N66" s="101"/>
      <c r="O66" s="102"/>
      <c r="P66" s="94"/>
      <c r="Q66" s="95"/>
      <c r="R66" s="96"/>
      <c r="S66" s="92"/>
      <c r="T66" s="98"/>
      <c r="U66" s="93"/>
    </row>
    <row r="67" spans="1:21" ht="20.100000000000001" customHeight="1" x14ac:dyDescent="0.25">
      <c r="A67" s="93"/>
      <c r="B67" s="93"/>
      <c r="C67" s="93"/>
      <c r="D67" s="94"/>
      <c r="E67" s="95"/>
      <c r="F67" s="96"/>
      <c r="G67" s="92"/>
      <c r="H67" s="98"/>
      <c r="I67" s="99">
        <f>SUM(I65:I66)</f>
        <v>940500</v>
      </c>
      <c r="J67" s="94"/>
      <c r="K67" s="95"/>
      <c r="L67" s="96"/>
      <c r="M67" s="101"/>
      <c r="N67" s="101"/>
      <c r="O67" s="102"/>
      <c r="P67" s="94"/>
      <c r="Q67" s="95"/>
      <c r="R67" s="96"/>
      <c r="S67" s="92"/>
      <c r="T67" s="98"/>
      <c r="U67" s="93"/>
    </row>
    <row r="68" spans="1:21" ht="20.100000000000001" customHeight="1" x14ac:dyDescent="0.25">
      <c r="A68" s="93"/>
      <c r="B68" s="93"/>
      <c r="C68" s="93"/>
      <c r="D68" s="94"/>
      <c r="E68" s="95"/>
      <c r="F68" s="96"/>
      <c r="G68" s="92" t="s">
        <v>366</v>
      </c>
      <c r="H68" s="92" t="s">
        <v>818</v>
      </c>
      <c r="I68" s="124">
        <v>1988722.66</v>
      </c>
      <c r="J68" s="94"/>
      <c r="K68" s="95"/>
      <c r="L68" s="96"/>
      <c r="M68" s="101"/>
      <c r="N68" s="101"/>
      <c r="O68" s="102"/>
      <c r="P68" s="94"/>
      <c r="Q68" s="95"/>
      <c r="R68" s="96"/>
      <c r="S68" s="92"/>
      <c r="T68" s="98"/>
      <c r="U68" s="93"/>
    </row>
    <row r="69" spans="1:21" ht="20.100000000000001" customHeight="1" x14ac:dyDescent="0.25">
      <c r="A69" s="93"/>
      <c r="B69" s="93"/>
      <c r="C69" s="93"/>
      <c r="D69" s="94"/>
      <c r="E69" s="95"/>
      <c r="F69" s="96"/>
      <c r="G69" s="92" t="s">
        <v>367</v>
      </c>
      <c r="H69" s="92" t="s">
        <v>818</v>
      </c>
      <c r="I69" s="99">
        <v>686161.72</v>
      </c>
      <c r="J69" s="94"/>
      <c r="K69" s="95"/>
      <c r="L69" s="96"/>
      <c r="M69" s="101"/>
      <c r="N69" s="101"/>
      <c r="O69" s="102"/>
      <c r="P69" s="94"/>
      <c r="Q69" s="95"/>
      <c r="R69" s="96"/>
      <c r="S69" s="92"/>
      <c r="T69" s="98"/>
      <c r="U69" s="93"/>
    </row>
    <row r="70" spans="1:21" ht="20.100000000000001" customHeight="1" x14ac:dyDescent="0.25">
      <c r="A70" s="93"/>
      <c r="B70" s="93"/>
      <c r="C70" s="93"/>
      <c r="D70" s="94"/>
      <c r="E70" s="95"/>
      <c r="F70" s="96"/>
      <c r="G70" s="92" t="s">
        <v>368</v>
      </c>
      <c r="H70" s="92" t="s">
        <v>818</v>
      </c>
      <c r="I70" s="99">
        <v>832752.84</v>
      </c>
      <c r="J70" s="94"/>
      <c r="K70" s="95"/>
      <c r="L70" s="96"/>
      <c r="M70" s="101"/>
      <c r="N70" s="101"/>
      <c r="O70" s="102"/>
      <c r="P70" s="94"/>
      <c r="Q70" s="95"/>
      <c r="R70" s="96"/>
      <c r="S70" s="92"/>
      <c r="T70" s="98"/>
      <c r="U70" s="93"/>
    </row>
    <row r="71" spans="1:21" ht="20.100000000000001" customHeight="1" x14ac:dyDescent="0.25">
      <c r="A71" s="93"/>
      <c r="B71" s="93"/>
      <c r="C71" s="93"/>
      <c r="D71" s="94"/>
      <c r="E71" s="95"/>
      <c r="F71" s="96"/>
      <c r="G71" s="92" t="s">
        <v>802</v>
      </c>
      <c r="H71" s="92" t="s">
        <v>818</v>
      </c>
      <c r="I71" s="99">
        <v>25241148.84</v>
      </c>
      <c r="J71" s="94"/>
      <c r="K71" s="95"/>
      <c r="L71" s="96"/>
      <c r="M71" s="101"/>
      <c r="N71" s="101"/>
      <c r="O71" s="102"/>
      <c r="P71" s="94"/>
      <c r="Q71" s="95"/>
      <c r="R71" s="96"/>
      <c r="S71" s="92"/>
      <c r="T71" s="98"/>
      <c r="U71" s="93"/>
    </row>
    <row r="72" spans="1:21" ht="20.100000000000001" customHeight="1" x14ac:dyDescent="0.25">
      <c r="A72" s="93"/>
      <c r="B72" s="93"/>
      <c r="C72" s="93"/>
      <c r="D72" s="94"/>
      <c r="E72" s="95"/>
      <c r="F72" s="96"/>
      <c r="G72" s="92" t="s">
        <v>337</v>
      </c>
      <c r="H72" s="98" t="s">
        <v>795</v>
      </c>
      <c r="I72" s="99">
        <v>13938386.1</v>
      </c>
      <c r="J72" s="94"/>
      <c r="K72" s="95"/>
      <c r="L72" s="96"/>
      <c r="M72" s="101"/>
      <c r="N72" s="101"/>
      <c r="O72" s="102"/>
      <c r="P72" s="94"/>
      <c r="Q72" s="95"/>
      <c r="R72" s="96"/>
      <c r="S72" s="92"/>
      <c r="T72" s="98"/>
      <c r="U72" s="93"/>
    </row>
    <row r="73" spans="1:21" ht="20.100000000000001" customHeight="1" x14ac:dyDescent="0.25">
      <c r="A73" s="93"/>
      <c r="B73" s="93"/>
      <c r="C73" s="93"/>
      <c r="D73" s="94"/>
      <c r="E73" s="95"/>
      <c r="F73" s="96"/>
      <c r="G73" s="92" t="s">
        <v>365</v>
      </c>
      <c r="H73" s="98" t="s">
        <v>795</v>
      </c>
      <c r="I73" s="99">
        <v>1541503.6</v>
      </c>
      <c r="J73" s="94"/>
      <c r="K73" s="95"/>
      <c r="L73" s="96"/>
      <c r="M73" s="101"/>
      <c r="N73" s="101"/>
      <c r="O73" s="102"/>
      <c r="P73" s="94"/>
      <c r="Q73" s="95"/>
      <c r="R73" s="96"/>
      <c r="S73" s="92"/>
      <c r="T73" s="98"/>
      <c r="U73" s="93"/>
    </row>
    <row r="74" spans="1:21" ht="20.100000000000001" customHeight="1" x14ac:dyDescent="0.25">
      <c r="A74" s="93"/>
      <c r="B74" s="93"/>
      <c r="C74" s="93"/>
      <c r="D74" s="94"/>
      <c r="E74" s="95"/>
      <c r="F74" s="96"/>
      <c r="G74" s="92" t="s">
        <v>364</v>
      </c>
      <c r="H74" s="98" t="s">
        <v>795</v>
      </c>
      <c r="I74" s="99">
        <v>58296</v>
      </c>
      <c r="J74" s="94"/>
      <c r="K74" s="95"/>
      <c r="L74" s="96"/>
      <c r="M74" s="101"/>
      <c r="N74" s="101"/>
      <c r="O74" s="102"/>
      <c r="P74" s="94"/>
      <c r="Q74" s="95"/>
      <c r="R74" s="96"/>
      <c r="S74" s="92"/>
      <c r="T74" s="98"/>
      <c r="U74" s="93"/>
    </row>
    <row r="75" spans="1:21" ht="20.100000000000001" customHeight="1" x14ac:dyDescent="0.25">
      <c r="A75" s="93"/>
      <c r="B75" s="93"/>
      <c r="C75" s="93"/>
      <c r="D75" s="94"/>
      <c r="E75" s="95"/>
      <c r="F75" s="96"/>
      <c r="G75" s="92"/>
      <c r="H75" s="98"/>
      <c r="I75" s="99">
        <f>SUM(I8,I21,I25,I28,I29,I50,I63,I67,I68,I69,I70,I71,I72,I73,I74)</f>
        <v>147178371.11999997</v>
      </c>
      <c r="J75" s="94"/>
      <c r="K75" s="95"/>
      <c r="L75" s="96"/>
      <c r="M75" s="101"/>
      <c r="N75" s="101"/>
      <c r="O75" s="102"/>
      <c r="P75" s="94"/>
      <c r="Q75" s="95"/>
      <c r="R75" s="96"/>
      <c r="S75" s="92"/>
      <c r="T75" s="98"/>
      <c r="U75" s="93"/>
    </row>
    <row r="76" spans="1:21" ht="20.100000000000001" customHeight="1" x14ac:dyDescent="0.25">
      <c r="A76" s="93"/>
      <c r="B76" s="93"/>
      <c r="C76" s="93"/>
      <c r="D76" s="94"/>
      <c r="E76" s="95"/>
      <c r="F76" s="96"/>
      <c r="G76" s="92"/>
      <c r="H76" s="98"/>
      <c r="I76" s="99">
        <f>SUM(I8,I21,I22,I23,I28,I29,I50,I67,I72,I73,I74)*1.2+SUM(I24,I63,I68,I69,I70,I71)</f>
        <v>168886766.68799996</v>
      </c>
      <c r="J76" s="94"/>
      <c r="K76" s="95"/>
      <c r="L76" s="96"/>
      <c r="M76" s="101"/>
      <c r="N76" s="101"/>
      <c r="O76" s="102"/>
      <c r="P76" s="94"/>
      <c r="Q76" s="95"/>
      <c r="R76" s="96"/>
      <c r="S76" s="92"/>
      <c r="T76" s="98"/>
      <c r="U76" s="93"/>
    </row>
    <row r="77" spans="1:21" ht="20.100000000000001" customHeight="1" x14ac:dyDescent="0.25">
      <c r="A77" s="133" t="s">
        <v>878</v>
      </c>
      <c r="B77" s="134">
        <f>353534721.53-5931671.83-4128500-215378.34</f>
        <v>343259171.36000001</v>
      </c>
      <c r="C77" s="135">
        <f>B77*1.2</f>
        <v>411911005.63200003</v>
      </c>
      <c r="D77" s="105"/>
      <c r="E77" s="105"/>
      <c r="F77" s="105"/>
      <c r="G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</row>
    <row r="78" spans="1:21" ht="20.100000000000001" customHeight="1" x14ac:dyDescent="0.25">
      <c r="A78" s="133">
        <v>26</v>
      </c>
      <c r="B78" s="134">
        <v>66149694.539999999</v>
      </c>
      <c r="C78" s="135">
        <f>B78*1.2</f>
        <v>79379633.447999999</v>
      </c>
      <c r="D78" s="105"/>
      <c r="E78" s="105"/>
      <c r="F78" s="105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</row>
    <row r="79" spans="1:21" ht="20.100000000000001" customHeight="1" x14ac:dyDescent="0.25">
      <c r="A79" s="133" t="s">
        <v>873</v>
      </c>
      <c r="B79" s="134">
        <f>196680193.74-3293196.14-15589227.71-139161376.61</f>
        <v>38636393.280000001</v>
      </c>
      <c r="C79" s="135">
        <f>B79</f>
        <v>38636393.280000001</v>
      </c>
    </row>
    <row r="80" spans="1:21" ht="12" customHeight="1" x14ac:dyDescent="0.25">
      <c r="A80" s="136" t="s">
        <v>874</v>
      </c>
      <c r="B80" s="137">
        <f>SUM(B77:B79)</f>
        <v>448045259.18000007</v>
      </c>
      <c r="C80" s="137">
        <f>SUM(C77:C79)</f>
        <v>529927032.36000001</v>
      </c>
    </row>
    <row r="82" spans="9:9" ht="12" customHeight="1" x14ac:dyDescent="0.25">
      <c r="I82" s="143"/>
    </row>
  </sheetData>
  <autoFilter ref="A1:U1">
    <filterColumn colId="9" showButton="0"/>
    <filterColumn colId="12" showButton="0"/>
    <filterColumn colId="15" showButton="0"/>
    <filterColumn colId="18" showButton="0"/>
  </autoFilter>
  <mergeCells count="7">
    <mergeCell ref="S1:T1"/>
    <mergeCell ref="A1:B1"/>
    <mergeCell ref="D1:E1"/>
    <mergeCell ref="J1:K1"/>
    <mergeCell ref="M1:N1"/>
    <mergeCell ref="P1:Q1"/>
    <mergeCell ref="G1:H1"/>
  </mergeCells>
  <pageMargins left="0.25" right="0.25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42"/>
  <sheetViews>
    <sheetView tabSelected="1" view="pageBreakPreview" zoomScaleSheetLayoutView="100" workbookViewId="0">
      <selection sqref="A1:D1"/>
    </sheetView>
  </sheetViews>
  <sheetFormatPr defaultRowHeight="15" outlineLevelCol="1" x14ac:dyDescent="0.25"/>
  <cols>
    <col min="1" max="1" width="9.140625" style="166" customWidth="1"/>
    <col min="2" max="2" width="43.85546875" style="166" customWidth="1"/>
    <col min="3" max="3" width="24.5703125" style="166" customWidth="1"/>
    <col min="4" max="4" width="30.7109375" style="166" customWidth="1"/>
    <col min="5" max="10" width="0" style="166" hidden="1" customWidth="1"/>
    <col min="11" max="11" width="50.7109375" style="167" hidden="1" customWidth="1" outlineLevel="1"/>
    <col min="12" max="12" width="0" style="166" hidden="1" customWidth="1" collapsed="1"/>
    <col min="13" max="16384" width="9.140625" style="166"/>
  </cols>
  <sheetData>
    <row r="1" spans="1:11" ht="15" customHeight="1" x14ac:dyDescent="0.25">
      <c r="A1" s="276" t="s">
        <v>1020</v>
      </c>
      <c r="B1" s="276"/>
      <c r="C1" s="276"/>
      <c r="D1" s="276"/>
      <c r="K1" s="167" t="s">
        <v>70</v>
      </c>
    </row>
    <row r="2" spans="1:11" ht="15" customHeight="1" x14ac:dyDescent="0.25">
      <c r="A2" s="276" t="s">
        <v>1019</v>
      </c>
      <c r="B2" s="276"/>
      <c r="C2" s="276"/>
      <c r="D2" s="276"/>
      <c r="K2" s="167" t="s">
        <v>74</v>
      </c>
    </row>
    <row r="3" spans="1:11" ht="15" customHeight="1" x14ac:dyDescent="0.25">
      <c r="A3" s="276" t="s">
        <v>1021</v>
      </c>
      <c r="B3" s="276"/>
      <c r="C3" s="276"/>
      <c r="D3" s="276"/>
      <c r="K3" s="167" t="s">
        <v>75</v>
      </c>
    </row>
    <row r="4" spans="1:11" ht="15" customHeight="1" x14ac:dyDescent="0.25">
      <c r="A4" s="176" t="s">
        <v>1018</v>
      </c>
      <c r="B4" s="277" t="s">
        <v>164</v>
      </c>
      <c r="C4" s="277"/>
      <c r="D4" s="277"/>
      <c r="K4" s="168" t="s">
        <v>76</v>
      </c>
    </row>
    <row r="5" spans="1:11" ht="6.75" customHeight="1" x14ac:dyDescent="0.25">
      <c r="A5" s="175"/>
      <c r="B5" s="175"/>
      <c r="C5" s="175"/>
      <c r="D5" s="175"/>
      <c r="K5" s="168" t="s">
        <v>77</v>
      </c>
    </row>
    <row r="6" spans="1:11" ht="15" customHeight="1" thickBot="1" x14ac:dyDescent="0.3">
      <c r="A6" s="287"/>
      <c r="B6" s="288" t="s">
        <v>1017</v>
      </c>
      <c r="C6" s="289">
        <f>SUMIF(отчёт!$B:$B,$B$4,отчёт!$C:$C)</f>
        <v>22940.107170224412</v>
      </c>
      <c r="D6" s="290" t="s">
        <v>1016</v>
      </c>
      <c r="K6" s="168" t="s">
        <v>78</v>
      </c>
    </row>
    <row r="7" spans="1:11" ht="24.95" customHeight="1" thickBot="1" x14ac:dyDescent="0.3">
      <c r="A7" s="291"/>
      <c r="B7" s="292" t="s">
        <v>1015</v>
      </c>
      <c r="C7" s="293">
        <f>SUMIF(отчёт!$B:$B,$B$4,отчёт!$T:$T)</f>
        <v>36.54</v>
      </c>
      <c r="D7" s="294" t="s">
        <v>1014</v>
      </c>
      <c r="K7" s="168" t="s">
        <v>79</v>
      </c>
    </row>
    <row r="8" spans="1:11" ht="15" customHeight="1" thickBot="1" x14ac:dyDescent="0.3">
      <c r="A8" s="291"/>
      <c r="B8" s="295" t="s">
        <v>1013</v>
      </c>
      <c r="C8" s="289">
        <f>SUMIF(отчёт!$B:$B,$B$4,отчёт!$EC:$EC)</f>
        <v>9741589.0099999998</v>
      </c>
      <c r="D8" s="294" t="s">
        <v>1011</v>
      </c>
      <c r="K8" s="168" t="s">
        <v>80</v>
      </c>
    </row>
    <row r="9" spans="1:11" ht="15" customHeight="1" thickBot="1" x14ac:dyDescent="0.3">
      <c r="A9" s="291"/>
      <c r="B9" s="295" t="s">
        <v>1012</v>
      </c>
      <c r="C9" s="289">
        <f>SUMIF(отчёт!$B:$B,$B$4,отчёт!$ED:$ED)</f>
        <v>9546183.4899999984</v>
      </c>
      <c r="D9" s="294" t="s">
        <v>1011</v>
      </c>
      <c r="K9" s="168" t="s">
        <v>81</v>
      </c>
    </row>
    <row r="10" spans="1:11" ht="23.25" customHeight="1" thickBot="1" x14ac:dyDescent="0.3">
      <c r="A10" s="291"/>
      <c r="B10" s="292" t="s">
        <v>1022</v>
      </c>
      <c r="C10" s="289">
        <f>SUMIF(отчёт!$B:$B,$B$4,отчёт!$EE:$EE)</f>
        <v>2858820.69</v>
      </c>
      <c r="D10" s="294" t="s">
        <v>1011</v>
      </c>
      <c r="K10" s="168" t="s">
        <v>82</v>
      </c>
    </row>
    <row r="11" spans="1:11" ht="24.95" customHeight="1" thickBot="1" x14ac:dyDescent="0.3">
      <c r="A11" s="291"/>
      <c r="B11" s="296" t="s">
        <v>1010</v>
      </c>
      <c r="C11" s="297">
        <f>SUMIF(отчёт!$B:$B,$B$4,отчёт!$EB:$EB)</f>
        <v>2659.6626506024099</v>
      </c>
      <c r="D11" s="294"/>
      <c r="K11" s="168" t="s">
        <v>84</v>
      </c>
    </row>
    <row r="12" spans="1:11" ht="20.100000000000001" customHeight="1" x14ac:dyDescent="0.25">
      <c r="A12" s="298" t="s">
        <v>1009</v>
      </c>
      <c r="B12" s="299" t="s">
        <v>1008</v>
      </c>
      <c r="C12" s="300" t="s">
        <v>1007</v>
      </c>
      <c r="D12" s="301" t="s">
        <v>1006</v>
      </c>
      <c r="K12" s="168" t="s">
        <v>85</v>
      </c>
    </row>
    <row r="13" spans="1:11" ht="20.100000000000001" customHeight="1" x14ac:dyDescent="0.25">
      <c r="A13" s="302"/>
      <c r="B13" s="303" t="s">
        <v>1005</v>
      </c>
      <c r="C13" s="304">
        <f>SUM(C14,C32,C44,C45,C46,C47,C48,C49,C50,C51,C52)</f>
        <v>12209105.157287814</v>
      </c>
      <c r="D13" s="305">
        <f t="shared" ref="D13:D33" si="0">C13/$C$6/12</f>
        <v>44.3513808468416</v>
      </c>
      <c r="K13" s="168" t="s">
        <v>86</v>
      </c>
    </row>
    <row r="14" spans="1:11" ht="15" customHeight="1" x14ac:dyDescent="0.25">
      <c r="A14" s="306" t="s">
        <v>1004</v>
      </c>
      <c r="B14" s="303" t="s">
        <v>1003</v>
      </c>
      <c r="C14" s="304">
        <f>SUM(C15:C31)</f>
        <v>2430701.4322349047</v>
      </c>
      <c r="D14" s="305">
        <f t="shared" si="0"/>
        <v>8.8298825800237335</v>
      </c>
      <c r="K14" s="168" t="s">
        <v>88</v>
      </c>
    </row>
    <row r="15" spans="1:11" ht="20.100000000000001" customHeight="1" x14ac:dyDescent="0.25">
      <c r="A15" s="306" t="s">
        <v>1002</v>
      </c>
      <c r="B15" s="307" t="s">
        <v>341</v>
      </c>
      <c r="C15" s="308">
        <f>SUMIF(отчёт!$B:$B,$B$4,отчёт!$AM:$AM)</f>
        <v>173028</v>
      </c>
      <c r="D15" s="309">
        <f t="shared" si="0"/>
        <v>0.62854980985945175</v>
      </c>
      <c r="K15" s="168" t="s">
        <v>89</v>
      </c>
    </row>
    <row r="16" spans="1:11" ht="20.100000000000001" customHeight="1" x14ac:dyDescent="0.25">
      <c r="A16" s="306" t="s">
        <v>1001</v>
      </c>
      <c r="B16" s="307" t="s">
        <v>342</v>
      </c>
      <c r="C16" s="308">
        <f>SUMIF(отчёт!$B:$B,$B$4,отчёт!$AQ:$AQ)</f>
        <v>57965.312746062438</v>
      </c>
      <c r="D16" s="309">
        <f t="shared" si="0"/>
        <v>0.21056757464098988</v>
      </c>
      <c r="K16" s="168" t="s">
        <v>90</v>
      </c>
    </row>
    <row r="17" spans="1:11" ht="20.100000000000001" customHeight="1" x14ac:dyDescent="0.25">
      <c r="A17" s="306" t="s">
        <v>1000</v>
      </c>
      <c r="B17" s="307" t="s">
        <v>343</v>
      </c>
      <c r="C17" s="308">
        <f>SUMIF(отчёт!$B:$B,$B$4,отчёт!$AT:$AT)</f>
        <v>0</v>
      </c>
      <c r="D17" s="309">
        <f t="shared" si="0"/>
        <v>0</v>
      </c>
      <c r="K17" s="168" t="s">
        <v>91</v>
      </c>
    </row>
    <row r="18" spans="1:11" ht="20.100000000000001" customHeight="1" x14ac:dyDescent="0.25">
      <c r="A18" s="306" t="s">
        <v>999</v>
      </c>
      <c r="B18" s="307" t="s">
        <v>344</v>
      </c>
      <c r="C18" s="308">
        <f>SUMIF(отчёт!$B:$B,$B$4,отчёт!$AU:$AU)</f>
        <v>0</v>
      </c>
      <c r="D18" s="309">
        <f t="shared" si="0"/>
        <v>0</v>
      </c>
      <c r="K18" s="168" t="s">
        <v>92</v>
      </c>
    </row>
    <row r="19" spans="1:11" ht="20.100000000000001" customHeight="1" x14ac:dyDescent="0.25">
      <c r="A19" s="306" t="s">
        <v>998</v>
      </c>
      <c r="B19" s="307" t="s">
        <v>345</v>
      </c>
      <c r="C19" s="308">
        <f>SUMIF(отчёт!$B:$B,$B$4,отчёт!$AX:$AX)</f>
        <v>2128.8240000000001</v>
      </c>
      <c r="D19" s="309">
        <f t="shared" si="0"/>
        <v>7.7332681440243052E-3</v>
      </c>
      <c r="K19" s="168" t="s">
        <v>93</v>
      </c>
    </row>
    <row r="20" spans="1:11" ht="20.100000000000001" customHeight="1" x14ac:dyDescent="0.25">
      <c r="A20" s="306" t="s">
        <v>997</v>
      </c>
      <c r="B20" s="307" t="s">
        <v>346</v>
      </c>
      <c r="C20" s="308">
        <f>SUMIF(отчёт!$B:$B,$B$4,отчёт!$BA:$BA)</f>
        <v>95181.827999999994</v>
      </c>
      <c r="D20" s="309">
        <f t="shared" si="0"/>
        <v>0.34576207256325592</v>
      </c>
      <c r="K20" s="168" t="s">
        <v>94</v>
      </c>
    </row>
    <row r="21" spans="1:11" ht="20.100000000000001" customHeight="1" x14ac:dyDescent="0.25">
      <c r="A21" s="306" t="s">
        <v>996</v>
      </c>
      <c r="B21" s="307" t="s">
        <v>347</v>
      </c>
      <c r="C21" s="308">
        <f>SUMIF(отчёт!$B:$B,$B$4,отчёт!$BE:$BE)</f>
        <v>0</v>
      </c>
      <c r="D21" s="309">
        <f t="shared" si="0"/>
        <v>0</v>
      </c>
      <c r="K21" s="168" t="s">
        <v>96</v>
      </c>
    </row>
    <row r="22" spans="1:11" ht="20.100000000000001" customHeight="1" x14ac:dyDescent="0.25">
      <c r="A22" s="306" t="s">
        <v>995</v>
      </c>
      <c r="B22" s="307" t="s">
        <v>348</v>
      </c>
      <c r="C22" s="308">
        <f>SUMIF(отчёт!$B:$B,$B$4,отчёт!$BF:$BF)</f>
        <v>587206.48800000013</v>
      </c>
      <c r="D22" s="309">
        <f t="shared" si="0"/>
        <v>2.1331144461048877</v>
      </c>
      <c r="K22" s="168" t="s">
        <v>97</v>
      </c>
    </row>
    <row r="23" spans="1:11" ht="20.100000000000001" customHeight="1" x14ac:dyDescent="0.25">
      <c r="A23" s="306" t="s">
        <v>994</v>
      </c>
      <c r="B23" s="307" t="s">
        <v>349</v>
      </c>
      <c r="C23" s="308">
        <f>SUMIF(отчёт!$B:$B,$B$4,отчёт!$BM:$BM)</f>
        <v>0</v>
      </c>
      <c r="D23" s="309">
        <f t="shared" si="0"/>
        <v>0</v>
      </c>
      <c r="K23" s="168" t="s">
        <v>99</v>
      </c>
    </row>
    <row r="24" spans="1:11" ht="20.100000000000001" customHeight="1" x14ac:dyDescent="0.25">
      <c r="A24" s="306" t="s">
        <v>993</v>
      </c>
      <c r="B24" s="307" t="s">
        <v>350</v>
      </c>
      <c r="C24" s="308">
        <f>SUMIF(отчёт!$B:$B,$B$4,отчёт!$BP:$BP)</f>
        <v>0</v>
      </c>
      <c r="D24" s="309">
        <f t="shared" si="0"/>
        <v>0</v>
      </c>
      <c r="K24" s="168" t="s">
        <v>100</v>
      </c>
    </row>
    <row r="25" spans="1:11" ht="20.100000000000001" customHeight="1" x14ac:dyDescent="0.25">
      <c r="A25" s="306" t="s">
        <v>992</v>
      </c>
      <c r="B25" s="307" t="s">
        <v>827</v>
      </c>
      <c r="C25" s="308">
        <f>SUMIF(отчёт!$B:$B,$B$4,отчёт!$BQ:$BQ)</f>
        <v>0</v>
      </c>
      <c r="D25" s="309">
        <f t="shared" si="0"/>
        <v>0</v>
      </c>
      <c r="K25" s="168" t="s">
        <v>101</v>
      </c>
    </row>
    <row r="26" spans="1:11" ht="20.100000000000001" customHeight="1" x14ac:dyDescent="0.25">
      <c r="A26" s="306" t="s">
        <v>991</v>
      </c>
      <c r="B26" s="307" t="s">
        <v>989</v>
      </c>
      <c r="C26" s="308">
        <f>SUMIF(отчёт!$B:$B,$B$4,отчёт!$BR:$BR)</f>
        <v>0</v>
      </c>
      <c r="D26" s="309">
        <f t="shared" si="0"/>
        <v>0</v>
      </c>
      <c r="K26" s="168" t="s">
        <v>103</v>
      </c>
    </row>
    <row r="27" spans="1:11" ht="20.100000000000001" customHeight="1" x14ac:dyDescent="0.25">
      <c r="A27" s="306" t="s">
        <v>990</v>
      </c>
      <c r="B27" s="307" t="s">
        <v>352</v>
      </c>
      <c r="C27" s="308">
        <f>SUMIF(отчёт!$B:$B,$B$4,отчёт!$BS:$BS)</f>
        <v>0</v>
      </c>
      <c r="D27" s="309">
        <f t="shared" si="0"/>
        <v>0</v>
      </c>
      <c r="K27" s="168" t="s">
        <v>104</v>
      </c>
    </row>
    <row r="28" spans="1:11" ht="20.100000000000001" customHeight="1" x14ac:dyDescent="0.25">
      <c r="A28" s="306" t="s">
        <v>988</v>
      </c>
      <c r="B28" s="307" t="s">
        <v>385</v>
      </c>
      <c r="C28" s="308">
        <f>SUMIF(отчёт!$B:$B,$B$4,отчёт!$BV:$BV)</f>
        <v>0</v>
      </c>
      <c r="D28" s="309">
        <f t="shared" si="0"/>
        <v>0</v>
      </c>
      <c r="K28" s="168" t="s">
        <v>105</v>
      </c>
    </row>
    <row r="29" spans="1:11" ht="20.100000000000001" customHeight="1" x14ac:dyDescent="0.25">
      <c r="A29" s="306" t="s">
        <v>987</v>
      </c>
      <c r="B29" s="307" t="s">
        <v>876</v>
      </c>
      <c r="C29" s="308">
        <f>SUMIF(отчёт!$B:$B,$B$4,отчёт!$BW:$BW)</f>
        <v>0</v>
      </c>
      <c r="D29" s="309">
        <f t="shared" si="0"/>
        <v>0</v>
      </c>
      <c r="K29" s="168" t="s">
        <v>107</v>
      </c>
    </row>
    <row r="30" spans="1:11" ht="20.100000000000001" customHeight="1" x14ac:dyDescent="0.25">
      <c r="A30" s="306" t="s">
        <v>986</v>
      </c>
      <c r="B30" s="307" t="s">
        <v>773</v>
      </c>
      <c r="C30" s="308">
        <f>SUMIF(отчёт!$B:$B,$B$4,отчёт!$BX:$BX)</f>
        <v>0</v>
      </c>
      <c r="D30" s="309">
        <f t="shared" si="0"/>
        <v>0</v>
      </c>
      <c r="K30" s="168" t="s">
        <v>108</v>
      </c>
    </row>
    <row r="31" spans="1:11" ht="20.100000000000001" customHeight="1" x14ac:dyDescent="0.25">
      <c r="A31" s="306" t="s">
        <v>985</v>
      </c>
      <c r="B31" s="307" t="s">
        <v>1036</v>
      </c>
      <c r="C31" s="308">
        <f>SUMIF(отчёт!$B:$B,$B$4,отчёт!$AE:$AE)</f>
        <v>1515190.9794888424</v>
      </c>
      <c r="D31" s="309">
        <f t="shared" si="0"/>
        <v>5.5041554087111244</v>
      </c>
      <c r="K31" s="168" t="s">
        <v>109</v>
      </c>
    </row>
    <row r="32" spans="1:11" ht="15" customHeight="1" x14ac:dyDescent="0.25">
      <c r="A32" s="306" t="s">
        <v>984</v>
      </c>
      <c r="B32" s="310" t="s">
        <v>983</v>
      </c>
      <c r="C32" s="311">
        <f>SUM(C33:C43)</f>
        <v>1970705.6411203176</v>
      </c>
      <c r="D32" s="312">
        <f t="shared" si="0"/>
        <v>7.1588798114474228</v>
      </c>
      <c r="K32" s="168" t="s">
        <v>110</v>
      </c>
    </row>
    <row r="33" spans="1:11" ht="20.100000000000001" customHeight="1" x14ac:dyDescent="0.25">
      <c r="A33" s="306" t="s">
        <v>982</v>
      </c>
      <c r="B33" s="313" t="s">
        <v>355</v>
      </c>
      <c r="C33" s="308">
        <f>SUMIF(отчёт!$B:$B,$B$4,отчёт!$CF:$CF)+SUMIF(отчёт!$B:$B,$B$4,отчёт!$CG:$CG)</f>
        <v>13509.582220783668</v>
      </c>
      <c r="D33" s="309">
        <f t="shared" si="0"/>
        <v>4.9075556188329088E-2</v>
      </c>
      <c r="K33" s="168" t="s">
        <v>113</v>
      </c>
    </row>
    <row r="34" spans="1:11" ht="20.100000000000001" customHeight="1" x14ac:dyDescent="0.25">
      <c r="A34" s="306" t="s">
        <v>981</v>
      </c>
      <c r="B34" s="313" t="s">
        <v>386</v>
      </c>
      <c r="C34" s="308">
        <f>SUMIF(отчёт!$B:$B,$B$4,отчёт!$CI:$CI)</f>
        <v>0</v>
      </c>
      <c r="D34" s="309">
        <f t="shared" ref="D34:D43" si="1">C34/$C$6/12</f>
        <v>0</v>
      </c>
      <c r="K34" s="168" t="s">
        <v>114</v>
      </c>
    </row>
    <row r="35" spans="1:11" ht="20.100000000000001" customHeight="1" x14ac:dyDescent="0.25">
      <c r="A35" s="306" t="s">
        <v>980</v>
      </c>
      <c r="B35" s="313" t="s">
        <v>356</v>
      </c>
      <c r="C35" s="308">
        <f>SUMIF(отчёт!$B:$B,$B$4,отчёт!$CH:$CH)</f>
        <v>7956.1636563958527</v>
      </c>
      <c r="D35" s="309">
        <f t="shared" si="1"/>
        <v>2.8901941613139456E-2</v>
      </c>
      <c r="K35" s="168" t="s">
        <v>116</v>
      </c>
    </row>
    <row r="36" spans="1:11" ht="20.100000000000001" customHeight="1" x14ac:dyDescent="0.25">
      <c r="A36" s="306" t="s">
        <v>979</v>
      </c>
      <c r="B36" s="313" t="s">
        <v>357</v>
      </c>
      <c r="C36" s="308">
        <f>SUMIF(отчёт!$B:$B,$B$4,отчёт!$CE:$CE)</f>
        <v>104638.224</v>
      </c>
      <c r="D36" s="309">
        <f t="shared" si="1"/>
        <v>0.38011383012709343</v>
      </c>
      <c r="K36" s="168" t="s">
        <v>117</v>
      </c>
    </row>
    <row r="37" spans="1:11" ht="20.100000000000001" customHeight="1" x14ac:dyDescent="0.25">
      <c r="A37" s="306" t="s">
        <v>978</v>
      </c>
      <c r="B37" s="313" t="s">
        <v>358</v>
      </c>
      <c r="C37" s="308">
        <f>SUMIF(отчёт!$B:$B,$B$4,отчёт!$CD:$CD)</f>
        <v>148482.74100051957</v>
      </c>
      <c r="D37" s="309">
        <f t="shared" si="1"/>
        <v>0.53938552502072956</v>
      </c>
      <c r="K37" s="168" t="s">
        <v>118</v>
      </c>
    </row>
    <row r="38" spans="1:11" ht="20.100000000000001" customHeight="1" x14ac:dyDescent="0.25">
      <c r="A38" s="306" t="s">
        <v>977</v>
      </c>
      <c r="B38" s="313" t="s">
        <v>870</v>
      </c>
      <c r="C38" s="308">
        <f>SUMIF(отчёт!$B:$B,$B$4,отчёт!$CK:$CK)</f>
        <v>0</v>
      </c>
      <c r="D38" s="309">
        <f t="shared" si="1"/>
        <v>0</v>
      </c>
      <c r="K38" s="168" t="s">
        <v>119</v>
      </c>
    </row>
    <row r="39" spans="1:11" ht="20.100000000000001" customHeight="1" x14ac:dyDescent="0.25">
      <c r="A39" s="306" t="s">
        <v>976</v>
      </c>
      <c r="B39" s="313" t="s">
        <v>360</v>
      </c>
      <c r="C39" s="308">
        <f>SUMIF(отчёт!$B:$B,$B$4,отчёт!$CL:$CL)</f>
        <v>7876.3464995608383</v>
      </c>
      <c r="D39" s="309">
        <f t="shared" si="1"/>
        <v>2.8611993981818684E-2</v>
      </c>
      <c r="K39" s="168" t="s">
        <v>120</v>
      </c>
    </row>
    <row r="40" spans="1:11" ht="20.100000000000001" customHeight="1" x14ac:dyDescent="0.25">
      <c r="A40" s="306" t="s">
        <v>975</v>
      </c>
      <c r="B40" s="313" t="s">
        <v>826</v>
      </c>
      <c r="C40" s="308">
        <f>SUMIF(отчёт!$B:$B,$B$4,отчёт!$CJ:$CJ)</f>
        <v>0</v>
      </c>
      <c r="D40" s="309">
        <f t="shared" si="1"/>
        <v>0</v>
      </c>
      <c r="K40" s="168" t="s">
        <v>121</v>
      </c>
    </row>
    <row r="41" spans="1:11" ht="20.100000000000001" customHeight="1" x14ac:dyDescent="0.25">
      <c r="A41" s="306" t="s">
        <v>974</v>
      </c>
      <c r="B41" s="313" t="s">
        <v>759</v>
      </c>
      <c r="C41" s="308">
        <f>SUMIF(отчёт!$B:$B,$B$4,отчёт!$CM:$CM)</f>
        <v>127200</v>
      </c>
      <c r="D41" s="309">
        <f t="shared" si="1"/>
        <v>0.46207281950968787</v>
      </c>
      <c r="K41" s="168" t="s">
        <v>122</v>
      </c>
    </row>
    <row r="42" spans="1:11" ht="20.100000000000001" customHeight="1" x14ac:dyDescent="0.25">
      <c r="A42" s="306" t="s">
        <v>1023</v>
      </c>
      <c r="B42" s="313" t="s">
        <v>587</v>
      </c>
      <c r="C42" s="308">
        <f>SUMIF(отчёт!$B:$B,$B$4,отчёт!$CN:$CN)</f>
        <v>0</v>
      </c>
      <c r="D42" s="309">
        <f t="shared" si="1"/>
        <v>0</v>
      </c>
      <c r="K42" s="168" t="s">
        <v>123</v>
      </c>
    </row>
    <row r="43" spans="1:11" ht="20.100000000000001" customHeight="1" x14ac:dyDescent="0.25">
      <c r="A43" s="306" t="s">
        <v>1024</v>
      </c>
      <c r="B43" s="313" t="s">
        <v>973</v>
      </c>
      <c r="C43" s="308">
        <f>SUMIF(отчёт!$B:$B,$B$4,отчёт!$BZ:$BZ)+SUMIF(отчёт!$B:$B,$B$4,отчёт!$CA:$CA)+SUMIF(отчёт!$B:$B,$B$4,отчёт!$CB:$CB)+SUMIF(отчёт!$B:$B,$B$4,отчёт!$CC:$CC)</f>
        <v>1561042.5837430577</v>
      </c>
      <c r="D43" s="309">
        <f t="shared" si="1"/>
        <v>5.6707181450066244</v>
      </c>
      <c r="K43" s="168" t="s">
        <v>124</v>
      </c>
    </row>
    <row r="44" spans="1:11" ht="15" customHeight="1" x14ac:dyDescent="0.25">
      <c r="A44" s="306" t="s">
        <v>972</v>
      </c>
      <c r="B44" s="314" t="s">
        <v>971</v>
      </c>
      <c r="C44" s="304">
        <f>SUMIF(отчёт!$B:$B,$B$4,отчёт!$CO:$CO)</f>
        <v>2642210.3875646666</v>
      </c>
      <c r="D44" s="305">
        <f t="shared" ref="D44:D52" si="2">C44/$C$6/12</f>
        <v>9.598220153457472</v>
      </c>
      <c r="K44" s="168" t="s">
        <v>125</v>
      </c>
    </row>
    <row r="45" spans="1:11" ht="15" customHeight="1" x14ac:dyDescent="0.25">
      <c r="A45" s="306" t="s">
        <v>970</v>
      </c>
      <c r="B45" s="314" t="s">
        <v>363</v>
      </c>
      <c r="C45" s="304">
        <f>SUMIF(отчёт!$B:$B,$B$4,отчёт!$CZ:$CZ)-(SUMIF(отчёт!$B:$B,$B$4,отчёт!$DD:$DD)+SUMIF(отчёт!$B:$B,$B$4,отчёт!$DF:$DF)+SUMIF(отчёт!$B:$B,$B$4,отчёт!$DG:$DG))+SUMIF(отчёт!$B:$B,$B$4,отчёт!$DG:$DG)</f>
        <v>593929.00343279587</v>
      </c>
      <c r="D45" s="305">
        <f t="shared" si="2"/>
        <v>2.1575349780249296</v>
      </c>
      <c r="K45" s="168" t="s">
        <v>126</v>
      </c>
    </row>
    <row r="46" spans="1:11" ht="15" customHeight="1" x14ac:dyDescent="0.25">
      <c r="A46" s="306" t="s">
        <v>969</v>
      </c>
      <c r="B46" s="314" t="s">
        <v>23</v>
      </c>
      <c r="C46" s="304">
        <f>SUMIF(отчёт!$B:$B,$B$4,отчёт!$DM:$DM)</f>
        <v>1289687.0208515842</v>
      </c>
      <c r="D46" s="305">
        <f t="shared" si="2"/>
        <v>4.6849789151724925</v>
      </c>
      <c r="K46" s="168" t="s">
        <v>127</v>
      </c>
    </row>
    <row r="47" spans="1:11" ht="15" customHeight="1" x14ac:dyDescent="0.25">
      <c r="A47" s="306" t="s">
        <v>968</v>
      </c>
      <c r="B47" s="314" t="s">
        <v>24</v>
      </c>
      <c r="C47" s="304">
        <f>SUMIF(отчёт!$B:$B,$B$4,отчёт!$DN:$DN)</f>
        <v>1143684.7166042351</v>
      </c>
      <c r="D47" s="305">
        <f t="shared" si="2"/>
        <v>4.154603943643532</v>
      </c>
      <c r="K47" s="168" t="s">
        <v>128</v>
      </c>
    </row>
    <row r="48" spans="1:11" ht="15" customHeight="1" x14ac:dyDescent="0.25">
      <c r="A48" s="306" t="s">
        <v>966</v>
      </c>
      <c r="B48" s="314" t="s">
        <v>967</v>
      </c>
      <c r="C48" s="304">
        <f>SUMIF(отчёт!$B:$B,$B$4,отчёт!$DO:$DO)</f>
        <v>663945.62505266059</v>
      </c>
      <c r="D48" s="305">
        <f t="shared" si="2"/>
        <v>2.411880715166705</v>
      </c>
      <c r="K48" s="168" t="s">
        <v>129</v>
      </c>
    </row>
    <row r="49" spans="1:11" ht="15" customHeight="1" x14ac:dyDescent="0.25">
      <c r="A49" s="306" t="s">
        <v>964</v>
      </c>
      <c r="B49" s="315" t="s">
        <v>965</v>
      </c>
      <c r="C49" s="304">
        <f>SUMIF(отчёт!$B:$B,$B$4,отчёт!$DP:$DP)</f>
        <v>1002993.0580317581</v>
      </c>
      <c r="D49" s="305">
        <f t="shared" si="2"/>
        <v>3.6435206782498302</v>
      </c>
      <c r="K49" s="168" t="s">
        <v>130</v>
      </c>
    </row>
    <row r="50" spans="1:11" ht="15" customHeight="1" x14ac:dyDescent="0.25">
      <c r="A50" s="306" t="s">
        <v>962</v>
      </c>
      <c r="B50" s="314" t="s">
        <v>963</v>
      </c>
      <c r="C50" s="304">
        <f>SUMIF(отчёт!$B:$B,$B$4,отчёт!$DT:$DT)</f>
        <v>0</v>
      </c>
      <c r="D50" s="305">
        <f t="shared" si="2"/>
        <v>0</v>
      </c>
      <c r="K50" s="168" t="s">
        <v>131</v>
      </c>
    </row>
    <row r="51" spans="1:11" ht="15" customHeight="1" x14ac:dyDescent="0.25">
      <c r="A51" s="306" t="s">
        <v>960</v>
      </c>
      <c r="B51" s="314" t="s">
        <v>961</v>
      </c>
      <c r="C51" s="304">
        <f>SUMIF(отчёт!$B:$B,$B$4,отчёт!$DH:$DH)</f>
        <v>409311.48678167642</v>
      </c>
      <c r="D51" s="305">
        <f t="shared" si="2"/>
        <v>1.4868845342367258</v>
      </c>
      <c r="K51" s="168" t="s">
        <v>132</v>
      </c>
    </row>
    <row r="52" spans="1:11" ht="15" customHeight="1" thickBot="1" x14ac:dyDescent="0.3">
      <c r="A52" s="316" t="s">
        <v>1025</v>
      </c>
      <c r="B52" s="317" t="s">
        <v>1037</v>
      </c>
      <c r="C52" s="318">
        <f>SUMIF(отчёт!$B:$B,$B$4,отчёт!$DD:$DD)+SUMIF(отчёт!$B:$B,$B$4,отчёт!$DF:$DF)+SUMIF(отчёт!$B:$B,$B$4,отчёт!$DY:$DY)</f>
        <v>61936.785613215339</v>
      </c>
      <c r="D52" s="319">
        <f t="shared" si="2"/>
        <v>0.22499453741875378</v>
      </c>
      <c r="K52" s="168" t="s">
        <v>133</v>
      </c>
    </row>
    <row r="53" spans="1:11" ht="15" customHeight="1" x14ac:dyDescent="0.25">
      <c r="A53" s="172"/>
      <c r="B53" s="174"/>
      <c r="C53" s="173"/>
      <c r="D53" s="169"/>
      <c r="K53" s="168" t="s">
        <v>134</v>
      </c>
    </row>
    <row r="54" spans="1:11" ht="15" customHeight="1" x14ac:dyDescent="0.25">
      <c r="A54" s="172"/>
      <c r="B54" s="174"/>
      <c r="C54" s="173"/>
      <c r="D54" s="169"/>
      <c r="K54" s="168" t="s">
        <v>135</v>
      </c>
    </row>
    <row r="55" spans="1:11" ht="15" customHeight="1" x14ac:dyDescent="0.25">
      <c r="A55" s="172"/>
      <c r="B55" s="174"/>
      <c r="C55" s="173"/>
      <c r="D55" s="169"/>
      <c r="K55" s="168" t="s">
        <v>136</v>
      </c>
    </row>
    <row r="56" spans="1:11" ht="15" customHeight="1" x14ac:dyDescent="0.25">
      <c r="A56" s="275" t="s">
        <v>959</v>
      </c>
      <c r="B56" s="275"/>
      <c r="C56" s="275"/>
      <c r="D56" s="275"/>
      <c r="K56" s="168" t="s">
        <v>137</v>
      </c>
    </row>
    <row r="57" spans="1:11" ht="15" customHeight="1" x14ac:dyDescent="0.25">
      <c r="A57" s="172"/>
      <c r="B57" s="171"/>
      <c r="C57" s="170"/>
      <c r="D57" s="169"/>
      <c r="K57" s="168" t="s">
        <v>138</v>
      </c>
    </row>
    <row r="58" spans="1:11" ht="15" customHeight="1" x14ac:dyDescent="0.25">
      <c r="A58" s="275" t="s">
        <v>958</v>
      </c>
      <c r="B58" s="275"/>
      <c r="C58" s="275"/>
      <c r="D58" s="275"/>
      <c r="K58" s="168" t="s">
        <v>139</v>
      </c>
    </row>
    <row r="59" spans="1:11" ht="15" customHeight="1" x14ac:dyDescent="0.25">
      <c r="K59" s="168" t="s">
        <v>140</v>
      </c>
    </row>
    <row r="60" spans="1:11" ht="15" customHeight="1" x14ac:dyDescent="0.25">
      <c r="K60" s="168" t="s">
        <v>141</v>
      </c>
    </row>
    <row r="61" spans="1:11" ht="15" customHeight="1" x14ac:dyDescent="0.25">
      <c r="K61" s="168" t="s">
        <v>142</v>
      </c>
    </row>
    <row r="62" spans="1:11" ht="15" customHeight="1" x14ac:dyDescent="0.25">
      <c r="K62" s="168" t="s">
        <v>144</v>
      </c>
    </row>
    <row r="63" spans="1:11" ht="15" customHeight="1" x14ac:dyDescent="0.25">
      <c r="K63" s="168" t="s">
        <v>145</v>
      </c>
    </row>
    <row r="64" spans="1:11" ht="15" customHeight="1" x14ac:dyDescent="0.25">
      <c r="K64" s="168" t="s">
        <v>146</v>
      </c>
    </row>
    <row r="65" spans="11:11" ht="15" customHeight="1" x14ac:dyDescent="0.25">
      <c r="K65" s="168" t="s">
        <v>147</v>
      </c>
    </row>
    <row r="66" spans="11:11" ht="15" customHeight="1" x14ac:dyDescent="0.25">
      <c r="K66" s="168" t="s">
        <v>148</v>
      </c>
    </row>
    <row r="67" spans="11:11" ht="15" customHeight="1" x14ac:dyDescent="0.25">
      <c r="K67" s="168" t="s">
        <v>149</v>
      </c>
    </row>
    <row r="68" spans="11:11" ht="15" customHeight="1" x14ac:dyDescent="0.25">
      <c r="K68" s="168" t="s">
        <v>150</v>
      </c>
    </row>
    <row r="69" spans="11:11" ht="15" customHeight="1" x14ac:dyDescent="0.25">
      <c r="K69" s="168" t="s">
        <v>151</v>
      </c>
    </row>
    <row r="70" spans="11:11" ht="15" customHeight="1" x14ac:dyDescent="0.25">
      <c r="K70" s="168" t="s">
        <v>152</v>
      </c>
    </row>
    <row r="71" spans="11:11" ht="15" customHeight="1" x14ac:dyDescent="0.25">
      <c r="K71" s="168" t="s">
        <v>154</v>
      </c>
    </row>
    <row r="72" spans="11:11" ht="15" customHeight="1" x14ac:dyDescent="0.25">
      <c r="K72" s="168" t="s">
        <v>155</v>
      </c>
    </row>
    <row r="73" spans="11:11" ht="15" customHeight="1" x14ac:dyDescent="0.25">
      <c r="K73" s="168" t="s">
        <v>156</v>
      </c>
    </row>
    <row r="74" spans="11:11" ht="15" customHeight="1" x14ac:dyDescent="0.25">
      <c r="K74" s="168" t="s">
        <v>157</v>
      </c>
    </row>
    <row r="75" spans="11:11" ht="15" customHeight="1" x14ac:dyDescent="0.25">
      <c r="K75" s="168" t="s">
        <v>158</v>
      </c>
    </row>
    <row r="76" spans="11:11" ht="15" customHeight="1" x14ac:dyDescent="0.25">
      <c r="K76" s="168" t="s">
        <v>159</v>
      </c>
    </row>
    <row r="77" spans="11:11" ht="15" customHeight="1" x14ac:dyDescent="0.25">
      <c r="K77" s="168" t="s">
        <v>161</v>
      </c>
    </row>
    <row r="78" spans="11:11" ht="15" customHeight="1" x14ac:dyDescent="0.25">
      <c r="K78" s="168" t="s">
        <v>162</v>
      </c>
    </row>
    <row r="79" spans="11:11" ht="15" customHeight="1" x14ac:dyDescent="0.25">
      <c r="K79" s="168" t="s">
        <v>163</v>
      </c>
    </row>
    <row r="80" spans="11:11" ht="15" customHeight="1" x14ac:dyDescent="0.25">
      <c r="K80" s="168" t="s">
        <v>164</v>
      </c>
    </row>
    <row r="81" spans="11:11" ht="15" customHeight="1" x14ac:dyDescent="0.25">
      <c r="K81" s="168" t="s">
        <v>165</v>
      </c>
    </row>
    <row r="82" spans="11:11" ht="15" customHeight="1" x14ac:dyDescent="0.25">
      <c r="K82" s="168" t="s">
        <v>166</v>
      </c>
    </row>
    <row r="83" spans="11:11" ht="15" customHeight="1" x14ac:dyDescent="0.25">
      <c r="K83" s="168" t="s">
        <v>167</v>
      </c>
    </row>
    <row r="84" spans="11:11" ht="15" customHeight="1" x14ac:dyDescent="0.25">
      <c r="K84" s="168" t="s">
        <v>168</v>
      </c>
    </row>
    <row r="85" spans="11:11" ht="15" customHeight="1" x14ac:dyDescent="0.25">
      <c r="K85" s="168" t="s">
        <v>169</v>
      </c>
    </row>
    <row r="86" spans="11:11" ht="15" customHeight="1" x14ac:dyDescent="0.25">
      <c r="K86" s="168" t="s">
        <v>170</v>
      </c>
    </row>
    <row r="87" spans="11:11" ht="15" customHeight="1" x14ac:dyDescent="0.25">
      <c r="K87" s="168" t="s">
        <v>171</v>
      </c>
    </row>
    <row r="88" spans="11:11" ht="15" customHeight="1" x14ac:dyDescent="0.25">
      <c r="K88" s="168" t="s">
        <v>172</v>
      </c>
    </row>
    <row r="89" spans="11:11" ht="15" customHeight="1" x14ac:dyDescent="0.25">
      <c r="K89" s="168" t="s">
        <v>173</v>
      </c>
    </row>
    <row r="90" spans="11:11" ht="15" customHeight="1" x14ac:dyDescent="0.25">
      <c r="K90" s="168" t="s">
        <v>174</v>
      </c>
    </row>
    <row r="91" spans="11:11" ht="15" customHeight="1" x14ac:dyDescent="0.25">
      <c r="K91" s="168" t="s">
        <v>175</v>
      </c>
    </row>
    <row r="92" spans="11:11" ht="15" customHeight="1" x14ac:dyDescent="0.25">
      <c r="K92" s="168" t="s">
        <v>176</v>
      </c>
    </row>
    <row r="93" spans="11:11" ht="15" customHeight="1" x14ac:dyDescent="0.25">
      <c r="K93" s="168" t="s">
        <v>177</v>
      </c>
    </row>
    <row r="94" spans="11:11" ht="15" customHeight="1" x14ac:dyDescent="0.25">
      <c r="K94" s="168" t="s">
        <v>178</v>
      </c>
    </row>
    <row r="95" spans="11:11" ht="15" customHeight="1" x14ac:dyDescent="0.25">
      <c r="K95" s="168" t="s">
        <v>179</v>
      </c>
    </row>
    <row r="96" spans="11:11" ht="15" customHeight="1" x14ac:dyDescent="0.25">
      <c r="K96" s="168" t="s">
        <v>180</v>
      </c>
    </row>
    <row r="97" spans="11:11" ht="15" customHeight="1" x14ac:dyDescent="0.25">
      <c r="K97" s="168" t="s">
        <v>181</v>
      </c>
    </row>
    <row r="98" spans="11:11" ht="15" customHeight="1" x14ac:dyDescent="0.25">
      <c r="K98" s="168" t="s">
        <v>182</v>
      </c>
    </row>
    <row r="99" spans="11:11" ht="15" customHeight="1" x14ac:dyDescent="0.25">
      <c r="K99" s="168" t="s">
        <v>183</v>
      </c>
    </row>
    <row r="100" spans="11:11" ht="15" customHeight="1" x14ac:dyDescent="0.25">
      <c r="K100" s="168" t="s">
        <v>184</v>
      </c>
    </row>
    <row r="101" spans="11:11" ht="15" customHeight="1" x14ac:dyDescent="0.25">
      <c r="K101" s="168" t="s">
        <v>185</v>
      </c>
    </row>
    <row r="102" spans="11:11" ht="15" customHeight="1" x14ac:dyDescent="0.25">
      <c r="K102" s="168" t="s">
        <v>186</v>
      </c>
    </row>
    <row r="103" spans="11:11" ht="15" customHeight="1" x14ac:dyDescent="0.25">
      <c r="K103" s="168" t="s">
        <v>187</v>
      </c>
    </row>
    <row r="104" spans="11:11" ht="15" customHeight="1" x14ac:dyDescent="0.25">
      <c r="K104" s="168" t="s">
        <v>188</v>
      </c>
    </row>
    <row r="105" spans="11:11" ht="15" customHeight="1" x14ac:dyDescent="0.25">
      <c r="K105" s="168" t="s">
        <v>189</v>
      </c>
    </row>
    <row r="106" spans="11:11" ht="15" customHeight="1" x14ac:dyDescent="0.25">
      <c r="K106" s="168" t="s">
        <v>190</v>
      </c>
    </row>
    <row r="107" spans="11:11" ht="15" customHeight="1" x14ac:dyDescent="0.25">
      <c r="K107" s="168" t="s">
        <v>191</v>
      </c>
    </row>
    <row r="108" spans="11:11" ht="15" customHeight="1" x14ac:dyDescent="0.25">
      <c r="K108" s="168" t="s">
        <v>192</v>
      </c>
    </row>
    <row r="109" spans="11:11" ht="15" customHeight="1" x14ac:dyDescent="0.25">
      <c r="K109" s="168" t="s">
        <v>193</v>
      </c>
    </row>
    <row r="110" spans="11:11" ht="15" customHeight="1" x14ac:dyDescent="0.25">
      <c r="K110" s="168" t="s">
        <v>194</v>
      </c>
    </row>
    <row r="111" spans="11:11" ht="15" customHeight="1" x14ac:dyDescent="0.25">
      <c r="K111" s="168" t="s">
        <v>195</v>
      </c>
    </row>
    <row r="112" spans="11:11" ht="15" customHeight="1" x14ac:dyDescent="0.25">
      <c r="K112" s="168" t="s">
        <v>196</v>
      </c>
    </row>
    <row r="113" spans="11:11" ht="15" customHeight="1" x14ac:dyDescent="0.25">
      <c r="K113" s="168" t="s">
        <v>197</v>
      </c>
    </row>
    <row r="114" spans="11:11" ht="15" customHeight="1" x14ac:dyDescent="0.25">
      <c r="K114" s="168" t="s">
        <v>198</v>
      </c>
    </row>
    <row r="115" spans="11:11" ht="15" customHeight="1" x14ac:dyDescent="0.25">
      <c r="K115" s="168" t="s">
        <v>199</v>
      </c>
    </row>
    <row r="116" spans="11:11" ht="15" customHeight="1" x14ac:dyDescent="0.25">
      <c r="K116" s="168" t="s">
        <v>200</v>
      </c>
    </row>
    <row r="117" spans="11:11" ht="15" customHeight="1" x14ac:dyDescent="0.25">
      <c r="K117" s="168" t="s">
        <v>201</v>
      </c>
    </row>
    <row r="118" spans="11:11" ht="15" customHeight="1" x14ac:dyDescent="0.25">
      <c r="K118" s="168" t="s">
        <v>202</v>
      </c>
    </row>
    <row r="119" spans="11:11" ht="15" customHeight="1" x14ac:dyDescent="0.25">
      <c r="K119" s="168" t="s">
        <v>203</v>
      </c>
    </row>
    <row r="120" spans="11:11" ht="15" customHeight="1" x14ac:dyDescent="0.25">
      <c r="K120" s="168" t="s">
        <v>204</v>
      </c>
    </row>
    <row r="121" spans="11:11" ht="15" customHeight="1" x14ac:dyDescent="0.25">
      <c r="K121" s="168" t="s">
        <v>205</v>
      </c>
    </row>
    <row r="122" spans="11:11" ht="15" customHeight="1" x14ac:dyDescent="0.25">
      <c r="K122" s="168" t="s">
        <v>206</v>
      </c>
    </row>
    <row r="123" spans="11:11" ht="15" customHeight="1" x14ac:dyDescent="0.25">
      <c r="K123" s="168" t="s">
        <v>207</v>
      </c>
    </row>
    <row r="124" spans="11:11" ht="15" customHeight="1" x14ac:dyDescent="0.25">
      <c r="K124" s="168" t="s">
        <v>208</v>
      </c>
    </row>
    <row r="125" spans="11:11" ht="15" customHeight="1" x14ac:dyDescent="0.25">
      <c r="K125" s="168" t="s">
        <v>209</v>
      </c>
    </row>
    <row r="126" spans="11:11" ht="15" customHeight="1" x14ac:dyDescent="0.25">
      <c r="K126" s="168" t="s">
        <v>210</v>
      </c>
    </row>
    <row r="127" spans="11:11" ht="15" customHeight="1" x14ac:dyDescent="0.25">
      <c r="K127" s="168" t="s">
        <v>211</v>
      </c>
    </row>
    <row r="128" spans="11:11" ht="15" customHeight="1" x14ac:dyDescent="0.25">
      <c r="K128" s="168" t="s">
        <v>212</v>
      </c>
    </row>
    <row r="129" spans="11:11" ht="15" customHeight="1" x14ac:dyDescent="0.25">
      <c r="K129" s="168" t="s">
        <v>213</v>
      </c>
    </row>
    <row r="130" spans="11:11" ht="15" customHeight="1" x14ac:dyDescent="0.25">
      <c r="K130" s="168" t="s">
        <v>214</v>
      </c>
    </row>
    <row r="131" spans="11:11" ht="15" customHeight="1" x14ac:dyDescent="0.25">
      <c r="K131" s="168" t="s">
        <v>215</v>
      </c>
    </row>
    <row r="132" spans="11:11" ht="15" customHeight="1" x14ac:dyDescent="0.25">
      <c r="K132" s="168" t="s">
        <v>216</v>
      </c>
    </row>
    <row r="133" spans="11:11" ht="15" customHeight="1" x14ac:dyDescent="0.25">
      <c r="K133" s="168" t="s">
        <v>217</v>
      </c>
    </row>
    <row r="134" spans="11:11" ht="15" customHeight="1" x14ac:dyDescent="0.25">
      <c r="K134" s="168" t="s">
        <v>218</v>
      </c>
    </row>
    <row r="135" spans="11:11" ht="15" customHeight="1" x14ac:dyDescent="0.25">
      <c r="K135" s="168" t="s">
        <v>219</v>
      </c>
    </row>
    <row r="136" spans="11:11" ht="15" customHeight="1" x14ac:dyDescent="0.25">
      <c r="K136" s="168" t="s">
        <v>220</v>
      </c>
    </row>
    <row r="137" spans="11:11" ht="15" customHeight="1" x14ac:dyDescent="0.25">
      <c r="K137" s="168" t="s">
        <v>221</v>
      </c>
    </row>
    <row r="138" spans="11:11" ht="15" customHeight="1" x14ac:dyDescent="0.25">
      <c r="K138" s="168" t="s">
        <v>222</v>
      </c>
    </row>
    <row r="139" spans="11:11" ht="15" customHeight="1" x14ac:dyDescent="0.25">
      <c r="K139" s="168" t="s">
        <v>223</v>
      </c>
    </row>
    <row r="140" spans="11:11" ht="15" customHeight="1" x14ac:dyDescent="0.25">
      <c r="K140" s="168" t="s">
        <v>224</v>
      </c>
    </row>
    <row r="141" spans="11:11" ht="15" customHeight="1" x14ac:dyDescent="0.25">
      <c r="K141" s="168" t="s">
        <v>225</v>
      </c>
    </row>
    <row r="142" spans="11:11" ht="15" customHeight="1" x14ac:dyDescent="0.25">
      <c r="K142" s="168" t="s">
        <v>226</v>
      </c>
    </row>
    <row r="143" spans="11:11" ht="15" customHeight="1" x14ac:dyDescent="0.25">
      <c r="K143" s="168" t="s">
        <v>227</v>
      </c>
    </row>
    <row r="144" spans="11:11" ht="15" customHeight="1" x14ac:dyDescent="0.25">
      <c r="K144" s="168" t="s">
        <v>228</v>
      </c>
    </row>
    <row r="145" spans="11:11" ht="15" customHeight="1" x14ac:dyDescent="0.25">
      <c r="K145" s="168" t="s">
        <v>229</v>
      </c>
    </row>
    <row r="146" spans="11:11" ht="15" customHeight="1" x14ac:dyDescent="0.25">
      <c r="K146" s="168" t="s">
        <v>230</v>
      </c>
    </row>
    <row r="147" spans="11:11" ht="15" customHeight="1" x14ac:dyDescent="0.25">
      <c r="K147" s="168" t="s">
        <v>231</v>
      </c>
    </row>
    <row r="148" spans="11:11" ht="15" customHeight="1" x14ac:dyDescent="0.25">
      <c r="K148" s="168" t="s">
        <v>232</v>
      </c>
    </row>
    <row r="149" spans="11:11" ht="15" customHeight="1" x14ac:dyDescent="0.25">
      <c r="K149" s="168" t="s">
        <v>233</v>
      </c>
    </row>
    <row r="150" spans="11:11" ht="15" customHeight="1" x14ac:dyDescent="0.25">
      <c r="K150" s="168" t="s">
        <v>234</v>
      </c>
    </row>
    <row r="151" spans="11:11" ht="15" customHeight="1" x14ac:dyDescent="0.25">
      <c r="K151" s="168" t="s">
        <v>235</v>
      </c>
    </row>
    <row r="152" spans="11:11" ht="15" customHeight="1" x14ac:dyDescent="0.25">
      <c r="K152" s="168" t="s">
        <v>236</v>
      </c>
    </row>
    <row r="153" spans="11:11" ht="15" customHeight="1" x14ac:dyDescent="0.25">
      <c r="K153" s="168" t="s">
        <v>237</v>
      </c>
    </row>
    <row r="154" spans="11:11" ht="15" customHeight="1" x14ac:dyDescent="0.25">
      <c r="K154" s="168" t="s">
        <v>238</v>
      </c>
    </row>
    <row r="155" spans="11:11" ht="15" customHeight="1" x14ac:dyDescent="0.25">
      <c r="K155" s="168" t="s">
        <v>239</v>
      </c>
    </row>
    <row r="156" spans="11:11" ht="15" customHeight="1" x14ac:dyDescent="0.25">
      <c r="K156" s="168" t="s">
        <v>240</v>
      </c>
    </row>
    <row r="157" spans="11:11" ht="15" customHeight="1" x14ac:dyDescent="0.25">
      <c r="K157" s="168" t="s">
        <v>241</v>
      </c>
    </row>
    <row r="158" spans="11:11" ht="15" customHeight="1" x14ac:dyDescent="0.25">
      <c r="K158" s="168" t="s">
        <v>242</v>
      </c>
    </row>
    <row r="159" spans="11:11" ht="15" customHeight="1" x14ac:dyDescent="0.25">
      <c r="K159" s="168" t="s">
        <v>243</v>
      </c>
    </row>
    <row r="160" spans="11:11" ht="15" customHeight="1" x14ac:dyDescent="0.25">
      <c r="K160" s="168" t="s">
        <v>244</v>
      </c>
    </row>
    <row r="161" spans="11:11" ht="15" customHeight="1" x14ac:dyDescent="0.25">
      <c r="K161" s="168" t="s">
        <v>245</v>
      </c>
    </row>
    <row r="162" spans="11:11" ht="15" customHeight="1" x14ac:dyDescent="0.25">
      <c r="K162" s="168" t="s">
        <v>246</v>
      </c>
    </row>
    <row r="163" spans="11:11" ht="15" customHeight="1" x14ac:dyDescent="0.25">
      <c r="K163" s="168" t="s">
        <v>247</v>
      </c>
    </row>
    <row r="164" spans="11:11" ht="15" customHeight="1" x14ac:dyDescent="0.25">
      <c r="K164" s="168" t="s">
        <v>248</v>
      </c>
    </row>
    <row r="165" spans="11:11" ht="15" customHeight="1" x14ac:dyDescent="0.25">
      <c r="K165" s="168" t="s">
        <v>249</v>
      </c>
    </row>
    <row r="166" spans="11:11" ht="15" customHeight="1" x14ac:dyDescent="0.25">
      <c r="K166" s="168" t="s">
        <v>250</v>
      </c>
    </row>
    <row r="167" spans="11:11" ht="15" customHeight="1" x14ac:dyDescent="0.25">
      <c r="K167" s="168" t="s">
        <v>251</v>
      </c>
    </row>
    <row r="168" spans="11:11" ht="15" customHeight="1" x14ac:dyDescent="0.25">
      <c r="K168" s="168" t="s">
        <v>252</v>
      </c>
    </row>
    <row r="169" spans="11:11" ht="15" customHeight="1" x14ac:dyDescent="0.25">
      <c r="K169" s="168" t="s">
        <v>253</v>
      </c>
    </row>
    <row r="170" spans="11:11" ht="15" customHeight="1" x14ac:dyDescent="0.25">
      <c r="K170" s="168" t="s">
        <v>254</v>
      </c>
    </row>
    <row r="171" spans="11:11" ht="15" customHeight="1" x14ac:dyDescent="0.25">
      <c r="K171" s="168" t="s">
        <v>255</v>
      </c>
    </row>
    <row r="172" spans="11:11" ht="15" customHeight="1" x14ac:dyDescent="0.25">
      <c r="K172" s="168" t="s">
        <v>256</v>
      </c>
    </row>
    <row r="173" spans="11:11" ht="15" customHeight="1" x14ac:dyDescent="0.25">
      <c r="K173" s="168" t="s">
        <v>257</v>
      </c>
    </row>
    <row r="174" spans="11:11" ht="15" customHeight="1" x14ac:dyDescent="0.25">
      <c r="K174" s="168" t="s">
        <v>258</v>
      </c>
    </row>
    <row r="175" spans="11:11" ht="15" customHeight="1" x14ac:dyDescent="0.25">
      <c r="K175" s="168" t="s">
        <v>259</v>
      </c>
    </row>
    <row r="176" spans="11:11" ht="15" customHeight="1" x14ac:dyDescent="0.25">
      <c r="K176" s="168" t="s">
        <v>260</v>
      </c>
    </row>
    <row r="177" spans="11:11" ht="15" customHeight="1" x14ac:dyDescent="0.25">
      <c r="K177" s="168" t="s">
        <v>261</v>
      </c>
    </row>
    <row r="178" spans="11:11" ht="15" customHeight="1" x14ac:dyDescent="0.25">
      <c r="K178" s="168" t="s">
        <v>262</v>
      </c>
    </row>
    <row r="179" spans="11:11" ht="15" customHeight="1" x14ac:dyDescent="0.25">
      <c r="K179" s="168" t="s">
        <v>263</v>
      </c>
    </row>
    <row r="180" spans="11:11" ht="15" customHeight="1" x14ac:dyDescent="0.25">
      <c r="K180" s="168" t="s">
        <v>264</v>
      </c>
    </row>
    <row r="181" spans="11:11" ht="15" customHeight="1" x14ac:dyDescent="0.25">
      <c r="K181" s="168" t="s">
        <v>265</v>
      </c>
    </row>
    <row r="182" spans="11:11" ht="15" customHeight="1" x14ac:dyDescent="0.25">
      <c r="K182" s="168" t="s">
        <v>266</v>
      </c>
    </row>
    <row r="183" spans="11:11" ht="15" customHeight="1" x14ac:dyDescent="0.25">
      <c r="K183" s="168" t="s">
        <v>267</v>
      </c>
    </row>
    <row r="184" spans="11:11" ht="15" customHeight="1" x14ac:dyDescent="0.25">
      <c r="K184" s="168" t="s">
        <v>268</v>
      </c>
    </row>
    <row r="185" spans="11:11" ht="15" customHeight="1" x14ac:dyDescent="0.25">
      <c r="K185" s="168" t="s">
        <v>269</v>
      </c>
    </row>
    <row r="186" spans="11:11" ht="15" customHeight="1" x14ac:dyDescent="0.25">
      <c r="K186" s="168" t="s">
        <v>270</v>
      </c>
    </row>
    <row r="187" spans="11:11" ht="15" customHeight="1" x14ac:dyDescent="0.25">
      <c r="K187" s="168" t="s">
        <v>271</v>
      </c>
    </row>
    <row r="188" spans="11:11" ht="15" customHeight="1" x14ac:dyDescent="0.25">
      <c r="K188" s="168" t="s">
        <v>272</v>
      </c>
    </row>
    <row r="189" spans="11:11" ht="15" customHeight="1" x14ac:dyDescent="0.25">
      <c r="K189" s="168" t="s">
        <v>273</v>
      </c>
    </row>
    <row r="190" spans="11:11" ht="15" customHeight="1" x14ac:dyDescent="0.25">
      <c r="K190" s="168" t="s">
        <v>274</v>
      </c>
    </row>
    <row r="191" spans="11:11" ht="15" customHeight="1" x14ac:dyDescent="0.25">
      <c r="K191" s="168" t="s">
        <v>275</v>
      </c>
    </row>
    <row r="192" spans="11:11" ht="15" customHeight="1" x14ac:dyDescent="0.25">
      <c r="K192" s="168" t="s">
        <v>276</v>
      </c>
    </row>
    <row r="193" spans="11:11" ht="15" customHeight="1" x14ac:dyDescent="0.25">
      <c r="K193" s="168" t="s">
        <v>277</v>
      </c>
    </row>
    <row r="194" spans="11:11" ht="15" customHeight="1" x14ac:dyDescent="0.25">
      <c r="K194" s="168" t="s">
        <v>278</v>
      </c>
    </row>
    <row r="195" spans="11:11" ht="15" customHeight="1" x14ac:dyDescent="0.25">
      <c r="K195" s="168" t="s">
        <v>279</v>
      </c>
    </row>
    <row r="196" spans="11:11" ht="15" customHeight="1" x14ac:dyDescent="0.25">
      <c r="K196" s="168" t="s">
        <v>280</v>
      </c>
    </row>
    <row r="197" spans="11:11" ht="15" customHeight="1" x14ac:dyDescent="0.25">
      <c r="K197" s="168" t="s">
        <v>281</v>
      </c>
    </row>
    <row r="198" spans="11:11" ht="15" customHeight="1" x14ac:dyDescent="0.25">
      <c r="K198" s="168" t="s">
        <v>282</v>
      </c>
    </row>
    <row r="199" spans="11:11" ht="15" customHeight="1" x14ac:dyDescent="0.25">
      <c r="K199" s="168" t="s">
        <v>283</v>
      </c>
    </row>
    <row r="200" spans="11:11" ht="15" customHeight="1" x14ac:dyDescent="0.25">
      <c r="K200" s="168" t="s">
        <v>284</v>
      </c>
    </row>
    <row r="201" spans="11:11" ht="15" customHeight="1" x14ac:dyDescent="0.25">
      <c r="K201" s="168" t="s">
        <v>285</v>
      </c>
    </row>
    <row r="202" spans="11:11" ht="15" customHeight="1" x14ac:dyDescent="0.25">
      <c r="K202" s="168" t="s">
        <v>286</v>
      </c>
    </row>
    <row r="203" spans="11:11" ht="15" customHeight="1" x14ac:dyDescent="0.25">
      <c r="K203" s="168" t="s">
        <v>287</v>
      </c>
    </row>
    <row r="204" spans="11:11" ht="15" customHeight="1" x14ac:dyDescent="0.25">
      <c r="K204" s="168" t="s">
        <v>288</v>
      </c>
    </row>
    <row r="205" spans="11:11" ht="15" customHeight="1" x14ac:dyDescent="0.25">
      <c r="K205" s="168" t="s">
        <v>289</v>
      </c>
    </row>
    <row r="206" spans="11:11" ht="15" customHeight="1" x14ac:dyDescent="0.25">
      <c r="K206" s="168" t="s">
        <v>290</v>
      </c>
    </row>
    <row r="207" spans="11:11" ht="15" customHeight="1" x14ac:dyDescent="0.25">
      <c r="K207" s="168" t="s">
        <v>292</v>
      </c>
    </row>
    <row r="208" spans="11:11" ht="15" customHeight="1" x14ac:dyDescent="0.25">
      <c r="K208" s="168" t="s">
        <v>293</v>
      </c>
    </row>
    <row r="209" spans="11:11" ht="15" customHeight="1" x14ac:dyDescent="0.25">
      <c r="K209" s="168" t="s">
        <v>294</v>
      </c>
    </row>
    <row r="210" spans="11:11" ht="15" customHeight="1" x14ac:dyDescent="0.25">
      <c r="K210" s="168" t="s">
        <v>295</v>
      </c>
    </row>
    <row r="211" spans="11:11" ht="15" customHeight="1" x14ac:dyDescent="0.25">
      <c r="K211" s="168" t="s">
        <v>296</v>
      </c>
    </row>
    <row r="212" spans="11:11" ht="15" customHeight="1" x14ac:dyDescent="0.25">
      <c r="K212" s="168" t="s">
        <v>297</v>
      </c>
    </row>
    <row r="213" spans="11:11" ht="15" customHeight="1" x14ac:dyDescent="0.25">
      <c r="K213" s="168" t="s">
        <v>298</v>
      </c>
    </row>
    <row r="214" spans="11:11" ht="15" customHeight="1" x14ac:dyDescent="0.25">
      <c r="K214" s="168" t="s">
        <v>299</v>
      </c>
    </row>
    <row r="215" spans="11:11" ht="15" customHeight="1" x14ac:dyDescent="0.25">
      <c r="K215" s="168" t="s">
        <v>300</v>
      </c>
    </row>
    <row r="216" spans="11:11" ht="15" customHeight="1" x14ac:dyDescent="0.25">
      <c r="K216" s="168" t="s">
        <v>301</v>
      </c>
    </row>
    <row r="217" spans="11:11" ht="15" customHeight="1" x14ac:dyDescent="0.25">
      <c r="K217" s="168" t="s">
        <v>302</v>
      </c>
    </row>
    <row r="218" spans="11:11" ht="15" customHeight="1" x14ac:dyDescent="0.25">
      <c r="K218" s="168" t="s">
        <v>303</v>
      </c>
    </row>
    <row r="219" spans="11:11" ht="15" customHeight="1" x14ac:dyDescent="0.25">
      <c r="K219" s="168" t="s">
        <v>304</v>
      </c>
    </row>
    <row r="220" spans="11:11" ht="15" customHeight="1" x14ac:dyDescent="0.25">
      <c r="K220" s="168" t="s">
        <v>305</v>
      </c>
    </row>
    <row r="221" spans="11:11" ht="15" customHeight="1" x14ac:dyDescent="0.25">
      <c r="K221" s="168" t="s">
        <v>306</v>
      </c>
    </row>
    <row r="222" spans="11:11" ht="15" customHeight="1" x14ac:dyDescent="0.25">
      <c r="K222" s="168" t="s">
        <v>307</v>
      </c>
    </row>
    <row r="223" spans="11:11" ht="15" customHeight="1" x14ac:dyDescent="0.25">
      <c r="K223" s="168" t="s">
        <v>308</v>
      </c>
    </row>
    <row r="224" spans="11:11" ht="15" customHeight="1" x14ac:dyDescent="0.25">
      <c r="K224" s="168" t="s">
        <v>309</v>
      </c>
    </row>
    <row r="225" spans="11:11" ht="15" customHeight="1" x14ac:dyDescent="0.25">
      <c r="K225" s="168" t="s">
        <v>314</v>
      </c>
    </row>
    <row r="226" spans="11:11" ht="15" customHeight="1" x14ac:dyDescent="0.25">
      <c r="K226" s="168" t="s">
        <v>315</v>
      </c>
    </row>
    <row r="227" spans="11:11" ht="15" customHeight="1" x14ac:dyDescent="0.25">
      <c r="K227" s="168" t="s">
        <v>317</v>
      </c>
    </row>
    <row r="228" spans="11:11" ht="15" customHeight="1" x14ac:dyDescent="0.25">
      <c r="K228" s="168" t="s">
        <v>318</v>
      </c>
    </row>
    <row r="229" spans="11:11" ht="15" customHeight="1" x14ac:dyDescent="0.25">
      <c r="K229" s="168" t="s">
        <v>319</v>
      </c>
    </row>
    <row r="230" spans="11:11" ht="15" customHeight="1" x14ac:dyDescent="0.25">
      <c r="K230" s="168" t="s">
        <v>320</v>
      </c>
    </row>
    <row r="231" spans="11:11" ht="15" customHeight="1" x14ac:dyDescent="0.25">
      <c r="K231" s="168" t="s">
        <v>322</v>
      </c>
    </row>
    <row r="232" spans="11:11" ht="15" customHeight="1" x14ac:dyDescent="0.25">
      <c r="K232" s="168" t="s">
        <v>323</v>
      </c>
    </row>
    <row r="233" spans="11:11" ht="15" customHeight="1" x14ac:dyDescent="0.25">
      <c r="K233" s="168" t="s">
        <v>324</v>
      </c>
    </row>
    <row r="234" spans="11:11" ht="15" customHeight="1" x14ac:dyDescent="0.25">
      <c r="K234" s="168" t="s">
        <v>325</v>
      </c>
    </row>
    <row r="235" spans="11:11" ht="15" customHeight="1" x14ac:dyDescent="0.25">
      <c r="K235" s="168" t="s">
        <v>326</v>
      </c>
    </row>
    <row r="236" spans="11:11" ht="15" customHeight="1" x14ac:dyDescent="0.25">
      <c r="K236" s="168" t="s">
        <v>327</v>
      </c>
    </row>
    <row r="237" spans="11:11" ht="15" customHeight="1" x14ac:dyDescent="0.25">
      <c r="K237" s="167" t="s">
        <v>328</v>
      </c>
    </row>
    <row r="238" spans="11:11" ht="15" customHeight="1" x14ac:dyDescent="0.25">
      <c r="K238" s="167" t="s">
        <v>329</v>
      </c>
    </row>
    <row r="239" spans="11:11" ht="15" customHeight="1" x14ac:dyDescent="0.25">
      <c r="K239" s="167" t="s">
        <v>330</v>
      </c>
    </row>
    <row r="240" spans="11:11" ht="15" customHeight="1" x14ac:dyDescent="0.25">
      <c r="K240" s="166"/>
    </row>
    <row r="241" spans="11:11" ht="15" customHeight="1" x14ac:dyDescent="0.25">
      <c r="K241" s="166"/>
    </row>
    <row r="242" spans="11:11" x14ac:dyDescent="0.25">
      <c r="K242" s="166"/>
    </row>
  </sheetData>
  <sheetProtection algorithmName="SHA-512" hashValue="vfhCe3wC/mPzdB6nygaZOspcDqs+DL4QKB5khP0nYKOrX+5mFJYi+6QlXp/zxFBHreBB47Myl7BWJ04CM4wMgg==" saltValue="LEidSitkRn8bpDEVaoyGYQ==" spinCount="100000" sheet="1" objects="1" scenarios="1"/>
  <protectedRanges>
    <protectedRange sqref="B4:D4" name="Диапазон1"/>
  </protectedRanges>
  <autoFilter ref="A1:L1">
    <filterColumn colId="0" showButton="0"/>
    <filterColumn colId="1" showButton="0"/>
    <filterColumn colId="2" showButton="0"/>
  </autoFilter>
  <mergeCells count="6">
    <mergeCell ref="A58:D58"/>
    <mergeCell ref="A1:D1"/>
    <mergeCell ref="A2:D2"/>
    <mergeCell ref="A3:D3"/>
    <mergeCell ref="B4:D4"/>
    <mergeCell ref="A56:D56"/>
  </mergeCells>
  <dataValidations count="1">
    <dataValidation type="list" allowBlank="1" showInputMessage="1" showErrorMessage="1" sqref="B4:D4">
      <formula1>$K$1:$K$243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  <outlinePr summaryBelow="0" summaryRight="0"/>
    <pageSetUpPr autoPageBreaks="0"/>
  </sheetPr>
  <dimension ref="A1:BU2143"/>
  <sheetViews>
    <sheetView zoomScaleNormal="10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/>
    </sheetView>
  </sheetViews>
  <sheetFormatPr defaultRowHeight="11.25" outlineLevelRow="4" outlineLevelCol="1" x14ac:dyDescent="0.2"/>
  <cols>
    <col min="1" max="1" width="30" style="41" customWidth="1" collapsed="1"/>
    <col min="2" max="3" width="16" style="41" hidden="1" customWidth="1" outlineLevel="1"/>
    <col min="4" max="4" width="16" style="41" customWidth="1" collapsed="1"/>
    <col min="5" max="7" width="16" style="41" hidden="1" customWidth="1" outlineLevel="1"/>
    <col min="8" max="40" width="9.140625" style="41" customWidth="1"/>
    <col min="41" max="41" width="9.140625" style="41" customWidth="1" collapsed="1"/>
    <col min="42" max="50" width="9.140625" style="41" hidden="1" customWidth="1" outlineLevel="1"/>
    <col min="51" max="54" width="9.140625" style="41" customWidth="1"/>
    <col min="55" max="55" width="9.140625" style="41" customWidth="1" collapsed="1"/>
    <col min="56" max="56" width="9.140625" style="41" hidden="1" customWidth="1" outlineLevel="1"/>
    <col min="57" max="16384" width="9.140625" style="41"/>
  </cols>
  <sheetData>
    <row r="1" spans="1:56" ht="12.75" customHeight="1" x14ac:dyDescent="0.2">
      <c r="A1" s="58" t="s">
        <v>437</v>
      </c>
      <c r="B1" s="55"/>
      <c r="C1" s="55"/>
      <c r="D1" s="55"/>
      <c r="H1" s="69"/>
      <c r="I1" s="78" t="s">
        <v>821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Q1" s="78"/>
      <c r="AR1" s="78"/>
      <c r="AS1" s="78"/>
      <c r="AT1" s="78"/>
      <c r="AU1" s="78"/>
    </row>
    <row r="2" spans="1:56" ht="15.75" customHeight="1" x14ac:dyDescent="0.25">
      <c r="A2" s="57" t="s">
        <v>798</v>
      </c>
      <c r="B2" s="55"/>
      <c r="C2" s="55"/>
      <c r="D2" s="55"/>
    </row>
    <row r="3" spans="1:56" ht="2.1" customHeight="1" x14ac:dyDescent="0.2"/>
    <row r="4" spans="1:56" ht="11.25" customHeight="1" x14ac:dyDescent="0.2">
      <c r="A4" s="278" t="s">
        <v>435</v>
      </c>
      <c r="B4" s="279"/>
      <c r="C4" s="280"/>
      <c r="D4" s="280"/>
      <c r="E4" s="280"/>
      <c r="F4" s="280"/>
      <c r="G4" s="280"/>
    </row>
    <row r="5" spans="1:56" ht="2.1" customHeight="1" x14ac:dyDescent="0.2">
      <c r="A5" s="56"/>
      <c r="B5" s="56"/>
      <c r="C5" s="55"/>
      <c r="D5" s="55"/>
      <c r="E5" s="55"/>
      <c r="F5" s="55"/>
      <c r="G5" s="55"/>
    </row>
    <row r="6" spans="1:56" ht="12.75" customHeight="1" x14ac:dyDescent="0.2">
      <c r="A6" s="54" t="s">
        <v>434</v>
      </c>
      <c r="B6" s="281" t="s">
        <v>433</v>
      </c>
      <c r="C6" s="281"/>
      <c r="D6" s="281" t="s">
        <v>432</v>
      </c>
      <c r="E6" s="281"/>
      <c r="F6" s="281" t="s">
        <v>431</v>
      </c>
      <c r="G6" s="281"/>
    </row>
    <row r="7" spans="1:56" ht="12.75" customHeight="1" x14ac:dyDescent="0.2">
      <c r="A7" s="54" t="s">
        <v>430</v>
      </c>
      <c r="B7" s="282" t="s">
        <v>429</v>
      </c>
      <c r="C7" s="282" t="s">
        <v>428</v>
      </c>
      <c r="D7" s="282" t="s">
        <v>429</v>
      </c>
      <c r="E7" s="282" t="s">
        <v>428</v>
      </c>
      <c r="F7" s="282" t="s">
        <v>429</v>
      </c>
      <c r="G7" s="282" t="s">
        <v>428</v>
      </c>
    </row>
    <row r="8" spans="1:56" ht="12.75" customHeight="1" x14ac:dyDescent="0.2">
      <c r="A8" s="54" t="s">
        <v>797</v>
      </c>
      <c r="B8" s="283"/>
      <c r="C8" s="283"/>
      <c r="D8" s="283"/>
      <c r="E8" s="283"/>
      <c r="F8" s="283"/>
      <c r="G8" s="283"/>
    </row>
    <row r="9" spans="1:56" ht="12.75" customHeight="1" x14ac:dyDescent="0.2">
      <c r="A9" s="54" t="s">
        <v>427</v>
      </c>
      <c r="B9" s="283"/>
      <c r="C9" s="283"/>
      <c r="D9" s="283"/>
      <c r="E9" s="283"/>
      <c r="F9" s="283"/>
      <c r="G9" s="283"/>
    </row>
    <row r="10" spans="1:56" ht="12.75" customHeight="1" x14ac:dyDescent="0.2">
      <c r="A10" s="54" t="s">
        <v>796</v>
      </c>
      <c r="B10" s="284"/>
      <c r="C10" s="284"/>
      <c r="D10" s="284"/>
      <c r="E10" s="284"/>
      <c r="F10" s="284"/>
      <c r="G10" s="284"/>
      <c r="H10" s="111" t="s">
        <v>20</v>
      </c>
      <c r="I10" s="125" t="s">
        <v>830</v>
      </c>
      <c r="J10" s="125" t="s">
        <v>833</v>
      </c>
      <c r="K10" s="125" t="s">
        <v>374</v>
      </c>
      <c r="L10" s="125" t="s">
        <v>375</v>
      </c>
      <c r="M10" s="125" t="s">
        <v>376</v>
      </c>
      <c r="N10" s="125" t="s">
        <v>342</v>
      </c>
      <c r="O10" s="128" t="s">
        <v>875</v>
      </c>
      <c r="P10" s="125" t="s">
        <v>343</v>
      </c>
      <c r="Q10" s="125" t="s">
        <v>344</v>
      </c>
      <c r="R10" s="125" t="s">
        <v>771</v>
      </c>
      <c r="S10" s="125" t="s">
        <v>345</v>
      </c>
      <c r="T10" s="125" t="s">
        <v>770</v>
      </c>
      <c r="U10" s="125" t="s">
        <v>346</v>
      </c>
      <c r="V10" s="125" t="s">
        <v>378</v>
      </c>
      <c r="W10" s="125" t="s">
        <v>379</v>
      </c>
      <c r="X10" s="125" t="s">
        <v>347</v>
      </c>
      <c r="Y10" s="125" t="s">
        <v>348</v>
      </c>
      <c r="Z10" s="125" t="s">
        <v>380</v>
      </c>
      <c r="AA10" s="125" t="s">
        <v>762</v>
      </c>
      <c r="AB10" s="125" t="s">
        <v>764</v>
      </c>
      <c r="AC10" s="125" t="s">
        <v>381</v>
      </c>
      <c r="AD10" s="125" t="s">
        <v>382</v>
      </c>
      <c r="AE10" s="125" t="s">
        <v>349</v>
      </c>
      <c r="AF10" s="125" t="s">
        <v>383</v>
      </c>
      <c r="AG10" s="125" t="s">
        <v>350</v>
      </c>
      <c r="AH10" s="125" t="s">
        <v>827</v>
      </c>
      <c r="AI10" s="125" t="s">
        <v>825</v>
      </c>
      <c r="AJ10" s="125" t="s">
        <v>384</v>
      </c>
      <c r="AK10" s="125" t="s">
        <v>753</v>
      </c>
      <c r="AL10" s="125" t="s">
        <v>385</v>
      </c>
      <c r="AM10" s="128" t="s">
        <v>876</v>
      </c>
      <c r="AN10" s="125" t="s">
        <v>773</v>
      </c>
      <c r="AO10" s="111" t="s">
        <v>21</v>
      </c>
      <c r="AP10" s="125" t="s">
        <v>828</v>
      </c>
      <c r="AQ10" s="125" t="s">
        <v>357</v>
      </c>
      <c r="AR10" s="125" t="s">
        <v>355</v>
      </c>
      <c r="AS10" s="125" t="s">
        <v>356</v>
      </c>
      <c r="AT10" s="128" t="s">
        <v>386</v>
      </c>
      <c r="AU10" s="125" t="s">
        <v>826</v>
      </c>
      <c r="AV10" s="128" t="s">
        <v>870</v>
      </c>
      <c r="AW10" s="125" t="s">
        <v>759</v>
      </c>
      <c r="AX10" s="125" t="s">
        <v>587</v>
      </c>
      <c r="AY10" s="111" t="s">
        <v>22</v>
      </c>
      <c r="AZ10" s="111" t="s">
        <v>338</v>
      </c>
      <c r="BA10" s="111" t="s">
        <v>25</v>
      </c>
      <c r="BB10" s="111" t="s">
        <v>26</v>
      </c>
      <c r="BC10" s="111" t="s">
        <v>27</v>
      </c>
      <c r="BD10" s="109" t="s">
        <v>758</v>
      </c>
    </row>
    <row r="11" spans="1:56" ht="12.75" customHeight="1" x14ac:dyDescent="0.2">
      <c r="A11" s="53" t="s">
        <v>795</v>
      </c>
      <c r="B11" s="51"/>
      <c r="C11" s="51"/>
      <c r="D11" s="52">
        <v>796448874.5</v>
      </c>
      <c r="E11" s="52">
        <v>796448874.5</v>
      </c>
      <c r="F11" s="51"/>
      <c r="G11" s="51"/>
    </row>
    <row r="12" spans="1:56" ht="12" customHeight="1" outlineLevel="1" collapsed="1" x14ac:dyDescent="0.2">
      <c r="A12" s="50" t="s">
        <v>425</v>
      </c>
      <c r="B12" s="48"/>
      <c r="C12" s="48"/>
      <c r="D12" s="68">
        <v>3021579.09</v>
      </c>
      <c r="E12" s="49">
        <v>3021579.09</v>
      </c>
      <c r="F12" s="48"/>
      <c r="G12" s="48"/>
    </row>
    <row r="13" spans="1:56" ht="12" hidden="1" customHeight="1" outlineLevel="2" collapsed="1" x14ac:dyDescent="0.2">
      <c r="A13" s="63" t="s">
        <v>480</v>
      </c>
      <c r="B13" s="62"/>
      <c r="C13" s="62"/>
      <c r="D13" s="62"/>
      <c r="E13" s="62"/>
      <c r="F13" s="62"/>
      <c r="G13" s="62"/>
    </row>
    <row r="14" spans="1:56" ht="12" hidden="1" customHeight="1" outlineLevel="3" x14ac:dyDescent="0.2">
      <c r="A14" s="61" t="s">
        <v>472</v>
      </c>
      <c r="B14" s="45"/>
      <c r="C14" s="45"/>
      <c r="D14" s="45"/>
      <c r="E14" s="66">
        <v>2.63</v>
      </c>
      <c r="F14" s="45"/>
      <c r="G14" s="45"/>
    </row>
    <row r="15" spans="1:56" ht="12" hidden="1" customHeight="1" outlineLevel="4" x14ac:dyDescent="0.2">
      <c r="A15" s="60" t="s">
        <v>472</v>
      </c>
      <c r="B15" s="45"/>
      <c r="C15" s="45"/>
      <c r="D15" s="45"/>
      <c r="E15" s="66">
        <v>2.63</v>
      </c>
      <c r="F15" s="45"/>
      <c r="G15" s="45"/>
    </row>
    <row r="16" spans="1:56" ht="12" hidden="1" customHeight="1" outlineLevel="3" x14ac:dyDescent="0.2">
      <c r="A16" s="61" t="s">
        <v>472</v>
      </c>
      <c r="B16" s="45"/>
      <c r="C16" s="45"/>
      <c r="D16" s="45"/>
      <c r="E16" s="65">
        <v>-2.63</v>
      </c>
      <c r="F16" s="45"/>
      <c r="G16" s="45"/>
    </row>
    <row r="17" spans="1:7" ht="12" hidden="1" customHeight="1" outlineLevel="4" x14ac:dyDescent="0.2">
      <c r="A17" s="60" t="s">
        <v>472</v>
      </c>
      <c r="B17" s="45"/>
      <c r="C17" s="45"/>
      <c r="D17" s="45"/>
      <c r="E17" s="65">
        <v>-2.63</v>
      </c>
      <c r="F17" s="45"/>
      <c r="G17" s="45"/>
    </row>
    <row r="18" spans="1:7" ht="12" hidden="1" customHeight="1" outlineLevel="2" collapsed="1" x14ac:dyDescent="0.2">
      <c r="A18" s="63" t="s">
        <v>30</v>
      </c>
      <c r="B18" s="62"/>
      <c r="C18" s="62"/>
      <c r="D18" s="62"/>
      <c r="E18" s="62"/>
      <c r="F18" s="62"/>
      <c r="G18" s="62"/>
    </row>
    <row r="19" spans="1:7" ht="12" hidden="1" customHeight="1" outlineLevel="3" x14ac:dyDescent="0.2">
      <c r="A19" s="61" t="s">
        <v>472</v>
      </c>
      <c r="B19" s="45"/>
      <c r="C19" s="45"/>
      <c r="D19" s="45"/>
      <c r="E19" s="46">
        <v>197748.49</v>
      </c>
      <c r="F19" s="45"/>
      <c r="G19" s="45"/>
    </row>
    <row r="20" spans="1:7" ht="12" hidden="1" customHeight="1" outlineLevel="4" x14ac:dyDescent="0.2">
      <c r="A20" s="60" t="s">
        <v>472</v>
      </c>
      <c r="B20" s="45"/>
      <c r="C20" s="45"/>
      <c r="D20" s="45"/>
      <c r="E20" s="46">
        <v>197748.49</v>
      </c>
      <c r="F20" s="45"/>
      <c r="G20" s="45"/>
    </row>
    <row r="21" spans="1:7" ht="12" hidden="1" customHeight="1" outlineLevel="3" x14ac:dyDescent="0.2">
      <c r="A21" s="61" t="s">
        <v>472</v>
      </c>
      <c r="B21" s="45"/>
      <c r="C21" s="45"/>
      <c r="D21" s="45"/>
      <c r="E21" s="59">
        <v>-197748.49</v>
      </c>
      <c r="F21" s="45"/>
      <c r="G21" s="45"/>
    </row>
    <row r="22" spans="1:7" ht="12" hidden="1" customHeight="1" outlineLevel="4" x14ac:dyDescent="0.2">
      <c r="A22" s="60" t="s">
        <v>472</v>
      </c>
      <c r="B22" s="45"/>
      <c r="C22" s="45"/>
      <c r="D22" s="45"/>
      <c r="E22" s="59">
        <v>-197748.49</v>
      </c>
      <c r="F22" s="45"/>
      <c r="G22" s="45"/>
    </row>
    <row r="23" spans="1:7" ht="12" hidden="1" customHeight="1" outlineLevel="2" collapsed="1" x14ac:dyDescent="0.2">
      <c r="A23" s="63" t="s">
        <v>479</v>
      </c>
      <c r="B23" s="62"/>
      <c r="C23" s="62"/>
      <c r="D23" s="62"/>
      <c r="E23" s="62"/>
      <c r="F23" s="62"/>
      <c r="G23" s="62"/>
    </row>
    <row r="24" spans="1:7" ht="12" hidden="1" customHeight="1" outlineLevel="3" x14ac:dyDescent="0.2">
      <c r="A24" s="61" t="s">
        <v>472</v>
      </c>
      <c r="B24" s="45"/>
      <c r="C24" s="45"/>
      <c r="D24" s="45"/>
      <c r="E24" s="46">
        <v>401392.44</v>
      </c>
      <c r="F24" s="45"/>
      <c r="G24" s="45"/>
    </row>
    <row r="25" spans="1:7" ht="12" hidden="1" customHeight="1" outlineLevel="4" x14ac:dyDescent="0.2">
      <c r="A25" s="60" t="s">
        <v>472</v>
      </c>
      <c r="B25" s="45"/>
      <c r="C25" s="45"/>
      <c r="D25" s="45"/>
      <c r="E25" s="46">
        <v>401392.44</v>
      </c>
      <c r="F25" s="45"/>
      <c r="G25" s="45"/>
    </row>
    <row r="26" spans="1:7" ht="12" hidden="1" customHeight="1" outlineLevel="3" x14ac:dyDescent="0.2">
      <c r="A26" s="61" t="s">
        <v>472</v>
      </c>
      <c r="B26" s="45"/>
      <c r="C26" s="45"/>
      <c r="D26" s="45"/>
      <c r="E26" s="59">
        <v>-401392.44</v>
      </c>
      <c r="F26" s="45"/>
      <c r="G26" s="45"/>
    </row>
    <row r="27" spans="1:7" ht="12" hidden="1" customHeight="1" outlineLevel="4" x14ac:dyDescent="0.2">
      <c r="A27" s="60" t="s">
        <v>472</v>
      </c>
      <c r="B27" s="45"/>
      <c r="C27" s="45"/>
      <c r="D27" s="45"/>
      <c r="E27" s="59">
        <v>-401392.44</v>
      </c>
      <c r="F27" s="45"/>
      <c r="G27" s="45"/>
    </row>
    <row r="28" spans="1:7" ht="12" hidden="1" customHeight="1" outlineLevel="2" collapsed="1" x14ac:dyDescent="0.2">
      <c r="A28" s="63" t="s">
        <v>478</v>
      </c>
      <c r="B28" s="62"/>
      <c r="C28" s="62"/>
      <c r="D28" s="62"/>
      <c r="E28" s="62"/>
      <c r="F28" s="62"/>
      <c r="G28" s="62"/>
    </row>
    <row r="29" spans="1:7" ht="12" hidden="1" customHeight="1" outlineLevel="3" x14ac:dyDescent="0.2">
      <c r="A29" s="61" t="s">
        <v>472</v>
      </c>
      <c r="B29" s="45"/>
      <c r="C29" s="45"/>
      <c r="D29" s="45"/>
      <c r="E29" s="66">
        <v>63.13</v>
      </c>
      <c r="F29" s="45"/>
      <c r="G29" s="45"/>
    </row>
    <row r="30" spans="1:7" ht="12" hidden="1" customHeight="1" outlineLevel="4" x14ac:dyDescent="0.2">
      <c r="A30" s="60" t="s">
        <v>472</v>
      </c>
      <c r="B30" s="45"/>
      <c r="C30" s="45"/>
      <c r="D30" s="45"/>
      <c r="E30" s="66">
        <v>63.13</v>
      </c>
      <c r="F30" s="45"/>
      <c r="G30" s="45"/>
    </row>
    <row r="31" spans="1:7" ht="12" hidden="1" customHeight="1" outlineLevel="3" x14ac:dyDescent="0.2">
      <c r="A31" s="61" t="s">
        <v>472</v>
      </c>
      <c r="B31" s="45"/>
      <c r="C31" s="45"/>
      <c r="D31" s="45"/>
      <c r="E31" s="65">
        <v>-63.13</v>
      </c>
      <c r="F31" s="45"/>
      <c r="G31" s="45"/>
    </row>
    <row r="32" spans="1:7" ht="12" hidden="1" customHeight="1" outlineLevel="4" x14ac:dyDescent="0.2">
      <c r="A32" s="60" t="s">
        <v>472</v>
      </c>
      <c r="B32" s="45"/>
      <c r="C32" s="45"/>
      <c r="D32" s="45"/>
      <c r="E32" s="65">
        <v>-63.13</v>
      </c>
      <c r="F32" s="45"/>
      <c r="G32" s="45"/>
    </row>
    <row r="33" spans="1:7" ht="12" hidden="1" customHeight="1" outlineLevel="2" collapsed="1" x14ac:dyDescent="0.2">
      <c r="A33" s="63" t="s">
        <v>32</v>
      </c>
      <c r="B33" s="62"/>
      <c r="C33" s="62"/>
      <c r="D33" s="62"/>
      <c r="E33" s="62"/>
      <c r="F33" s="62"/>
      <c r="G33" s="62"/>
    </row>
    <row r="34" spans="1:7" ht="12" hidden="1" customHeight="1" outlineLevel="3" x14ac:dyDescent="0.2">
      <c r="A34" s="61" t="s">
        <v>472</v>
      </c>
      <c r="B34" s="45"/>
      <c r="C34" s="45"/>
      <c r="D34" s="45"/>
      <c r="E34" s="46">
        <v>817964.54</v>
      </c>
      <c r="F34" s="45"/>
      <c r="G34" s="45"/>
    </row>
    <row r="35" spans="1:7" ht="12" hidden="1" customHeight="1" outlineLevel="4" x14ac:dyDescent="0.2">
      <c r="A35" s="60" t="s">
        <v>472</v>
      </c>
      <c r="B35" s="45"/>
      <c r="C35" s="45"/>
      <c r="D35" s="45"/>
      <c r="E35" s="46">
        <v>817964.54</v>
      </c>
      <c r="F35" s="45"/>
      <c r="G35" s="45"/>
    </row>
    <row r="36" spans="1:7" ht="12" hidden="1" customHeight="1" outlineLevel="3" x14ac:dyDescent="0.2">
      <c r="A36" s="61" t="s">
        <v>472</v>
      </c>
      <c r="B36" s="45"/>
      <c r="C36" s="45"/>
      <c r="D36" s="45"/>
      <c r="E36" s="59">
        <v>-817964.54</v>
      </c>
      <c r="F36" s="45"/>
      <c r="G36" s="45"/>
    </row>
    <row r="37" spans="1:7" ht="12" hidden="1" customHeight="1" outlineLevel="4" x14ac:dyDescent="0.2">
      <c r="A37" s="60" t="s">
        <v>472</v>
      </c>
      <c r="B37" s="45"/>
      <c r="C37" s="45"/>
      <c r="D37" s="45"/>
      <c r="E37" s="59">
        <v>-817964.54</v>
      </c>
      <c r="F37" s="45"/>
      <c r="G37" s="45"/>
    </row>
    <row r="38" spans="1:7" ht="12" hidden="1" customHeight="1" outlineLevel="2" collapsed="1" x14ac:dyDescent="0.2">
      <c r="A38" s="63" t="s">
        <v>477</v>
      </c>
      <c r="B38" s="62"/>
      <c r="C38" s="62"/>
      <c r="D38" s="64">
        <v>3021579.09</v>
      </c>
      <c r="E38" s="64">
        <v>3021579.09</v>
      </c>
      <c r="F38" s="62"/>
      <c r="G38" s="62"/>
    </row>
    <row r="39" spans="1:7" ht="12" hidden="1" customHeight="1" outlineLevel="3" x14ac:dyDescent="0.2">
      <c r="A39" s="61" t="s">
        <v>472</v>
      </c>
      <c r="B39" s="45"/>
      <c r="C39" s="45"/>
      <c r="D39" s="45"/>
      <c r="E39" s="46">
        <v>4427612.8099999996</v>
      </c>
      <c r="F39" s="45"/>
      <c r="G39" s="45"/>
    </row>
    <row r="40" spans="1:7" ht="12" hidden="1" customHeight="1" outlineLevel="4" x14ac:dyDescent="0.2">
      <c r="A40" s="60" t="s">
        <v>472</v>
      </c>
      <c r="B40" s="45"/>
      <c r="C40" s="45"/>
      <c r="D40" s="45"/>
      <c r="E40" s="46">
        <v>4427612.8099999996</v>
      </c>
      <c r="F40" s="45"/>
      <c r="G40" s="45"/>
    </row>
    <row r="41" spans="1:7" ht="12" hidden="1" customHeight="1" outlineLevel="3" x14ac:dyDescent="0.2">
      <c r="A41" s="61" t="s">
        <v>472</v>
      </c>
      <c r="B41" s="45"/>
      <c r="C41" s="45"/>
      <c r="D41" s="45"/>
      <c r="E41" s="59">
        <v>-1406033.72</v>
      </c>
      <c r="F41" s="45"/>
      <c r="G41" s="45"/>
    </row>
    <row r="42" spans="1:7" ht="12" hidden="1" customHeight="1" outlineLevel="4" x14ac:dyDescent="0.2">
      <c r="A42" s="60" t="s">
        <v>472</v>
      </c>
      <c r="B42" s="45"/>
      <c r="C42" s="45"/>
      <c r="D42" s="45"/>
      <c r="E42" s="59">
        <v>-1406033.72</v>
      </c>
      <c r="F42" s="45"/>
      <c r="G42" s="45"/>
    </row>
    <row r="43" spans="1:7" ht="23.25" hidden="1" customHeight="1" outlineLevel="3" x14ac:dyDescent="0.2">
      <c r="A43" s="61" t="s">
        <v>393</v>
      </c>
      <c r="B43" s="45"/>
      <c r="C43" s="45"/>
      <c r="D43" s="46">
        <v>2331643.7000000002</v>
      </c>
      <c r="E43" s="45"/>
      <c r="F43" s="45"/>
      <c r="G43" s="45"/>
    </row>
    <row r="44" spans="1:7" ht="12" hidden="1" customHeight="1" outlineLevel="4" x14ac:dyDescent="0.2">
      <c r="A44" s="60" t="s">
        <v>472</v>
      </c>
      <c r="B44" s="45"/>
      <c r="C44" s="45"/>
      <c r="D44" s="46">
        <v>2331643.7000000002</v>
      </c>
      <c r="E44" s="45"/>
      <c r="F44" s="45"/>
      <c r="G44" s="45"/>
    </row>
    <row r="45" spans="1:7" ht="12" hidden="1" customHeight="1" outlineLevel="3" x14ac:dyDescent="0.2">
      <c r="A45" s="61" t="s">
        <v>392</v>
      </c>
      <c r="B45" s="45"/>
      <c r="C45" s="45"/>
      <c r="D45" s="46">
        <v>689935.39</v>
      </c>
      <c r="E45" s="45"/>
      <c r="F45" s="45"/>
      <c r="G45" s="45"/>
    </row>
    <row r="46" spans="1:7" ht="12" hidden="1" customHeight="1" outlineLevel="4" x14ac:dyDescent="0.2">
      <c r="A46" s="60" t="s">
        <v>472</v>
      </c>
      <c r="B46" s="45"/>
      <c r="C46" s="45"/>
      <c r="D46" s="46">
        <v>689935.39</v>
      </c>
      <c r="E46" s="45"/>
      <c r="F46" s="45"/>
      <c r="G46" s="45"/>
    </row>
    <row r="47" spans="1:7" ht="12" hidden="1" customHeight="1" outlineLevel="2" collapsed="1" x14ac:dyDescent="0.2">
      <c r="A47" s="63" t="s">
        <v>476</v>
      </c>
      <c r="B47" s="62"/>
      <c r="C47" s="62"/>
      <c r="D47" s="62"/>
      <c r="E47" s="62"/>
      <c r="F47" s="62"/>
      <c r="G47" s="62"/>
    </row>
    <row r="48" spans="1:7" ht="12" hidden="1" customHeight="1" outlineLevel="3" x14ac:dyDescent="0.2">
      <c r="A48" s="61" t="s">
        <v>472</v>
      </c>
      <c r="B48" s="45"/>
      <c r="C48" s="45"/>
      <c r="D48" s="45"/>
      <c r="E48" s="46">
        <v>111521.64</v>
      </c>
      <c r="F48" s="45"/>
      <c r="G48" s="45"/>
    </row>
    <row r="49" spans="1:41" ht="12" hidden="1" customHeight="1" outlineLevel="4" x14ac:dyDescent="0.2">
      <c r="A49" s="60" t="s">
        <v>472</v>
      </c>
      <c r="B49" s="45"/>
      <c r="C49" s="45"/>
      <c r="D49" s="45"/>
      <c r="E49" s="46">
        <v>111521.64</v>
      </c>
      <c r="F49" s="45"/>
      <c r="G49" s="45"/>
    </row>
    <row r="50" spans="1:41" ht="12" hidden="1" customHeight="1" outlineLevel="3" x14ac:dyDescent="0.2">
      <c r="A50" s="61" t="s">
        <v>472</v>
      </c>
      <c r="B50" s="45"/>
      <c r="C50" s="45"/>
      <c r="D50" s="45"/>
      <c r="E50" s="59">
        <v>-111521.64</v>
      </c>
      <c r="F50" s="45"/>
      <c r="G50" s="45"/>
    </row>
    <row r="51" spans="1:41" ht="12" hidden="1" customHeight="1" outlineLevel="4" x14ac:dyDescent="0.2">
      <c r="A51" s="60" t="s">
        <v>472</v>
      </c>
      <c r="B51" s="45"/>
      <c r="C51" s="45"/>
      <c r="D51" s="45"/>
      <c r="E51" s="59">
        <v>-111521.64</v>
      </c>
      <c r="F51" s="45"/>
      <c r="G51" s="45"/>
    </row>
    <row r="52" spans="1:41" ht="12" hidden="1" customHeight="1" outlineLevel="2" collapsed="1" x14ac:dyDescent="0.2">
      <c r="A52" s="63" t="s">
        <v>475</v>
      </c>
      <c r="B52" s="62"/>
      <c r="C52" s="62"/>
      <c r="D52" s="62"/>
      <c r="E52" s="62"/>
      <c r="F52" s="62"/>
      <c r="G52" s="62"/>
    </row>
    <row r="53" spans="1:41" ht="12" hidden="1" customHeight="1" outlineLevel="3" x14ac:dyDescent="0.2">
      <c r="A53" s="61" t="s">
        <v>472</v>
      </c>
      <c r="B53" s="45"/>
      <c r="C53" s="45"/>
      <c r="D53" s="45"/>
      <c r="E53" s="46">
        <v>86852.5</v>
      </c>
      <c r="F53" s="45"/>
      <c r="G53" s="45"/>
    </row>
    <row r="54" spans="1:41" ht="12" hidden="1" customHeight="1" outlineLevel="4" x14ac:dyDescent="0.2">
      <c r="A54" s="60" t="s">
        <v>472</v>
      </c>
      <c r="B54" s="45"/>
      <c r="C54" s="45"/>
      <c r="D54" s="45"/>
      <c r="E54" s="46">
        <v>86852.5</v>
      </c>
      <c r="F54" s="45"/>
      <c r="G54" s="45"/>
    </row>
    <row r="55" spans="1:41" ht="12" hidden="1" customHeight="1" outlineLevel="3" x14ac:dyDescent="0.2">
      <c r="A55" s="61" t="s">
        <v>472</v>
      </c>
      <c r="B55" s="45"/>
      <c r="C55" s="45"/>
      <c r="D55" s="45"/>
      <c r="E55" s="59">
        <v>-86852.5</v>
      </c>
      <c r="F55" s="45"/>
      <c r="G55" s="45"/>
    </row>
    <row r="56" spans="1:41" ht="12" hidden="1" customHeight="1" outlineLevel="4" x14ac:dyDescent="0.2">
      <c r="A56" s="60" t="s">
        <v>472</v>
      </c>
      <c r="B56" s="45"/>
      <c r="C56" s="45"/>
      <c r="D56" s="45"/>
      <c r="E56" s="59">
        <v>-86852.5</v>
      </c>
      <c r="F56" s="45"/>
      <c r="G56" s="45"/>
    </row>
    <row r="57" spans="1:41" ht="23.25" customHeight="1" outlineLevel="1" collapsed="1" x14ac:dyDescent="0.2">
      <c r="A57" s="79" t="s">
        <v>794</v>
      </c>
      <c r="B57" s="48"/>
      <c r="C57" s="48"/>
      <c r="D57" s="49">
        <v>2379658.02</v>
      </c>
      <c r="E57" s="49">
        <v>2379658.02</v>
      </c>
      <c r="F57" s="48"/>
      <c r="G57" s="48"/>
      <c r="AO57" s="78" t="s">
        <v>822</v>
      </c>
    </row>
    <row r="58" spans="1:41" ht="12" hidden="1" customHeight="1" outlineLevel="2" collapsed="1" x14ac:dyDescent="0.2">
      <c r="A58" s="63" t="s">
        <v>477</v>
      </c>
      <c r="B58" s="62"/>
      <c r="C58" s="62"/>
      <c r="D58" s="64">
        <v>2379658.02</v>
      </c>
      <c r="E58" s="64">
        <v>2379658.02</v>
      </c>
      <c r="F58" s="62"/>
      <c r="G58" s="62"/>
    </row>
    <row r="59" spans="1:41" ht="12" hidden="1" customHeight="1" outlineLevel="3" x14ac:dyDescent="0.2">
      <c r="A59" s="61" t="s">
        <v>472</v>
      </c>
      <c r="B59" s="45"/>
      <c r="C59" s="45"/>
      <c r="D59" s="45"/>
      <c r="E59" s="46">
        <v>2379658.02</v>
      </c>
      <c r="F59" s="45"/>
      <c r="G59" s="45"/>
    </row>
    <row r="60" spans="1:41" ht="12" hidden="1" customHeight="1" outlineLevel="4" x14ac:dyDescent="0.2">
      <c r="A60" s="60" t="s">
        <v>472</v>
      </c>
      <c r="B60" s="45"/>
      <c r="C60" s="45"/>
      <c r="D60" s="45"/>
      <c r="E60" s="46">
        <v>2379658.02</v>
      </c>
      <c r="F60" s="45"/>
      <c r="G60" s="45"/>
    </row>
    <row r="61" spans="1:41" ht="12" hidden="1" customHeight="1" outlineLevel="3" x14ac:dyDescent="0.2">
      <c r="A61" s="61" t="s">
        <v>549</v>
      </c>
      <c r="B61" s="45"/>
      <c r="C61" s="45"/>
      <c r="D61" s="46">
        <v>1835958</v>
      </c>
      <c r="E61" s="45"/>
      <c r="F61" s="45"/>
      <c r="G61" s="45"/>
    </row>
    <row r="62" spans="1:41" ht="12" hidden="1" customHeight="1" outlineLevel="4" x14ac:dyDescent="0.2">
      <c r="A62" s="60" t="s">
        <v>472</v>
      </c>
      <c r="B62" s="45"/>
      <c r="C62" s="45"/>
      <c r="D62" s="46">
        <v>1835958</v>
      </c>
      <c r="E62" s="45"/>
      <c r="F62" s="45"/>
      <c r="G62" s="45"/>
    </row>
    <row r="63" spans="1:41" ht="12" hidden="1" customHeight="1" outlineLevel="3" x14ac:dyDescent="0.2">
      <c r="A63" s="61" t="s">
        <v>392</v>
      </c>
      <c r="B63" s="45"/>
      <c r="C63" s="45"/>
      <c r="D63" s="46">
        <v>543700.02</v>
      </c>
      <c r="E63" s="45"/>
      <c r="F63" s="45"/>
      <c r="G63" s="45"/>
    </row>
    <row r="64" spans="1:41" ht="12" hidden="1" customHeight="1" outlineLevel="4" x14ac:dyDescent="0.2">
      <c r="A64" s="60" t="s">
        <v>472</v>
      </c>
      <c r="B64" s="45"/>
      <c r="C64" s="45"/>
      <c r="D64" s="46">
        <v>543700.02</v>
      </c>
      <c r="E64" s="45"/>
      <c r="F64" s="45"/>
      <c r="G64" s="45"/>
    </row>
    <row r="65" spans="1:8" ht="12" customHeight="1" outlineLevel="1" collapsed="1" x14ac:dyDescent="0.2">
      <c r="A65" s="79" t="s">
        <v>793</v>
      </c>
      <c r="B65" s="48"/>
      <c r="C65" s="48"/>
      <c r="D65" s="49">
        <v>5170.7</v>
      </c>
      <c r="E65" s="49">
        <v>5170.7</v>
      </c>
      <c r="F65" s="48"/>
      <c r="G65" s="48"/>
      <c r="H65" s="41" t="s">
        <v>340</v>
      </c>
    </row>
    <row r="66" spans="1:8" ht="12" hidden="1" customHeight="1" outlineLevel="2" collapsed="1" x14ac:dyDescent="0.2">
      <c r="A66" s="63" t="s">
        <v>477</v>
      </c>
      <c r="B66" s="62"/>
      <c r="C66" s="62"/>
      <c r="D66" s="64">
        <v>5170.7</v>
      </c>
      <c r="E66" s="64">
        <v>5170.7</v>
      </c>
      <c r="F66" s="62"/>
      <c r="G66" s="62"/>
    </row>
    <row r="67" spans="1:8" ht="12" hidden="1" customHeight="1" outlineLevel="3" x14ac:dyDescent="0.2">
      <c r="A67" s="61" t="s">
        <v>472</v>
      </c>
      <c r="B67" s="45"/>
      <c r="C67" s="45"/>
      <c r="D67" s="45"/>
      <c r="E67" s="46">
        <v>5170.7</v>
      </c>
      <c r="F67" s="45"/>
      <c r="G67" s="45"/>
    </row>
    <row r="68" spans="1:8" ht="12" hidden="1" customHeight="1" outlineLevel="4" x14ac:dyDescent="0.2">
      <c r="A68" s="60" t="s">
        <v>472</v>
      </c>
      <c r="B68" s="45"/>
      <c r="C68" s="45"/>
      <c r="D68" s="45"/>
      <c r="E68" s="46">
        <v>5170.7</v>
      </c>
      <c r="F68" s="45"/>
      <c r="G68" s="45"/>
    </row>
    <row r="69" spans="1:8" ht="23.25" hidden="1" customHeight="1" outlineLevel="3" x14ac:dyDescent="0.2">
      <c r="A69" s="61" t="s">
        <v>403</v>
      </c>
      <c r="B69" s="45"/>
      <c r="C69" s="45"/>
      <c r="D69" s="46">
        <v>5170.7</v>
      </c>
      <c r="E69" s="45"/>
      <c r="F69" s="45"/>
      <c r="G69" s="45"/>
    </row>
    <row r="70" spans="1:8" ht="12" hidden="1" customHeight="1" outlineLevel="4" x14ac:dyDescent="0.2">
      <c r="A70" s="60" t="s">
        <v>495</v>
      </c>
      <c r="B70" s="45"/>
      <c r="C70" s="45"/>
      <c r="D70" s="46">
        <v>5170.7</v>
      </c>
      <c r="E70" s="45"/>
      <c r="F70" s="45"/>
      <c r="G70" s="45"/>
    </row>
    <row r="71" spans="1:8" ht="12" customHeight="1" outlineLevel="1" collapsed="1" x14ac:dyDescent="0.2">
      <c r="A71" s="79" t="s">
        <v>792</v>
      </c>
      <c r="B71" s="48"/>
      <c r="C71" s="48"/>
      <c r="D71" s="49">
        <v>44380</v>
      </c>
      <c r="E71" s="49">
        <v>44380</v>
      </c>
      <c r="F71" s="48"/>
      <c r="G71" s="48"/>
      <c r="H71" s="41" t="s">
        <v>340</v>
      </c>
    </row>
    <row r="72" spans="1:8" ht="12" hidden="1" customHeight="1" outlineLevel="2" collapsed="1" x14ac:dyDescent="0.2">
      <c r="A72" s="63" t="s">
        <v>477</v>
      </c>
      <c r="B72" s="62"/>
      <c r="C72" s="62"/>
      <c r="D72" s="64">
        <v>44380</v>
      </c>
      <c r="E72" s="64">
        <v>44380</v>
      </c>
      <c r="F72" s="62"/>
      <c r="G72" s="62"/>
    </row>
    <row r="73" spans="1:8" ht="12" hidden="1" customHeight="1" outlineLevel="3" x14ac:dyDescent="0.2">
      <c r="A73" s="61" t="s">
        <v>472</v>
      </c>
      <c r="B73" s="45"/>
      <c r="C73" s="45"/>
      <c r="D73" s="45"/>
      <c r="E73" s="46">
        <v>44380</v>
      </c>
      <c r="F73" s="45"/>
      <c r="G73" s="45"/>
    </row>
    <row r="74" spans="1:8" ht="12" hidden="1" customHeight="1" outlineLevel="4" x14ac:dyDescent="0.2">
      <c r="A74" s="60" t="s">
        <v>472</v>
      </c>
      <c r="B74" s="45"/>
      <c r="C74" s="45"/>
      <c r="D74" s="45"/>
      <c r="E74" s="46">
        <v>44380</v>
      </c>
      <c r="F74" s="45"/>
      <c r="G74" s="45"/>
    </row>
    <row r="75" spans="1:8" ht="23.25" hidden="1" customHeight="1" outlineLevel="3" x14ac:dyDescent="0.2">
      <c r="A75" s="61" t="s">
        <v>403</v>
      </c>
      <c r="B75" s="45"/>
      <c r="C75" s="45"/>
      <c r="D75" s="46">
        <v>44380</v>
      </c>
      <c r="E75" s="45"/>
      <c r="F75" s="45"/>
      <c r="G75" s="45"/>
    </row>
    <row r="76" spans="1:8" ht="12" hidden="1" customHeight="1" outlineLevel="4" x14ac:dyDescent="0.2">
      <c r="A76" s="60" t="s">
        <v>495</v>
      </c>
      <c r="B76" s="45"/>
      <c r="C76" s="45"/>
      <c r="D76" s="46">
        <v>44380</v>
      </c>
      <c r="E76" s="45"/>
      <c r="F76" s="45"/>
      <c r="G76" s="45"/>
    </row>
    <row r="77" spans="1:8" ht="12" customHeight="1" outlineLevel="1" collapsed="1" x14ac:dyDescent="0.2">
      <c r="A77" s="50" t="s">
        <v>424</v>
      </c>
      <c r="B77" s="48"/>
      <c r="C77" s="48"/>
      <c r="D77" s="68">
        <v>131154.96</v>
      </c>
      <c r="E77" s="49">
        <v>131154.96</v>
      </c>
      <c r="F77" s="48"/>
      <c r="G77" s="48"/>
    </row>
    <row r="78" spans="1:8" ht="12" hidden="1" customHeight="1" outlineLevel="2" collapsed="1" x14ac:dyDescent="0.2">
      <c r="A78" s="63" t="s">
        <v>480</v>
      </c>
      <c r="B78" s="62"/>
      <c r="C78" s="62"/>
      <c r="D78" s="62"/>
      <c r="E78" s="62"/>
      <c r="F78" s="62"/>
      <c r="G78" s="62"/>
    </row>
    <row r="79" spans="1:8" ht="12" hidden="1" customHeight="1" outlineLevel="3" x14ac:dyDescent="0.2">
      <c r="A79" s="61" t="s">
        <v>472</v>
      </c>
      <c r="B79" s="45"/>
      <c r="C79" s="45"/>
      <c r="D79" s="45"/>
      <c r="E79" s="66">
        <v>0.03</v>
      </c>
      <c r="F79" s="45"/>
      <c r="G79" s="45"/>
    </row>
    <row r="80" spans="1:8" ht="12" hidden="1" customHeight="1" outlineLevel="4" x14ac:dyDescent="0.2">
      <c r="A80" s="60" t="s">
        <v>472</v>
      </c>
      <c r="B80" s="45"/>
      <c r="C80" s="45"/>
      <c r="D80" s="45"/>
      <c r="E80" s="66">
        <v>0.03</v>
      </c>
      <c r="F80" s="45"/>
      <c r="G80" s="45"/>
    </row>
    <row r="81" spans="1:7" ht="12" hidden="1" customHeight="1" outlineLevel="3" x14ac:dyDescent="0.2">
      <c r="A81" s="61" t="s">
        <v>472</v>
      </c>
      <c r="B81" s="45"/>
      <c r="C81" s="45"/>
      <c r="D81" s="45"/>
      <c r="E81" s="65">
        <v>-0.03</v>
      </c>
      <c r="F81" s="45"/>
      <c r="G81" s="45"/>
    </row>
    <row r="82" spans="1:7" ht="12" hidden="1" customHeight="1" outlineLevel="4" x14ac:dyDescent="0.2">
      <c r="A82" s="60" t="s">
        <v>472</v>
      </c>
      <c r="B82" s="45"/>
      <c r="C82" s="45"/>
      <c r="D82" s="45"/>
      <c r="E82" s="65">
        <v>-0.03</v>
      </c>
      <c r="F82" s="45"/>
      <c r="G82" s="45"/>
    </row>
    <row r="83" spans="1:7" ht="12" hidden="1" customHeight="1" outlineLevel="2" collapsed="1" x14ac:dyDescent="0.2">
      <c r="A83" s="63" t="s">
        <v>30</v>
      </c>
      <c r="B83" s="62"/>
      <c r="C83" s="62"/>
      <c r="D83" s="62"/>
      <c r="E83" s="62"/>
      <c r="F83" s="62"/>
      <c r="G83" s="62"/>
    </row>
    <row r="84" spans="1:7" ht="12" hidden="1" customHeight="1" outlineLevel="3" x14ac:dyDescent="0.2">
      <c r="A84" s="61" t="s">
        <v>472</v>
      </c>
      <c r="B84" s="45"/>
      <c r="C84" s="45"/>
      <c r="D84" s="45"/>
      <c r="E84" s="46">
        <v>8733.7000000000007</v>
      </c>
      <c r="F84" s="45"/>
      <c r="G84" s="45"/>
    </row>
    <row r="85" spans="1:7" ht="12" hidden="1" customHeight="1" outlineLevel="4" x14ac:dyDescent="0.2">
      <c r="A85" s="60" t="s">
        <v>472</v>
      </c>
      <c r="B85" s="45"/>
      <c r="C85" s="45"/>
      <c r="D85" s="45"/>
      <c r="E85" s="46">
        <v>8733.7000000000007</v>
      </c>
      <c r="F85" s="45"/>
      <c r="G85" s="45"/>
    </row>
    <row r="86" spans="1:7" ht="12" hidden="1" customHeight="1" outlineLevel="3" x14ac:dyDescent="0.2">
      <c r="A86" s="61" t="s">
        <v>472</v>
      </c>
      <c r="B86" s="45"/>
      <c r="C86" s="45"/>
      <c r="D86" s="45"/>
      <c r="E86" s="59">
        <v>-8733.7000000000007</v>
      </c>
      <c r="F86" s="45"/>
      <c r="G86" s="45"/>
    </row>
    <row r="87" spans="1:7" ht="12" hidden="1" customHeight="1" outlineLevel="4" x14ac:dyDescent="0.2">
      <c r="A87" s="60" t="s">
        <v>472</v>
      </c>
      <c r="B87" s="45"/>
      <c r="C87" s="45"/>
      <c r="D87" s="45"/>
      <c r="E87" s="59">
        <v>-8733.7000000000007</v>
      </c>
      <c r="F87" s="45"/>
      <c r="G87" s="45"/>
    </row>
    <row r="88" spans="1:7" ht="12" hidden="1" customHeight="1" outlineLevel="2" collapsed="1" x14ac:dyDescent="0.2">
      <c r="A88" s="63" t="s">
        <v>479</v>
      </c>
      <c r="B88" s="62"/>
      <c r="C88" s="62"/>
      <c r="D88" s="62"/>
      <c r="E88" s="62"/>
      <c r="F88" s="62"/>
      <c r="G88" s="62"/>
    </row>
    <row r="89" spans="1:7" ht="12" hidden="1" customHeight="1" outlineLevel="3" x14ac:dyDescent="0.2">
      <c r="A89" s="61" t="s">
        <v>472</v>
      </c>
      <c r="B89" s="45"/>
      <c r="C89" s="45"/>
      <c r="D89" s="45"/>
      <c r="E89" s="46">
        <v>17675.82</v>
      </c>
      <c r="F89" s="45"/>
      <c r="G89" s="45"/>
    </row>
    <row r="90" spans="1:7" ht="12" hidden="1" customHeight="1" outlineLevel="4" x14ac:dyDescent="0.2">
      <c r="A90" s="60" t="s">
        <v>472</v>
      </c>
      <c r="B90" s="45"/>
      <c r="C90" s="45"/>
      <c r="D90" s="45"/>
      <c r="E90" s="46">
        <v>17675.82</v>
      </c>
      <c r="F90" s="45"/>
      <c r="G90" s="45"/>
    </row>
    <row r="91" spans="1:7" ht="12" hidden="1" customHeight="1" outlineLevel="3" x14ac:dyDescent="0.2">
      <c r="A91" s="61" t="s">
        <v>472</v>
      </c>
      <c r="B91" s="45"/>
      <c r="C91" s="45"/>
      <c r="D91" s="45"/>
      <c r="E91" s="59">
        <v>-17675.82</v>
      </c>
      <c r="F91" s="45"/>
      <c r="G91" s="45"/>
    </row>
    <row r="92" spans="1:7" ht="12" hidden="1" customHeight="1" outlineLevel="4" x14ac:dyDescent="0.2">
      <c r="A92" s="60" t="s">
        <v>472</v>
      </c>
      <c r="B92" s="45"/>
      <c r="C92" s="45"/>
      <c r="D92" s="45"/>
      <c r="E92" s="59">
        <v>-17675.82</v>
      </c>
      <c r="F92" s="45"/>
      <c r="G92" s="45"/>
    </row>
    <row r="93" spans="1:7" ht="12" hidden="1" customHeight="1" outlineLevel="2" collapsed="1" x14ac:dyDescent="0.2">
      <c r="A93" s="63" t="s">
        <v>478</v>
      </c>
      <c r="B93" s="62"/>
      <c r="C93" s="62"/>
      <c r="D93" s="62"/>
      <c r="E93" s="62"/>
      <c r="F93" s="62"/>
      <c r="G93" s="62"/>
    </row>
    <row r="94" spans="1:7" ht="12" hidden="1" customHeight="1" outlineLevel="3" x14ac:dyDescent="0.2">
      <c r="A94" s="61" t="s">
        <v>472</v>
      </c>
      <c r="B94" s="45"/>
      <c r="C94" s="45"/>
      <c r="D94" s="45"/>
      <c r="E94" s="66">
        <v>2.8</v>
      </c>
      <c r="F94" s="45"/>
      <c r="G94" s="45"/>
    </row>
    <row r="95" spans="1:7" ht="12" hidden="1" customHeight="1" outlineLevel="4" x14ac:dyDescent="0.2">
      <c r="A95" s="60" t="s">
        <v>472</v>
      </c>
      <c r="B95" s="45"/>
      <c r="C95" s="45"/>
      <c r="D95" s="45"/>
      <c r="E95" s="66">
        <v>2.8</v>
      </c>
      <c r="F95" s="45"/>
      <c r="G95" s="45"/>
    </row>
    <row r="96" spans="1:7" ht="12" hidden="1" customHeight="1" outlineLevel="3" x14ac:dyDescent="0.2">
      <c r="A96" s="61" t="s">
        <v>472</v>
      </c>
      <c r="B96" s="45"/>
      <c r="C96" s="45"/>
      <c r="D96" s="45"/>
      <c r="E96" s="65">
        <v>-2.8</v>
      </c>
      <c r="F96" s="45"/>
      <c r="G96" s="45"/>
    </row>
    <row r="97" spans="1:7" ht="12" hidden="1" customHeight="1" outlineLevel="4" x14ac:dyDescent="0.2">
      <c r="A97" s="60" t="s">
        <v>472</v>
      </c>
      <c r="B97" s="45"/>
      <c r="C97" s="45"/>
      <c r="D97" s="45"/>
      <c r="E97" s="65">
        <v>-2.8</v>
      </c>
      <c r="F97" s="45"/>
      <c r="G97" s="45"/>
    </row>
    <row r="98" spans="1:7" ht="12" hidden="1" customHeight="1" outlineLevel="2" collapsed="1" x14ac:dyDescent="0.2">
      <c r="A98" s="63" t="s">
        <v>32</v>
      </c>
      <c r="B98" s="62"/>
      <c r="C98" s="62"/>
      <c r="D98" s="62"/>
      <c r="E98" s="62"/>
      <c r="F98" s="62"/>
      <c r="G98" s="62"/>
    </row>
    <row r="99" spans="1:7" ht="12" hidden="1" customHeight="1" outlineLevel="3" x14ac:dyDescent="0.2">
      <c r="A99" s="61" t="s">
        <v>472</v>
      </c>
      <c r="B99" s="45"/>
      <c r="C99" s="45"/>
      <c r="D99" s="45"/>
      <c r="E99" s="46">
        <v>33191.11</v>
      </c>
      <c r="F99" s="45"/>
      <c r="G99" s="45"/>
    </row>
    <row r="100" spans="1:7" ht="12" hidden="1" customHeight="1" outlineLevel="4" x14ac:dyDescent="0.2">
      <c r="A100" s="60" t="s">
        <v>472</v>
      </c>
      <c r="B100" s="45"/>
      <c r="C100" s="45"/>
      <c r="D100" s="45"/>
      <c r="E100" s="46">
        <v>33191.11</v>
      </c>
      <c r="F100" s="45"/>
      <c r="G100" s="45"/>
    </row>
    <row r="101" spans="1:7" ht="12" hidden="1" customHeight="1" outlineLevel="3" x14ac:dyDescent="0.2">
      <c r="A101" s="61" t="s">
        <v>472</v>
      </c>
      <c r="B101" s="45"/>
      <c r="C101" s="45"/>
      <c r="D101" s="45"/>
      <c r="E101" s="59">
        <v>-33191.11</v>
      </c>
      <c r="F101" s="45"/>
      <c r="G101" s="45"/>
    </row>
    <row r="102" spans="1:7" ht="12" hidden="1" customHeight="1" outlineLevel="4" x14ac:dyDescent="0.2">
      <c r="A102" s="60" t="s">
        <v>472</v>
      </c>
      <c r="B102" s="45"/>
      <c r="C102" s="45"/>
      <c r="D102" s="45"/>
      <c r="E102" s="59">
        <v>-33191.11</v>
      </c>
      <c r="F102" s="45"/>
      <c r="G102" s="45"/>
    </row>
    <row r="103" spans="1:7" ht="12" hidden="1" customHeight="1" outlineLevel="2" collapsed="1" x14ac:dyDescent="0.2">
      <c r="A103" s="63" t="s">
        <v>477</v>
      </c>
      <c r="B103" s="62"/>
      <c r="C103" s="62"/>
      <c r="D103" s="64">
        <v>131154.96</v>
      </c>
      <c r="E103" s="64">
        <v>131154.96</v>
      </c>
      <c r="F103" s="62"/>
      <c r="G103" s="62"/>
    </row>
    <row r="104" spans="1:7" ht="12" hidden="1" customHeight="1" outlineLevel="3" x14ac:dyDescent="0.2">
      <c r="A104" s="61" t="s">
        <v>472</v>
      </c>
      <c r="B104" s="45"/>
      <c r="C104" s="45"/>
      <c r="D104" s="45"/>
      <c r="E104" s="46">
        <v>193947.06</v>
      </c>
      <c r="F104" s="45"/>
      <c r="G104" s="45"/>
    </row>
    <row r="105" spans="1:7" ht="12" hidden="1" customHeight="1" outlineLevel="4" x14ac:dyDescent="0.2">
      <c r="A105" s="60" t="s">
        <v>472</v>
      </c>
      <c r="B105" s="45"/>
      <c r="C105" s="45"/>
      <c r="D105" s="45"/>
      <c r="E105" s="46">
        <v>193947.06</v>
      </c>
      <c r="F105" s="45"/>
      <c r="G105" s="45"/>
    </row>
    <row r="106" spans="1:7" ht="12" hidden="1" customHeight="1" outlineLevel="3" x14ac:dyDescent="0.2">
      <c r="A106" s="61" t="s">
        <v>472</v>
      </c>
      <c r="B106" s="45"/>
      <c r="C106" s="45"/>
      <c r="D106" s="45"/>
      <c r="E106" s="59">
        <v>-62792.1</v>
      </c>
      <c r="F106" s="45"/>
      <c r="G106" s="45"/>
    </row>
    <row r="107" spans="1:7" ht="12" hidden="1" customHeight="1" outlineLevel="4" x14ac:dyDescent="0.2">
      <c r="A107" s="60" t="s">
        <v>472</v>
      </c>
      <c r="B107" s="45"/>
      <c r="C107" s="45"/>
      <c r="D107" s="45"/>
      <c r="E107" s="59">
        <v>-62792.1</v>
      </c>
      <c r="F107" s="45"/>
      <c r="G107" s="45"/>
    </row>
    <row r="108" spans="1:7" ht="23.25" hidden="1" customHeight="1" outlineLevel="3" x14ac:dyDescent="0.2">
      <c r="A108" s="61" t="s">
        <v>419</v>
      </c>
      <c r="B108" s="45"/>
      <c r="C108" s="45"/>
      <c r="D108" s="46">
        <v>131154.96</v>
      </c>
      <c r="E108" s="45"/>
      <c r="F108" s="45"/>
      <c r="G108" s="45"/>
    </row>
    <row r="109" spans="1:7" ht="12" hidden="1" customHeight="1" outlineLevel="4" x14ac:dyDescent="0.2">
      <c r="A109" s="60" t="s">
        <v>472</v>
      </c>
      <c r="B109" s="45"/>
      <c r="C109" s="45"/>
      <c r="D109" s="46">
        <v>131154.96</v>
      </c>
      <c r="E109" s="45"/>
      <c r="F109" s="45"/>
      <c r="G109" s="45"/>
    </row>
    <row r="110" spans="1:7" ht="12" hidden="1" customHeight="1" outlineLevel="2" collapsed="1" x14ac:dyDescent="0.2">
      <c r="A110" s="63" t="s">
        <v>476</v>
      </c>
      <c r="B110" s="62"/>
      <c r="C110" s="62"/>
      <c r="D110" s="62"/>
      <c r="E110" s="62"/>
      <c r="F110" s="62"/>
      <c r="G110" s="62"/>
    </row>
    <row r="111" spans="1:7" ht="12" hidden="1" customHeight="1" outlineLevel="3" x14ac:dyDescent="0.2">
      <c r="A111" s="61" t="s">
        <v>472</v>
      </c>
      <c r="B111" s="45"/>
      <c r="C111" s="45"/>
      <c r="D111" s="45"/>
      <c r="E111" s="46">
        <v>4937</v>
      </c>
      <c r="F111" s="45"/>
      <c r="G111" s="45"/>
    </row>
    <row r="112" spans="1:7" ht="12" hidden="1" customHeight="1" outlineLevel="4" x14ac:dyDescent="0.2">
      <c r="A112" s="60" t="s">
        <v>472</v>
      </c>
      <c r="B112" s="45"/>
      <c r="C112" s="45"/>
      <c r="D112" s="45"/>
      <c r="E112" s="46">
        <v>4937</v>
      </c>
      <c r="F112" s="45"/>
      <c r="G112" s="45"/>
    </row>
    <row r="113" spans="1:7" ht="12" hidden="1" customHeight="1" outlineLevel="3" x14ac:dyDescent="0.2">
      <c r="A113" s="61" t="s">
        <v>472</v>
      </c>
      <c r="B113" s="45"/>
      <c r="C113" s="45"/>
      <c r="D113" s="45"/>
      <c r="E113" s="59">
        <v>-4937</v>
      </c>
      <c r="F113" s="45"/>
      <c r="G113" s="45"/>
    </row>
    <row r="114" spans="1:7" ht="12" hidden="1" customHeight="1" outlineLevel="4" x14ac:dyDescent="0.2">
      <c r="A114" s="60" t="s">
        <v>472</v>
      </c>
      <c r="B114" s="45"/>
      <c r="C114" s="45"/>
      <c r="D114" s="45"/>
      <c r="E114" s="59">
        <v>-4937</v>
      </c>
      <c r="F114" s="45"/>
      <c r="G114" s="45"/>
    </row>
    <row r="115" spans="1:7" ht="12" hidden="1" customHeight="1" outlineLevel="2" collapsed="1" x14ac:dyDescent="0.2">
      <c r="A115" s="63" t="s">
        <v>475</v>
      </c>
      <c r="B115" s="62"/>
      <c r="C115" s="62"/>
      <c r="D115" s="62"/>
      <c r="E115" s="62"/>
      <c r="F115" s="62"/>
      <c r="G115" s="62"/>
    </row>
    <row r="116" spans="1:7" ht="12" hidden="1" customHeight="1" outlineLevel="3" x14ac:dyDescent="0.2">
      <c r="A116" s="61" t="s">
        <v>472</v>
      </c>
      <c r="B116" s="45"/>
      <c r="C116" s="45"/>
      <c r="D116" s="45"/>
      <c r="E116" s="46">
        <v>3822.4</v>
      </c>
      <c r="F116" s="45"/>
      <c r="G116" s="45"/>
    </row>
    <row r="117" spans="1:7" ht="12" hidden="1" customHeight="1" outlineLevel="4" x14ac:dyDescent="0.2">
      <c r="A117" s="60" t="s">
        <v>472</v>
      </c>
      <c r="B117" s="45"/>
      <c r="C117" s="45"/>
      <c r="D117" s="45"/>
      <c r="E117" s="46">
        <v>3822.4</v>
      </c>
      <c r="F117" s="45"/>
      <c r="G117" s="45"/>
    </row>
    <row r="118" spans="1:7" ht="12" hidden="1" customHeight="1" outlineLevel="3" x14ac:dyDescent="0.2">
      <c r="A118" s="61" t="s">
        <v>472</v>
      </c>
      <c r="B118" s="45"/>
      <c r="C118" s="45"/>
      <c r="D118" s="45"/>
      <c r="E118" s="59">
        <v>-3822.4</v>
      </c>
      <c r="F118" s="45"/>
      <c r="G118" s="45"/>
    </row>
    <row r="119" spans="1:7" ht="12" hidden="1" customHeight="1" outlineLevel="4" x14ac:dyDescent="0.2">
      <c r="A119" s="60" t="s">
        <v>472</v>
      </c>
      <c r="B119" s="45"/>
      <c r="C119" s="45"/>
      <c r="D119" s="45"/>
      <c r="E119" s="59">
        <v>-3822.4</v>
      </c>
      <c r="F119" s="45"/>
      <c r="G119" s="45"/>
    </row>
    <row r="120" spans="1:7" ht="12" customHeight="1" outlineLevel="1" collapsed="1" x14ac:dyDescent="0.2">
      <c r="A120" s="50" t="s">
        <v>423</v>
      </c>
      <c r="B120" s="48"/>
      <c r="C120" s="48"/>
      <c r="D120" s="68">
        <v>657414.52</v>
      </c>
      <c r="E120" s="49">
        <v>657414.52</v>
      </c>
      <c r="F120" s="48"/>
      <c r="G120" s="48"/>
    </row>
    <row r="121" spans="1:7" ht="12" hidden="1" customHeight="1" outlineLevel="2" collapsed="1" x14ac:dyDescent="0.2">
      <c r="A121" s="63" t="s">
        <v>480</v>
      </c>
      <c r="B121" s="62"/>
      <c r="C121" s="62"/>
      <c r="D121" s="62"/>
      <c r="E121" s="62"/>
      <c r="F121" s="62"/>
      <c r="G121" s="62"/>
    </row>
    <row r="122" spans="1:7" ht="12" hidden="1" customHeight="1" outlineLevel="3" x14ac:dyDescent="0.2">
      <c r="A122" s="61" t="s">
        <v>472</v>
      </c>
      <c r="B122" s="45"/>
      <c r="C122" s="45"/>
      <c r="D122" s="45"/>
      <c r="E122" s="66">
        <v>0.51</v>
      </c>
      <c r="F122" s="45"/>
      <c r="G122" s="45"/>
    </row>
    <row r="123" spans="1:7" ht="12" hidden="1" customHeight="1" outlineLevel="4" x14ac:dyDescent="0.2">
      <c r="A123" s="60" t="s">
        <v>472</v>
      </c>
      <c r="B123" s="45"/>
      <c r="C123" s="45"/>
      <c r="D123" s="45"/>
      <c r="E123" s="66">
        <v>0.51</v>
      </c>
      <c r="F123" s="45"/>
      <c r="G123" s="45"/>
    </row>
    <row r="124" spans="1:7" ht="12" hidden="1" customHeight="1" outlineLevel="3" x14ac:dyDescent="0.2">
      <c r="A124" s="61" t="s">
        <v>472</v>
      </c>
      <c r="B124" s="45"/>
      <c r="C124" s="45"/>
      <c r="D124" s="45"/>
      <c r="E124" s="65">
        <v>-0.51</v>
      </c>
      <c r="F124" s="45"/>
      <c r="G124" s="45"/>
    </row>
    <row r="125" spans="1:7" ht="12" hidden="1" customHeight="1" outlineLevel="4" x14ac:dyDescent="0.2">
      <c r="A125" s="60" t="s">
        <v>472</v>
      </c>
      <c r="B125" s="45"/>
      <c r="C125" s="45"/>
      <c r="D125" s="45"/>
      <c r="E125" s="65">
        <v>-0.51</v>
      </c>
      <c r="F125" s="45"/>
      <c r="G125" s="45"/>
    </row>
    <row r="126" spans="1:7" ht="12" hidden="1" customHeight="1" outlineLevel="2" collapsed="1" x14ac:dyDescent="0.2">
      <c r="A126" s="63" t="s">
        <v>30</v>
      </c>
      <c r="B126" s="62"/>
      <c r="C126" s="62"/>
      <c r="D126" s="62"/>
      <c r="E126" s="62"/>
      <c r="F126" s="62"/>
      <c r="G126" s="62"/>
    </row>
    <row r="127" spans="1:7" ht="12" hidden="1" customHeight="1" outlineLevel="3" x14ac:dyDescent="0.2">
      <c r="A127" s="61" t="s">
        <v>472</v>
      </c>
      <c r="B127" s="45"/>
      <c r="C127" s="45"/>
      <c r="D127" s="45"/>
      <c r="E127" s="46">
        <v>43806.080000000002</v>
      </c>
      <c r="F127" s="45"/>
      <c r="G127" s="45"/>
    </row>
    <row r="128" spans="1:7" ht="12" hidden="1" customHeight="1" outlineLevel="4" x14ac:dyDescent="0.2">
      <c r="A128" s="60" t="s">
        <v>472</v>
      </c>
      <c r="B128" s="45"/>
      <c r="C128" s="45"/>
      <c r="D128" s="45"/>
      <c r="E128" s="46">
        <v>43806.080000000002</v>
      </c>
      <c r="F128" s="45"/>
      <c r="G128" s="45"/>
    </row>
    <row r="129" spans="1:7" ht="12" hidden="1" customHeight="1" outlineLevel="3" x14ac:dyDescent="0.2">
      <c r="A129" s="61" t="s">
        <v>472</v>
      </c>
      <c r="B129" s="45"/>
      <c r="C129" s="45"/>
      <c r="D129" s="45"/>
      <c r="E129" s="59">
        <v>-43806.080000000002</v>
      </c>
      <c r="F129" s="45"/>
      <c r="G129" s="45"/>
    </row>
    <row r="130" spans="1:7" ht="12" hidden="1" customHeight="1" outlineLevel="4" x14ac:dyDescent="0.2">
      <c r="A130" s="60" t="s">
        <v>472</v>
      </c>
      <c r="B130" s="45"/>
      <c r="C130" s="45"/>
      <c r="D130" s="45"/>
      <c r="E130" s="59">
        <v>-43806.080000000002</v>
      </c>
      <c r="F130" s="45"/>
      <c r="G130" s="45"/>
    </row>
    <row r="131" spans="1:7" ht="12" hidden="1" customHeight="1" outlineLevel="2" collapsed="1" x14ac:dyDescent="0.2">
      <c r="A131" s="63" t="s">
        <v>479</v>
      </c>
      <c r="B131" s="62"/>
      <c r="C131" s="62"/>
      <c r="D131" s="62"/>
      <c r="E131" s="62"/>
      <c r="F131" s="62"/>
      <c r="G131" s="62"/>
    </row>
    <row r="132" spans="1:7" ht="12" hidden="1" customHeight="1" outlineLevel="3" x14ac:dyDescent="0.2">
      <c r="A132" s="61" t="s">
        <v>472</v>
      </c>
      <c r="B132" s="45"/>
      <c r="C132" s="45"/>
      <c r="D132" s="45"/>
      <c r="E132" s="46">
        <v>88780.24</v>
      </c>
      <c r="F132" s="45"/>
      <c r="G132" s="45"/>
    </row>
    <row r="133" spans="1:7" ht="12" hidden="1" customHeight="1" outlineLevel="4" x14ac:dyDescent="0.2">
      <c r="A133" s="60" t="s">
        <v>472</v>
      </c>
      <c r="B133" s="45"/>
      <c r="C133" s="45"/>
      <c r="D133" s="45"/>
      <c r="E133" s="46">
        <v>88780.24</v>
      </c>
      <c r="F133" s="45"/>
      <c r="G133" s="45"/>
    </row>
    <row r="134" spans="1:7" ht="12" hidden="1" customHeight="1" outlineLevel="3" x14ac:dyDescent="0.2">
      <c r="A134" s="61" t="s">
        <v>472</v>
      </c>
      <c r="B134" s="45"/>
      <c r="C134" s="45"/>
      <c r="D134" s="45"/>
      <c r="E134" s="59">
        <v>-88780.24</v>
      </c>
      <c r="F134" s="45"/>
      <c r="G134" s="45"/>
    </row>
    <row r="135" spans="1:7" ht="12" hidden="1" customHeight="1" outlineLevel="4" x14ac:dyDescent="0.2">
      <c r="A135" s="60" t="s">
        <v>472</v>
      </c>
      <c r="B135" s="45"/>
      <c r="C135" s="45"/>
      <c r="D135" s="45"/>
      <c r="E135" s="59">
        <v>-88780.24</v>
      </c>
      <c r="F135" s="45"/>
      <c r="G135" s="45"/>
    </row>
    <row r="136" spans="1:7" ht="12" hidden="1" customHeight="1" outlineLevel="2" collapsed="1" x14ac:dyDescent="0.2">
      <c r="A136" s="63" t="s">
        <v>478</v>
      </c>
      <c r="B136" s="62"/>
      <c r="C136" s="62"/>
      <c r="D136" s="62"/>
      <c r="E136" s="62"/>
      <c r="F136" s="62"/>
      <c r="G136" s="62"/>
    </row>
    <row r="137" spans="1:7" ht="12" hidden="1" customHeight="1" outlineLevel="3" x14ac:dyDescent="0.2">
      <c r="A137" s="61" t="s">
        <v>472</v>
      </c>
      <c r="B137" s="45"/>
      <c r="C137" s="45"/>
      <c r="D137" s="45"/>
      <c r="E137" s="66">
        <v>13.94</v>
      </c>
      <c r="F137" s="45"/>
      <c r="G137" s="45"/>
    </row>
    <row r="138" spans="1:7" ht="12" hidden="1" customHeight="1" outlineLevel="4" x14ac:dyDescent="0.2">
      <c r="A138" s="60" t="s">
        <v>472</v>
      </c>
      <c r="B138" s="45"/>
      <c r="C138" s="45"/>
      <c r="D138" s="45"/>
      <c r="E138" s="66">
        <v>13.94</v>
      </c>
      <c r="F138" s="45"/>
      <c r="G138" s="45"/>
    </row>
    <row r="139" spans="1:7" ht="12" hidden="1" customHeight="1" outlineLevel="3" x14ac:dyDescent="0.2">
      <c r="A139" s="61" t="s">
        <v>472</v>
      </c>
      <c r="B139" s="45"/>
      <c r="C139" s="45"/>
      <c r="D139" s="45"/>
      <c r="E139" s="65">
        <v>-13.94</v>
      </c>
      <c r="F139" s="45"/>
      <c r="G139" s="45"/>
    </row>
    <row r="140" spans="1:7" ht="12" hidden="1" customHeight="1" outlineLevel="4" x14ac:dyDescent="0.2">
      <c r="A140" s="60" t="s">
        <v>472</v>
      </c>
      <c r="B140" s="45"/>
      <c r="C140" s="45"/>
      <c r="D140" s="45"/>
      <c r="E140" s="65">
        <v>-13.94</v>
      </c>
      <c r="F140" s="45"/>
      <c r="G140" s="45"/>
    </row>
    <row r="141" spans="1:7" ht="12" hidden="1" customHeight="1" outlineLevel="2" collapsed="1" x14ac:dyDescent="0.2">
      <c r="A141" s="63" t="s">
        <v>32</v>
      </c>
      <c r="B141" s="62"/>
      <c r="C141" s="62"/>
      <c r="D141" s="62"/>
      <c r="E141" s="62"/>
      <c r="F141" s="62"/>
      <c r="G141" s="62"/>
    </row>
    <row r="142" spans="1:7" ht="12" hidden="1" customHeight="1" outlineLevel="3" x14ac:dyDescent="0.2">
      <c r="A142" s="61" t="s">
        <v>472</v>
      </c>
      <c r="B142" s="45"/>
      <c r="C142" s="45"/>
      <c r="D142" s="45"/>
      <c r="E142" s="46">
        <v>171745.39</v>
      </c>
      <c r="F142" s="45"/>
      <c r="G142" s="45"/>
    </row>
    <row r="143" spans="1:7" ht="12" hidden="1" customHeight="1" outlineLevel="4" x14ac:dyDescent="0.2">
      <c r="A143" s="60" t="s">
        <v>472</v>
      </c>
      <c r="B143" s="45"/>
      <c r="C143" s="45"/>
      <c r="D143" s="45"/>
      <c r="E143" s="46">
        <v>171745.39</v>
      </c>
      <c r="F143" s="45"/>
      <c r="G143" s="45"/>
    </row>
    <row r="144" spans="1:7" ht="12" hidden="1" customHeight="1" outlineLevel="3" x14ac:dyDescent="0.2">
      <c r="A144" s="61" t="s">
        <v>472</v>
      </c>
      <c r="B144" s="45"/>
      <c r="C144" s="45"/>
      <c r="D144" s="45"/>
      <c r="E144" s="59">
        <v>-171745.39</v>
      </c>
      <c r="F144" s="45"/>
      <c r="G144" s="45"/>
    </row>
    <row r="145" spans="1:7" ht="12" hidden="1" customHeight="1" outlineLevel="4" x14ac:dyDescent="0.2">
      <c r="A145" s="60" t="s">
        <v>472</v>
      </c>
      <c r="B145" s="45"/>
      <c r="C145" s="45"/>
      <c r="D145" s="45"/>
      <c r="E145" s="59">
        <v>-171745.39</v>
      </c>
      <c r="F145" s="45"/>
      <c r="G145" s="45"/>
    </row>
    <row r="146" spans="1:7" ht="12" hidden="1" customHeight="1" outlineLevel="2" collapsed="1" x14ac:dyDescent="0.2">
      <c r="A146" s="63" t="s">
        <v>477</v>
      </c>
      <c r="B146" s="62"/>
      <c r="C146" s="62"/>
      <c r="D146" s="64">
        <v>657414.52</v>
      </c>
      <c r="E146" s="64">
        <v>657414.52</v>
      </c>
      <c r="F146" s="62"/>
      <c r="G146" s="62"/>
    </row>
    <row r="147" spans="1:7" ht="12" hidden="1" customHeight="1" outlineLevel="3" x14ac:dyDescent="0.2">
      <c r="A147" s="61" t="s">
        <v>472</v>
      </c>
      <c r="B147" s="45"/>
      <c r="C147" s="45"/>
      <c r="D147" s="45"/>
      <c r="E147" s="46">
        <v>966285.06</v>
      </c>
      <c r="F147" s="45"/>
      <c r="G147" s="45"/>
    </row>
    <row r="148" spans="1:7" ht="12" hidden="1" customHeight="1" outlineLevel="4" x14ac:dyDescent="0.2">
      <c r="A148" s="60" t="s">
        <v>472</v>
      </c>
      <c r="B148" s="45"/>
      <c r="C148" s="45"/>
      <c r="D148" s="45"/>
      <c r="E148" s="46">
        <v>966285.06</v>
      </c>
      <c r="F148" s="45"/>
      <c r="G148" s="45"/>
    </row>
    <row r="149" spans="1:7" ht="12" hidden="1" customHeight="1" outlineLevel="3" x14ac:dyDescent="0.2">
      <c r="A149" s="61" t="s">
        <v>472</v>
      </c>
      <c r="B149" s="45"/>
      <c r="C149" s="45"/>
      <c r="D149" s="45"/>
      <c r="E149" s="59">
        <v>-308870.53999999998</v>
      </c>
      <c r="F149" s="45"/>
      <c r="G149" s="45"/>
    </row>
    <row r="150" spans="1:7" ht="12" hidden="1" customHeight="1" outlineLevel="4" x14ac:dyDescent="0.2">
      <c r="A150" s="60" t="s">
        <v>472</v>
      </c>
      <c r="B150" s="45"/>
      <c r="C150" s="45"/>
      <c r="D150" s="45"/>
      <c r="E150" s="59">
        <v>-308870.53999999998</v>
      </c>
      <c r="F150" s="45"/>
      <c r="G150" s="45"/>
    </row>
    <row r="151" spans="1:7" ht="12" hidden="1" customHeight="1" outlineLevel="3" x14ac:dyDescent="0.2">
      <c r="A151" s="61" t="s">
        <v>422</v>
      </c>
      <c r="B151" s="45"/>
      <c r="C151" s="45"/>
      <c r="D151" s="46">
        <v>627827.72</v>
      </c>
      <c r="E151" s="45"/>
      <c r="F151" s="45"/>
      <c r="G151" s="45"/>
    </row>
    <row r="152" spans="1:7" ht="12" hidden="1" customHeight="1" outlineLevel="4" x14ac:dyDescent="0.2">
      <c r="A152" s="60" t="s">
        <v>472</v>
      </c>
      <c r="B152" s="45"/>
      <c r="C152" s="45"/>
      <c r="D152" s="46">
        <v>627827.72</v>
      </c>
      <c r="E152" s="45"/>
      <c r="F152" s="45"/>
      <c r="G152" s="45"/>
    </row>
    <row r="153" spans="1:7" ht="23.25" hidden="1" customHeight="1" outlineLevel="3" x14ac:dyDescent="0.2">
      <c r="A153" s="61" t="s">
        <v>403</v>
      </c>
      <c r="B153" s="45"/>
      <c r="C153" s="45"/>
      <c r="D153" s="46">
        <v>29586.799999999999</v>
      </c>
      <c r="E153" s="45"/>
      <c r="F153" s="45"/>
      <c r="G153" s="45"/>
    </row>
    <row r="154" spans="1:7" ht="12" hidden="1" customHeight="1" outlineLevel="4" x14ac:dyDescent="0.2">
      <c r="A154" s="60" t="s">
        <v>472</v>
      </c>
      <c r="B154" s="45"/>
      <c r="C154" s="45"/>
      <c r="D154" s="46">
        <v>29586.799999999999</v>
      </c>
      <c r="E154" s="45"/>
      <c r="F154" s="45"/>
      <c r="G154" s="45"/>
    </row>
    <row r="155" spans="1:7" ht="12" hidden="1" customHeight="1" outlineLevel="2" collapsed="1" x14ac:dyDescent="0.2">
      <c r="A155" s="63" t="s">
        <v>476</v>
      </c>
      <c r="B155" s="62"/>
      <c r="C155" s="62"/>
      <c r="D155" s="62"/>
      <c r="E155" s="62"/>
      <c r="F155" s="62"/>
      <c r="G155" s="62"/>
    </row>
    <row r="156" spans="1:7" ht="12" hidden="1" customHeight="1" outlineLevel="3" x14ac:dyDescent="0.2">
      <c r="A156" s="61" t="s">
        <v>472</v>
      </c>
      <c r="B156" s="45"/>
      <c r="C156" s="45"/>
      <c r="D156" s="45"/>
      <c r="E156" s="46">
        <v>24761.01</v>
      </c>
      <c r="F156" s="45"/>
      <c r="G156" s="45"/>
    </row>
    <row r="157" spans="1:7" ht="12" hidden="1" customHeight="1" outlineLevel="4" x14ac:dyDescent="0.2">
      <c r="A157" s="60" t="s">
        <v>472</v>
      </c>
      <c r="B157" s="45"/>
      <c r="C157" s="45"/>
      <c r="D157" s="45"/>
      <c r="E157" s="46">
        <v>24761.01</v>
      </c>
      <c r="F157" s="45"/>
      <c r="G157" s="45"/>
    </row>
    <row r="158" spans="1:7" ht="12" hidden="1" customHeight="1" outlineLevel="3" x14ac:dyDescent="0.2">
      <c r="A158" s="61" t="s">
        <v>472</v>
      </c>
      <c r="B158" s="45"/>
      <c r="C158" s="45"/>
      <c r="D158" s="45"/>
      <c r="E158" s="59">
        <v>-24761.01</v>
      </c>
      <c r="F158" s="45"/>
      <c r="G158" s="45"/>
    </row>
    <row r="159" spans="1:7" ht="12" hidden="1" customHeight="1" outlineLevel="4" x14ac:dyDescent="0.2">
      <c r="A159" s="60" t="s">
        <v>472</v>
      </c>
      <c r="B159" s="45"/>
      <c r="C159" s="45"/>
      <c r="D159" s="45"/>
      <c r="E159" s="59">
        <v>-24761.01</v>
      </c>
      <c r="F159" s="45"/>
      <c r="G159" s="45"/>
    </row>
    <row r="160" spans="1:7" ht="12" hidden="1" customHeight="1" outlineLevel="2" collapsed="1" x14ac:dyDescent="0.2">
      <c r="A160" s="63" t="s">
        <v>475</v>
      </c>
      <c r="B160" s="62"/>
      <c r="C160" s="62"/>
      <c r="D160" s="62"/>
      <c r="E160" s="62"/>
      <c r="F160" s="62"/>
      <c r="G160" s="62"/>
    </row>
    <row r="161" spans="1:7" ht="12" hidden="1" customHeight="1" outlineLevel="3" x14ac:dyDescent="0.2">
      <c r="A161" s="61" t="s">
        <v>472</v>
      </c>
      <c r="B161" s="45"/>
      <c r="C161" s="45"/>
      <c r="D161" s="45"/>
      <c r="E161" s="46">
        <v>19436.810000000001</v>
      </c>
      <c r="F161" s="45"/>
      <c r="G161" s="45"/>
    </row>
    <row r="162" spans="1:7" ht="12" hidden="1" customHeight="1" outlineLevel="4" x14ac:dyDescent="0.2">
      <c r="A162" s="60" t="s">
        <v>472</v>
      </c>
      <c r="B162" s="45"/>
      <c r="C162" s="45"/>
      <c r="D162" s="45"/>
      <c r="E162" s="46">
        <v>19436.810000000001</v>
      </c>
      <c r="F162" s="45"/>
      <c r="G162" s="45"/>
    </row>
    <row r="163" spans="1:7" ht="12" hidden="1" customHeight="1" outlineLevel="3" x14ac:dyDescent="0.2">
      <c r="A163" s="61" t="s">
        <v>472</v>
      </c>
      <c r="B163" s="45"/>
      <c r="C163" s="45"/>
      <c r="D163" s="45"/>
      <c r="E163" s="59">
        <v>-19436.810000000001</v>
      </c>
      <c r="F163" s="45"/>
      <c r="G163" s="45"/>
    </row>
    <row r="164" spans="1:7" ht="12" hidden="1" customHeight="1" outlineLevel="4" x14ac:dyDescent="0.2">
      <c r="A164" s="60" t="s">
        <v>472</v>
      </c>
      <c r="B164" s="45"/>
      <c r="C164" s="45"/>
      <c r="D164" s="45"/>
      <c r="E164" s="59">
        <v>-19436.810000000001</v>
      </c>
      <c r="F164" s="45"/>
      <c r="G164" s="45"/>
    </row>
    <row r="165" spans="1:7" ht="12" customHeight="1" outlineLevel="1" collapsed="1" x14ac:dyDescent="0.2">
      <c r="A165" s="50" t="s">
        <v>421</v>
      </c>
      <c r="B165" s="48"/>
      <c r="C165" s="48"/>
      <c r="D165" s="49">
        <v>269938.33</v>
      </c>
      <c r="E165" s="49">
        <v>269938.33</v>
      </c>
      <c r="F165" s="48"/>
      <c r="G165" s="48"/>
    </row>
    <row r="166" spans="1:7" ht="12" hidden="1" customHeight="1" outlineLevel="2" collapsed="1" x14ac:dyDescent="0.2">
      <c r="A166" s="63" t="s">
        <v>30</v>
      </c>
      <c r="B166" s="62"/>
      <c r="C166" s="62"/>
      <c r="D166" s="62"/>
      <c r="E166" s="62"/>
      <c r="F166" s="62"/>
      <c r="G166" s="62"/>
    </row>
    <row r="167" spans="1:7" ht="12" hidden="1" customHeight="1" outlineLevel="3" x14ac:dyDescent="0.2">
      <c r="A167" s="61" t="s">
        <v>472</v>
      </c>
      <c r="B167" s="45"/>
      <c r="C167" s="45"/>
      <c r="D167" s="45"/>
      <c r="E167" s="66">
        <v>165.15</v>
      </c>
      <c r="F167" s="45"/>
      <c r="G167" s="45"/>
    </row>
    <row r="168" spans="1:7" ht="12" hidden="1" customHeight="1" outlineLevel="4" x14ac:dyDescent="0.2">
      <c r="A168" s="60" t="s">
        <v>472</v>
      </c>
      <c r="B168" s="45"/>
      <c r="C168" s="45"/>
      <c r="D168" s="45"/>
      <c r="E168" s="66">
        <v>165.15</v>
      </c>
      <c r="F168" s="45"/>
      <c r="G168" s="45"/>
    </row>
    <row r="169" spans="1:7" ht="12" hidden="1" customHeight="1" outlineLevel="3" x14ac:dyDescent="0.2">
      <c r="A169" s="61" t="s">
        <v>472</v>
      </c>
      <c r="B169" s="45"/>
      <c r="C169" s="45"/>
      <c r="D169" s="45"/>
      <c r="E169" s="65">
        <v>-165.15</v>
      </c>
      <c r="F169" s="45"/>
      <c r="G169" s="45"/>
    </row>
    <row r="170" spans="1:7" ht="12" hidden="1" customHeight="1" outlineLevel="4" x14ac:dyDescent="0.2">
      <c r="A170" s="60" t="s">
        <v>472</v>
      </c>
      <c r="B170" s="45"/>
      <c r="C170" s="45"/>
      <c r="D170" s="45"/>
      <c r="E170" s="65">
        <v>-165.15</v>
      </c>
      <c r="F170" s="45"/>
      <c r="G170" s="45"/>
    </row>
    <row r="171" spans="1:7" ht="12" hidden="1" customHeight="1" outlineLevel="2" collapsed="1" x14ac:dyDescent="0.2">
      <c r="A171" s="63" t="s">
        <v>479</v>
      </c>
      <c r="B171" s="62"/>
      <c r="C171" s="62"/>
      <c r="D171" s="62"/>
      <c r="E171" s="62"/>
      <c r="F171" s="62"/>
      <c r="G171" s="62"/>
    </row>
    <row r="172" spans="1:7" ht="12" hidden="1" customHeight="1" outlineLevel="3" x14ac:dyDescent="0.2">
      <c r="A172" s="61" t="s">
        <v>472</v>
      </c>
      <c r="B172" s="45"/>
      <c r="C172" s="45"/>
      <c r="D172" s="45"/>
      <c r="E172" s="66">
        <v>339.25</v>
      </c>
      <c r="F172" s="45"/>
      <c r="G172" s="45"/>
    </row>
    <row r="173" spans="1:7" ht="12" hidden="1" customHeight="1" outlineLevel="4" x14ac:dyDescent="0.2">
      <c r="A173" s="60" t="s">
        <v>472</v>
      </c>
      <c r="B173" s="45"/>
      <c r="C173" s="45"/>
      <c r="D173" s="45"/>
      <c r="E173" s="66">
        <v>339.25</v>
      </c>
      <c r="F173" s="45"/>
      <c r="G173" s="45"/>
    </row>
    <row r="174" spans="1:7" ht="12" hidden="1" customHeight="1" outlineLevel="3" x14ac:dyDescent="0.2">
      <c r="A174" s="61" t="s">
        <v>472</v>
      </c>
      <c r="B174" s="45"/>
      <c r="C174" s="45"/>
      <c r="D174" s="45"/>
      <c r="E174" s="65">
        <v>-339.25</v>
      </c>
      <c r="F174" s="45"/>
      <c r="G174" s="45"/>
    </row>
    <row r="175" spans="1:7" ht="12" hidden="1" customHeight="1" outlineLevel="4" x14ac:dyDescent="0.2">
      <c r="A175" s="60" t="s">
        <v>472</v>
      </c>
      <c r="B175" s="45"/>
      <c r="C175" s="45"/>
      <c r="D175" s="45"/>
      <c r="E175" s="65">
        <v>-339.25</v>
      </c>
      <c r="F175" s="45"/>
      <c r="G175" s="45"/>
    </row>
    <row r="176" spans="1:7" ht="12" hidden="1" customHeight="1" outlineLevel="2" collapsed="1" x14ac:dyDescent="0.2">
      <c r="A176" s="63" t="s">
        <v>478</v>
      </c>
      <c r="B176" s="62"/>
      <c r="C176" s="62"/>
      <c r="D176" s="62"/>
      <c r="E176" s="62"/>
      <c r="F176" s="62"/>
      <c r="G176" s="62"/>
    </row>
    <row r="177" spans="1:41" ht="12" hidden="1" customHeight="1" outlineLevel="3" x14ac:dyDescent="0.2">
      <c r="A177" s="61" t="s">
        <v>472</v>
      </c>
      <c r="B177" s="45"/>
      <c r="C177" s="45"/>
      <c r="D177" s="45"/>
      <c r="E177" s="66">
        <v>0.05</v>
      </c>
      <c r="F177" s="45"/>
      <c r="G177" s="45"/>
    </row>
    <row r="178" spans="1:41" ht="12" hidden="1" customHeight="1" outlineLevel="4" x14ac:dyDescent="0.2">
      <c r="A178" s="60" t="s">
        <v>472</v>
      </c>
      <c r="B178" s="45"/>
      <c r="C178" s="45"/>
      <c r="D178" s="45"/>
      <c r="E178" s="66">
        <v>0.05</v>
      </c>
      <c r="F178" s="45"/>
      <c r="G178" s="45"/>
    </row>
    <row r="179" spans="1:41" ht="12" hidden="1" customHeight="1" outlineLevel="3" x14ac:dyDescent="0.2">
      <c r="A179" s="61" t="s">
        <v>472</v>
      </c>
      <c r="B179" s="45"/>
      <c r="C179" s="45"/>
      <c r="D179" s="45"/>
      <c r="E179" s="65">
        <v>-0.05</v>
      </c>
      <c r="F179" s="45"/>
      <c r="G179" s="45"/>
    </row>
    <row r="180" spans="1:41" ht="12" hidden="1" customHeight="1" outlineLevel="4" x14ac:dyDescent="0.2">
      <c r="A180" s="60" t="s">
        <v>472</v>
      </c>
      <c r="B180" s="45"/>
      <c r="C180" s="45"/>
      <c r="D180" s="45"/>
      <c r="E180" s="65">
        <v>-0.05</v>
      </c>
      <c r="F180" s="45"/>
      <c r="G180" s="45"/>
    </row>
    <row r="181" spans="1:41" ht="12" hidden="1" customHeight="1" outlineLevel="2" collapsed="1" x14ac:dyDescent="0.2">
      <c r="A181" s="63" t="s">
        <v>32</v>
      </c>
      <c r="B181" s="62"/>
      <c r="C181" s="62"/>
      <c r="D181" s="62"/>
      <c r="E181" s="62"/>
      <c r="F181" s="62"/>
      <c r="G181" s="62"/>
    </row>
    <row r="182" spans="1:41" ht="12" hidden="1" customHeight="1" outlineLevel="3" x14ac:dyDescent="0.2">
      <c r="A182" s="61" t="s">
        <v>472</v>
      </c>
      <c r="B182" s="45"/>
      <c r="C182" s="45"/>
      <c r="D182" s="45"/>
      <c r="E182" s="66">
        <v>775.52</v>
      </c>
      <c r="F182" s="45"/>
      <c r="G182" s="45"/>
    </row>
    <row r="183" spans="1:41" ht="12" hidden="1" customHeight="1" outlineLevel="4" x14ac:dyDescent="0.2">
      <c r="A183" s="60" t="s">
        <v>472</v>
      </c>
      <c r="B183" s="45"/>
      <c r="C183" s="45"/>
      <c r="D183" s="45"/>
      <c r="E183" s="66">
        <v>775.52</v>
      </c>
      <c r="F183" s="45"/>
      <c r="G183" s="45"/>
    </row>
    <row r="184" spans="1:41" ht="12" hidden="1" customHeight="1" outlineLevel="3" x14ac:dyDescent="0.2">
      <c r="A184" s="61" t="s">
        <v>472</v>
      </c>
      <c r="B184" s="45"/>
      <c r="C184" s="45"/>
      <c r="D184" s="45"/>
      <c r="E184" s="65">
        <v>-775.52</v>
      </c>
      <c r="F184" s="45"/>
      <c r="G184" s="45"/>
    </row>
    <row r="185" spans="1:41" ht="12" hidden="1" customHeight="1" outlineLevel="4" x14ac:dyDescent="0.2">
      <c r="A185" s="60" t="s">
        <v>472</v>
      </c>
      <c r="B185" s="45"/>
      <c r="C185" s="45"/>
      <c r="D185" s="45"/>
      <c r="E185" s="65">
        <v>-775.52</v>
      </c>
      <c r="F185" s="45"/>
      <c r="G185" s="45"/>
    </row>
    <row r="186" spans="1:41" ht="12" hidden="1" customHeight="1" outlineLevel="2" collapsed="1" x14ac:dyDescent="0.2">
      <c r="A186" s="63" t="s">
        <v>477</v>
      </c>
      <c r="B186" s="62"/>
      <c r="C186" s="62"/>
      <c r="D186" s="64">
        <v>269938.33</v>
      </c>
      <c r="E186" s="64">
        <v>269938.33</v>
      </c>
      <c r="F186" s="62"/>
      <c r="G186" s="62"/>
    </row>
    <row r="187" spans="1:41" ht="12" hidden="1" customHeight="1" outlineLevel="3" x14ac:dyDescent="0.2">
      <c r="A187" s="61" t="s">
        <v>472</v>
      </c>
      <c r="B187" s="45"/>
      <c r="C187" s="45"/>
      <c r="D187" s="45"/>
      <c r="E187" s="46">
        <v>401707.6</v>
      </c>
      <c r="F187" s="45"/>
      <c r="G187" s="45"/>
    </row>
    <row r="188" spans="1:41" ht="12" hidden="1" customHeight="1" outlineLevel="4" x14ac:dyDescent="0.2">
      <c r="A188" s="60" t="s">
        <v>472</v>
      </c>
      <c r="B188" s="45"/>
      <c r="C188" s="45"/>
      <c r="D188" s="45"/>
      <c r="E188" s="46">
        <v>401707.6</v>
      </c>
      <c r="F188" s="45"/>
      <c r="G188" s="45"/>
    </row>
    <row r="189" spans="1:41" ht="12" hidden="1" customHeight="1" outlineLevel="3" x14ac:dyDescent="0.2">
      <c r="A189" s="61" t="s">
        <v>472</v>
      </c>
      <c r="B189" s="45"/>
      <c r="C189" s="45"/>
      <c r="D189" s="45"/>
      <c r="E189" s="59">
        <v>-131769.26999999999</v>
      </c>
      <c r="F189" s="45"/>
      <c r="G189" s="45"/>
    </row>
    <row r="190" spans="1:41" ht="12" hidden="1" customHeight="1" outlineLevel="4" x14ac:dyDescent="0.2">
      <c r="A190" s="60" t="s">
        <v>472</v>
      </c>
      <c r="B190" s="45"/>
      <c r="C190" s="45"/>
      <c r="D190" s="45"/>
      <c r="E190" s="59">
        <v>-131769.26999999999</v>
      </c>
      <c r="F190" s="45"/>
      <c r="G190" s="45"/>
    </row>
    <row r="191" spans="1:41" ht="12" hidden="1" customHeight="1" outlineLevel="3" x14ac:dyDescent="0.2">
      <c r="A191" s="77" t="s">
        <v>471</v>
      </c>
      <c r="B191" s="45"/>
      <c r="C191" s="45"/>
      <c r="D191" s="46">
        <v>136726.6</v>
      </c>
      <c r="E191" s="45"/>
      <c r="F191" s="45"/>
      <c r="G191" s="45"/>
      <c r="AO191" s="78" t="s">
        <v>823</v>
      </c>
    </row>
    <row r="192" spans="1:41" ht="12" hidden="1" customHeight="1" outlineLevel="4" x14ac:dyDescent="0.2">
      <c r="A192" s="60" t="s">
        <v>472</v>
      </c>
      <c r="B192" s="45"/>
      <c r="C192" s="45"/>
      <c r="D192" s="46">
        <v>136726.6</v>
      </c>
      <c r="E192" s="45"/>
      <c r="F192" s="45"/>
      <c r="G192" s="45"/>
    </row>
    <row r="193" spans="1:7" ht="12" hidden="1" customHeight="1" outlineLevel="3" x14ac:dyDescent="0.2">
      <c r="A193" s="61" t="s">
        <v>420</v>
      </c>
      <c r="B193" s="45"/>
      <c r="C193" s="45"/>
      <c r="D193" s="70">
        <v>95010</v>
      </c>
      <c r="E193" s="45"/>
      <c r="F193" s="45"/>
      <c r="G193" s="45"/>
    </row>
    <row r="194" spans="1:7" ht="12" hidden="1" customHeight="1" outlineLevel="4" x14ac:dyDescent="0.2">
      <c r="A194" s="60" t="s">
        <v>472</v>
      </c>
      <c r="B194" s="45"/>
      <c r="C194" s="45"/>
      <c r="D194" s="46">
        <v>95010</v>
      </c>
      <c r="E194" s="45"/>
      <c r="F194" s="45"/>
      <c r="G194" s="45"/>
    </row>
    <row r="195" spans="1:7" ht="23.25" hidden="1" customHeight="1" outlineLevel="3" x14ac:dyDescent="0.2">
      <c r="A195" s="61" t="s">
        <v>419</v>
      </c>
      <c r="B195" s="45"/>
      <c r="C195" s="45"/>
      <c r="D195" s="70">
        <v>38201.730000000003</v>
      </c>
      <c r="E195" s="45"/>
      <c r="F195" s="45"/>
      <c r="G195" s="45"/>
    </row>
    <row r="196" spans="1:7" ht="12" hidden="1" customHeight="1" outlineLevel="4" x14ac:dyDescent="0.2">
      <c r="A196" s="60" t="s">
        <v>472</v>
      </c>
      <c r="B196" s="45"/>
      <c r="C196" s="45"/>
      <c r="D196" s="46">
        <v>38201.730000000003</v>
      </c>
      <c r="E196" s="45"/>
      <c r="F196" s="45"/>
      <c r="G196" s="45"/>
    </row>
    <row r="197" spans="1:7" ht="12" hidden="1" customHeight="1" outlineLevel="2" collapsed="1" x14ac:dyDescent="0.2">
      <c r="A197" s="63" t="s">
        <v>476</v>
      </c>
      <c r="B197" s="62"/>
      <c r="C197" s="62"/>
      <c r="D197" s="62"/>
      <c r="E197" s="62"/>
      <c r="F197" s="62"/>
      <c r="G197" s="62"/>
    </row>
    <row r="198" spans="1:7" ht="12" hidden="1" customHeight="1" outlineLevel="3" x14ac:dyDescent="0.2">
      <c r="A198" s="61" t="s">
        <v>472</v>
      </c>
      <c r="B198" s="45"/>
      <c r="C198" s="45"/>
      <c r="D198" s="45"/>
      <c r="E198" s="66">
        <v>92.16</v>
      </c>
      <c r="F198" s="45"/>
      <c r="G198" s="45"/>
    </row>
    <row r="199" spans="1:7" ht="12" hidden="1" customHeight="1" outlineLevel="4" x14ac:dyDescent="0.2">
      <c r="A199" s="60" t="s">
        <v>472</v>
      </c>
      <c r="B199" s="45"/>
      <c r="C199" s="45"/>
      <c r="D199" s="45"/>
      <c r="E199" s="66">
        <v>92.16</v>
      </c>
      <c r="F199" s="45"/>
      <c r="G199" s="45"/>
    </row>
    <row r="200" spans="1:7" ht="12" hidden="1" customHeight="1" outlineLevel="3" x14ac:dyDescent="0.2">
      <c r="A200" s="61" t="s">
        <v>472</v>
      </c>
      <c r="B200" s="45"/>
      <c r="C200" s="45"/>
      <c r="D200" s="45"/>
      <c r="E200" s="65">
        <v>-92.16</v>
      </c>
      <c r="F200" s="45"/>
      <c r="G200" s="45"/>
    </row>
    <row r="201" spans="1:7" ht="12" hidden="1" customHeight="1" outlineLevel="4" x14ac:dyDescent="0.2">
      <c r="A201" s="60" t="s">
        <v>472</v>
      </c>
      <c r="B201" s="45"/>
      <c r="C201" s="45"/>
      <c r="D201" s="45"/>
      <c r="E201" s="65">
        <v>-92.16</v>
      </c>
      <c r="F201" s="45"/>
      <c r="G201" s="45"/>
    </row>
    <row r="202" spans="1:7" ht="12" hidden="1" customHeight="1" outlineLevel="2" collapsed="1" x14ac:dyDescent="0.2">
      <c r="A202" s="63" t="s">
        <v>475</v>
      </c>
      <c r="B202" s="62"/>
      <c r="C202" s="62"/>
      <c r="D202" s="62"/>
      <c r="E202" s="62"/>
      <c r="F202" s="62"/>
      <c r="G202" s="62"/>
    </row>
    <row r="203" spans="1:7" ht="12" hidden="1" customHeight="1" outlineLevel="3" x14ac:dyDescent="0.2">
      <c r="A203" s="61" t="s">
        <v>472</v>
      </c>
      <c r="B203" s="45"/>
      <c r="C203" s="45"/>
      <c r="D203" s="45"/>
      <c r="E203" s="66">
        <v>70.33</v>
      </c>
      <c r="F203" s="45"/>
      <c r="G203" s="45"/>
    </row>
    <row r="204" spans="1:7" ht="12" hidden="1" customHeight="1" outlineLevel="4" x14ac:dyDescent="0.2">
      <c r="A204" s="60" t="s">
        <v>472</v>
      </c>
      <c r="B204" s="45"/>
      <c r="C204" s="45"/>
      <c r="D204" s="45"/>
      <c r="E204" s="66">
        <v>70.33</v>
      </c>
      <c r="F204" s="45"/>
      <c r="G204" s="45"/>
    </row>
    <row r="205" spans="1:7" ht="12" hidden="1" customHeight="1" outlineLevel="3" x14ac:dyDescent="0.2">
      <c r="A205" s="61" t="s">
        <v>472</v>
      </c>
      <c r="B205" s="45"/>
      <c r="C205" s="45"/>
      <c r="D205" s="45"/>
      <c r="E205" s="65">
        <v>-70.33</v>
      </c>
      <c r="F205" s="45"/>
      <c r="G205" s="45"/>
    </row>
    <row r="206" spans="1:7" ht="12" hidden="1" customHeight="1" outlineLevel="4" x14ac:dyDescent="0.2">
      <c r="A206" s="60" t="s">
        <v>472</v>
      </c>
      <c r="B206" s="45"/>
      <c r="C206" s="45"/>
      <c r="D206" s="45"/>
      <c r="E206" s="65">
        <v>-70.33</v>
      </c>
      <c r="F206" s="45"/>
      <c r="G206" s="45"/>
    </row>
    <row r="207" spans="1:7" ht="12" customHeight="1" outlineLevel="1" collapsed="1" x14ac:dyDescent="0.2">
      <c r="A207" s="50" t="s">
        <v>418</v>
      </c>
      <c r="B207" s="48"/>
      <c r="C207" s="48"/>
      <c r="D207" s="68">
        <v>113125.14</v>
      </c>
      <c r="E207" s="49">
        <v>113125.14</v>
      </c>
      <c r="F207" s="48"/>
      <c r="G207" s="48"/>
    </row>
    <row r="208" spans="1:7" ht="12" hidden="1" customHeight="1" outlineLevel="2" collapsed="1" x14ac:dyDescent="0.2">
      <c r="A208" s="63" t="s">
        <v>480</v>
      </c>
      <c r="B208" s="62"/>
      <c r="C208" s="62"/>
      <c r="D208" s="62"/>
      <c r="E208" s="62"/>
      <c r="F208" s="62"/>
      <c r="G208" s="62"/>
    </row>
    <row r="209" spans="1:7" ht="12" hidden="1" customHeight="1" outlineLevel="3" x14ac:dyDescent="0.2">
      <c r="A209" s="61" t="s">
        <v>472</v>
      </c>
      <c r="B209" s="45"/>
      <c r="C209" s="45"/>
      <c r="D209" s="45"/>
      <c r="E209" s="66">
        <v>0.1</v>
      </c>
      <c r="F209" s="45"/>
      <c r="G209" s="45"/>
    </row>
    <row r="210" spans="1:7" ht="12" hidden="1" customHeight="1" outlineLevel="4" x14ac:dyDescent="0.2">
      <c r="A210" s="60" t="s">
        <v>472</v>
      </c>
      <c r="B210" s="45"/>
      <c r="C210" s="45"/>
      <c r="D210" s="45"/>
      <c r="E210" s="66">
        <v>0.1</v>
      </c>
      <c r="F210" s="45"/>
      <c r="G210" s="45"/>
    </row>
    <row r="211" spans="1:7" ht="12" hidden="1" customHeight="1" outlineLevel="3" x14ac:dyDescent="0.2">
      <c r="A211" s="61" t="s">
        <v>472</v>
      </c>
      <c r="B211" s="45"/>
      <c r="C211" s="45"/>
      <c r="D211" s="45"/>
      <c r="E211" s="65">
        <v>-0.1</v>
      </c>
      <c r="F211" s="45"/>
      <c r="G211" s="45"/>
    </row>
    <row r="212" spans="1:7" ht="12" hidden="1" customHeight="1" outlineLevel="4" x14ac:dyDescent="0.2">
      <c r="A212" s="60" t="s">
        <v>472</v>
      </c>
      <c r="B212" s="45"/>
      <c r="C212" s="45"/>
      <c r="D212" s="45"/>
      <c r="E212" s="65">
        <v>-0.1</v>
      </c>
      <c r="F212" s="45"/>
      <c r="G212" s="45"/>
    </row>
    <row r="213" spans="1:7" ht="12" hidden="1" customHeight="1" outlineLevel="2" collapsed="1" x14ac:dyDescent="0.2">
      <c r="A213" s="63" t="s">
        <v>30</v>
      </c>
      <c r="B213" s="62"/>
      <c r="C213" s="62"/>
      <c r="D213" s="62"/>
      <c r="E213" s="62"/>
      <c r="F213" s="62"/>
      <c r="G213" s="62"/>
    </row>
    <row r="214" spans="1:7" ht="12" hidden="1" customHeight="1" outlineLevel="3" x14ac:dyDescent="0.2">
      <c r="A214" s="61" t="s">
        <v>472</v>
      </c>
      <c r="B214" s="45"/>
      <c r="C214" s="45"/>
      <c r="D214" s="45"/>
      <c r="E214" s="46">
        <v>7500.83</v>
      </c>
      <c r="F214" s="45"/>
      <c r="G214" s="45"/>
    </row>
    <row r="215" spans="1:7" ht="12" hidden="1" customHeight="1" outlineLevel="4" x14ac:dyDescent="0.2">
      <c r="A215" s="60" t="s">
        <v>472</v>
      </c>
      <c r="B215" s="45"/>
      <c r="C215" s="45"/>
      <c r="D215" s="45"/>
      <c r="E215" s="46">
        <v>7500.83</v>
      </c>
      <c r="F215" s="45"/>
      <c r="G215" s="45"/>
    </row>
    <row r="216" spans="1:7" ht="12" hidden="1" customHeight="1" outlineLevel="3" x14ac:dyDescent="0.2">
      <c r="A216" s="61" t="s">
        <v>472</v>
      </c>
      <c r="B216" s="45"/>
      <c r="C216" s="45"/>
      <c r="D216" s="45"/>
      <c r="E216" s="59">
        <v>-7500.83</v>
      </c>
      <c r="F216" s="45"/>
      <c r="G216" s="45"/>
    </row>
    <row r="217" spans="1:7" ht="12" hidden="1" customHeight="1" outlineLevel="4" x14ac:dyDescent="0.2">
      <c r="A217" s="60" t="s">
        <v>472</v>
      </c>
      <c r="B217" s="45"/>
      <c r="C217" s="45"/>
      <c r="D217" s="45"/>
      <c r="E217" s="59">
        <v>-7500.83</v>
      </c>
      <c r="F217" s="45"/>
      <c r="G217" s="45"/>
    </row>
    <row r="218" spans="1:7" ht="12" hidden="1" customHeight="1" outlineLevel="2" collapsed="1" x14ac:dyDescent="0.2">
      <c r="A218" s="63" t="s">
        <v>479</v>
      </c>
      <c r="B218" s="62"/>
      <c r="C218" s="62"/>
      <c r="D218" s="62"/>
      <c r="E218" s="62"/>
      <c r="F218" s="62"/>
      <c r="G218" s="62"/>
    </row>
    <row r="219" spans="1:7" ht="12" hidden="1" customHeight="1" outlineLevel="3" x14ac:dyDescent="0.2">
      <c r="A219" s="61" t="s">
        <v>472</v>
      </c>
      <c r="B219" s="45"/>
      <c r="C219" s="45"/>
      <c r="D219" s="45"/>
      <c r="E219" s="46">
        <v>15204.14</v>
      </c>
      <c r="F219" s="45"/>
      <c r="G219" s="45"/>
    </row>
    <row r="220" spans="1:7" ht="12" hidden="1" customHeight="1" outlineLevel="4" x14ac:dyDescent="0.2">
      <c r="A220" s="60" t="s">
        <v>472</v>
      </c>
      <c r="B220" s="45"/>
      <c r="C220" s="45"/>
      <c r="D220" s="45"/>
      <c r="E220" s="46">
        <v>15204.14</v>
      </c>
      <c r="F220" s="45"/>
      <c r="G220" s="45"/>
    </row>
    <row r="221" spans="1:7" ht="12" hidden="1" customHeight="1" outlineLevel="3" x14ac:dyDescent="0.2">
      <c r="A221" s="61" t="s">
        <v>472</v>
      </c>
      <c r="B221" s="45"/>
      <c r="C221" s="45"/>
      <c r="D221" s="45"/>
      <c r="E221" s="59">
        <v>-15204.14</v>
      </c>
      <c r="F221" s="45"/>
      <c r="G221" s="45"/>
    </row>
    <row r="222" spans="1:7" ht="12" hidden="1" customHeight="1" outlineLevel="4" x14ac:dyDescent="0.2">
      <c r="A222" s="60" t="s">
        <v>472</v>
      </c>
      <c r="B222" s="45"/>
      <c r="C222" s="45"/>
      <c r="D222" s="45"/>
      <c r="E222" s="59">
        <v>-15204.14</v>
      </c>
      <c r="F222" s="45"/>
      <c r="G222" s="45"/>
    </row>
    <row r="223" spans="1:7" ht="12" hidden="1" customHeight="1" outlineLevel="2" collapsed="1" x14ac:dyDescent="0.2">
      <c r="A223" s="63" t="s">
        <v>478</v>
      </c>
      <c r="B223" s="62"/>
      <c r="C223" s="62"/>
      <c r="D223" s="62"/>
      <c r="E223" s="62"/>
      <c r="F223" s="62"/>
      <c r="G223" s="62"/>
    </row>
    <row r="224" spans="1:7" ht="12" hidden="1" customHeight="1" outlineLevel="3" x14ac:dyDescent="0.2">
      <c r="A224" s="61" t="s">
        <v>472</v>
      </c>
      <c r="B224" s="45"/>
      <c r="C224" s="45"/>
      <c r="D224" s="45"/>
      <c r="E224" s="66">
        <v>2.41</v>
      </c>
      <c r="F224" s="45"/>
      <c r="G224" s="45"/>
    </row>
    <row r="225" spans="1:7" ht="12" hidden="1" customHeight="1" outlineLevel="4" x14ac:dyDescent="0.2">
      <c r="A225" s="60" t="s">
        <v>472</v>
      </c>
      <c r="B225" s="45"/>
      <c r="C225" s="45"/>
      <c r="D225" s="45"/>
      <c r="E225" s="66">
        <v>2.41</v>
      </c>
      <c r="F225" s="45"/>
      <c r="G225" s="45"/>
    </row>
    <row r="226" spans="1:7" ht="12" hidden="1" customHeight="1" outlineLevel="3" x14ac:dyDescent="0.2">
      <c r="A226" s="61" t="s">
        <v>472</v>
      </c>
      <c r="B226" s="45"/>
      <c r="C226" s="45"/>
      <c r="D226" s="45"/>
      <c r="E226" s="65">
        <v>-2.41</v>
      </c>
      <c r="F226" s="45"/>
      <c r="G226" s="45"/>
    </row>
    <row r="227" spans="1:7" ht="12" hidden="1" customHeight="1" outlineLevel="4" x14ac:dyDescent="0.2">
      <c r="A227" s="60" t="s">
        <v>472</v>
      </c>
      <c r="B227" s="45"/>
      <c r="C227" s="45"/>
      <c r="D227" s="45"/>
      <c r="E227" s="65">
        <v>-2.41</v>
      </c>
      <c r="F227" s="45"/>
      <c r="G227" s="45"/>
    </row>
    <row r="228" spans="1:7" ht="12" hidden="1" customHeight="1" outlineLevel="2" collapsed="1" x14ac:dyDescent="0.2">
      <c r="A228" s="63" t="s">
        <v>32</v>
      </c>
      <c r="B228" s="62"/>
      <c r="C228" s="62"/>
      <c r="D228" s="62"/>
      <c r="E228" s="62"/>
      <c r="F228" s="62"/>
      <c r="G228" s="62"/>
    </row>
    <row r="229" spans="1:7" ht="12" hidden="1" customHeight="1" outlineLevel="3" x14ac:dyDescent="0.2">
      <c r="A229" s="61" t="s">
        <v>472</v>
      </c>
      <c r="B229" s="45"/>
      <c r="C229" s="45"/>
      <c r="D229" s="45"/>
      <c r="E229" s="46">
        <v>29717.22</v>
      </c>
      <c r="F229" s="45"/>
      <c r="G229" s="45"/>
    </row>
    <row r="230" spans="1:7" ht="12" hidden="1" customHeight="1" outlineLevel="4" x14ac:dyDescent="0.2">
      <c r="A230" s="60" t="s">
        <v>472</v>
      </c>
      <c r="B230" s="45"/>
      <c r="C230" s="45"/>
      <c r="D230" s="45"/>
      <c r="E230" s="46">
        <v>29717.22</v>
      </c>
      <c r="F230" s="45"/>
      <c r="G230" s="45"/>
    </row>
    <row r="231" spans="1:7" ht="12" hidden="1" customHeight="1" outlineLevel="3" x14ac:dyDescent="0.2">
      <c r="A231" s="61" t="s">
        <v>472</v>
      </c>
      <c r="B231" s="45"/>
      <c r="C231" s="45"/>
      <c r="D231" s="45"/>
      <c r="E231" s="59">
        <v>-29717.22</v>
      </c>
      <c r="F231" s="45"/>
      <c r="G231" s="45"/>
    </row>
    <row r="232" spans="1:7" ht="12" hidden="1" customHeight="1" outlineLevel="4" x14ac:dyDescent="0.2">
      <c r="A232" s="60" t="s">
        <v>472</v>
      </c>
      <c r="B232" s="45"/>
      <c r="C232" s="45"/>
      <c r="D232" s="45"/>
      <c r="E232" s="59">
        <v>-29717.22</v>
      </c>
      <c r="F232" s="45"/>
      <c r="G232" s="45"/>
    </row>
    <row r="233" spans="1:7" ht="12" hidden="1" customHeight="1" outlineLevel="2" collapsed="1" x14ac:dyDescent="0.2">
      <c r="A233" s="63" t="s">
        <v>477</v>
      </c>
      <c r="B233" s="62"/>
      <c r="C233" s="62"/>
      <c r="D233" s="64">
        <v>113125.14</v>
      </c>
      <c r="E233" s="64">
        <v>113125.14</v>
      </c>
      <c r="F233" s="62"/>
      <c r="G233" s="62"/>
    </row>
    <row r="234" spans="1:7" ht="12" hidden="1" customHeight="1" outlineLevel="3" x14ac:dyDescent="0.2">
      <c r="A234" s="61" t="s">
        <v>472</v>
      </c>
      <c r="B234" s="45"/>
      <c r="C234" s="45"/>
      <c r="D234" s="45"/>
      <c r="E234" s="46">
        <v>166284.62</v>
      </c>
      <c r="F234" s="45"/>
      <c r="G234" s="45"/>
    </row>
    <row r="235" spans="1:7" ht="12" hidden="1" customHeight="1" outlineLevel="4" x14ac:dyDescent="0.2">
      <c r="A235" s="60" t="s">
        <v>472</v>
      </c>
      <c r="B235" s="45"/>
      <c r="C235" s="45"/>
      <c r="D235" s="45"/>
      <c r="E235" s="46">
        <v>166284.62</v>
      </c>
      <c r="F235" s="45"/>
      <c r="G235" s="45"/>
    </row>
    <row r="236" spans="1:7" ht="12" hidden="1" customHeight="1" outlineLevel="3" x14ac:dyDescent="0.2">
      <c r="A236" s="61" t="s">
        <v>472</v>
      </c>
      <c r="B236" s="45"/>
      <c r="C236" s="45"/>
      <c r="D236" s="45"/>
      <c r="E236" s="59">
        <v>-53159.48</v>
      </c>
      <c r="F236" s="45"/>
      <c r="G236" s="45"/>
    </row>
    <row r="237" spans="1:7" ht="12" hidden="1" customHeight="1" outlineLevel="4" x14ac:dyDescent="0.2">
      <c r="A237" s="60" t="s">
        <v>472</v>
      </c>
      <c r="B237" s="45"/>
      <c r="C237" s="45"/>
      <c r="D237" s="45"/>
      <c r="E237" s="59">
        <v>-53159.48</v>
      </c>
      <c r="F237" s="45"/>
      <c r="G237" s="45"/>
    </row>
    <row r="238" spans="1:7" ht="12" hidden="1" customHeight="1" outlineLevel="3" x14ac:dyDescent="0.2">
      <c r="A238" s="61" t="s">
        <v>417</v>
      </c>
      <c r="B238" s="45"/>
      <c r="C238" s="45"/>
      <c r="D238" s="46">
        <v>113125.14</v>
      </c>
      <c r="E238" s="45"/>
      <c r="F238" s="45"/>
      <c r="G238" s="45"/>
    </row>
    <row r="239" spans="1:7" ht="12" hidden="1" customHeight="1" outlineLevel="4" x14ac:dyDescent="0.2">
      <c r="A239" s="60" t="s">
        <v>472</v>
      </c>
      <c r="B239" s="45"/>
      <c r="C239" s="45"/>
      <c r="D239" s="46">
        <v>113125.14</v>
      </c>
      <c r="E239" s="45"/>
      <c r="F239" s="45"/>
      <c r="G239" s="45"/>
    </row>
    <row r="240" spans="1:7" ht="12" hidden="1" customHeight="1" outlineLevel="2" collapsed="1" x14ac:dyDescent="0.2">
      <c r="A240" s="63" t="s">
        <v>476</v>
      </c>
      <c r="B240" s="62"/>
      <c r="C240" s="62"/>
      <c r="D240" s="62"/>
      <c r="E240" s="62"/>
      <c r="F240" s="62"/>
      <c r="G240" s="62"/>
    </row>
    <row r="241" spans="1:7" ht="12" hidden="1" customHeight="1" outlineLevel="3" x14ac:dyDescent="0.2">
      <c r="A241" s="61" t="s">
        <v>472</v>
      </c>
      <c r="B241" s="45"/>
      <c r="C241" s="45"/>
      <c r="D241" s="45"/>
      <c r="E241" s="46">
        <v>4235.08</v>
      </c>
      <c r="F241" s="45"/>
      <c r="G241" s="45"/>
    </row>
    <row r="242" spans="1:7" ht="12" hidden="1" customHeight="1" outlineLevel="4" x14ac:dyDescent="0.2">
      <c r="A242" s="60" t="s">
        <v>472</v>
      </c>
      <c r="B242" s="45"/>
      <c r="C242" s="45"/>
      <c r="D242" s="45"/>
      <c r="E242" s="46">
        <v>4235.08</v>
      </c>
      <c r="F242" s="45"/>
      <c r="G242" s="45"/>
    </row>
    <row r="243" spans="1:7" ht="12" hidden="1" customHeight="1" outlineLevel="3" x14ac:dyDescent="0.2">
      <c r="A243" s="61" t="s">
        <v>472</v>
      </c>
      <c r="B243" s="45"/>
      <c r="C243" s="45"/>
      <c r="D243" s="45"/>
      <c r="E243" s="59">
        <v>-4235.08</v>
      </c>
      <c r="F243" s="45"/>
      <c r="G243" s="45"/>
    </row>
    <row r="244" spans="1:7" ht="12" hidden="1" customHeight="1" outlineLevel="4" x14ac:dyDescent="0.2">
      <c r="A244" s="60" t="s">
        <v>472</v>
      </c>
      <c r="B244" s="45"/>
      <c r="C244" s="45"/>
      <c r="D244" s="45"/>
      <c r="E244" s="59">
        <v>-4235.08</v>
      </c>
      <c r="F244" s="45"/>
      <c r="G244" s="45"/>
    </row>
    <row r="245" spans="1:7" ht="12" hidden="1" customHeight="1" outlineLevel="2" collapsed="1" x14ac:dyDescent="0.2">
      <c r="A245" s="63" t="s">
        <v>475</v>
      </c>
      <c r="B245" s="62"/>
      <c r="C245" s="62"/>
      <c r="D245" s="62"/>
      <c r="E245" s="62"/>
      <c r="F245" s="62"/>
      <c r="G245" s="62"/>
    </row>
    <row r="246" spans="1:7" ht="12" hidden="1" customHeight="1" outlineLevel="3" x14ac:dyDescent="0.2">
      <c r="A246" s="61" t="s">
        <v>472</v>
      </c>
      <c r="B246" s="45"/>
      <c r="C246" s="45"/>
      <c r="D246" s="45"/>
      <c r="E246" s="46">
        <v>3305.88</v>
      </c>
      <c r="F246" s="45"/>
      <c r="G246" s="45"/>
    </row>
    <row r="247" spans="1:7" ht="12" hidden="1" customHeight="1" outlineLevel="4" x14ac:dyDescent="0.2">
      <c r="A247" s="60" t="s">
        <v>472</v>
      </c>
      <c r="B247" s="45"/>
      <c r="C247" s="45"/>
      <c r="D247" s="45"/>
      <c r="E247" s="46">
        <v>3305.88</v>
      </c>
      <c r="F247" s="45"/>
      <c r="G247" s="45"/>
    </row>
    <row r="248" spans="1:7" ht="12" hidden="1" customHeight="1" outlineLevel="3" x14ac:dyDescent="0.2">
      <c r="A248" s="61" t="s">
        <v>472</v>
      </c>
      <c r="B248" s="45"/>
      <c r="C248" s="45"/>
      <c r="D248" s="45"/>
      <c r="E248" s="59">
        <v>-3305.88</v>
      </c>
      <c r="F248" s="45"/>
      <c r="G248" s="45"/>
    </row>
    <row r="249" spans="1:7" ht="12" hidden="1" customHeight="1" outlineLevel="4" x14ac:dyDescent="0.2">
      <c r="A249" s="60" t="s">
        <v>472</v>
      </c>
      <c r="B249" s="45"/>
      <c r="C249" s="45"/>
      <c r="D249" s="45"/>
      <c r="E249" s="59">
        <v>-3305.88</v>
      </c>
      <c r="F249" s="45"/>
      <c r="G249" s="45"/>
    </row>
    <row r="250" spans="1:7" ht="12" customHeight="1" outlineLevel="1" collapsed="1" x14ac:dyDescent="0.2">
      <c r="A250" s="50" t="s">
        <v>791</v>
      </c>
      <c r="B250" s="48"/>
      <c r="C250" s="48"/>
      <c r="D250" s="49">
        <v>662641674.22000003</v>
      </c>
      <c r="E250" s="49">
        <v>662641674.22000003</v>
      </c>
      <c r="F250" s="48"/>
      <c r="G250" s="48"/>
    </row>
    <row r="251" spans="1:7" ht="12" hidden="1" customHeight="1" outlineLevel="2" collapsed="1" x14ac:dyDescent="0.2">
      <c r="A251" s="63" t="s">
        <v>480</v>
      </c>
      <c r="B251" s="62"/>
      <c r="C251" s="62"/>
      <c r="D251" s="71">
        <v>45510.879999999997</v>
      </c>
      <c r="E251" s="64">
        <v>45510.879999999997</v>
      </c>
      <c r="F251" s="62"/>
      <c r="G251" s="62"/>
    </row>
    <row r="252" spans="1:7" ht="12" hidden="1" customHeight="1" outlineLevel="3" x14ac:dyDescent="0.2">
      <c r="A252" s="61" t="s">
        <v>472</v>
      </c>
      <c r="B252" s="45"/>
      <c r="C252" s="45"/>
      <c r="D252" s="45"/>
      <c r="E252" s="46">
        <v>45510.879999999997</v>
      </c>
      <c r="F252" s="45"/>
      <c r="G252" s="45"/>
    </row>
    <row r="253" spans="1:7" ht="12" hidden="1" customHeight="1" outlineLevel="4" x14ac:dyDescent="0.2">
      <c r="A253" s="60" t="s">
        <v>472</v>
      </c>
      <c r="B253" s="45"/>
      <c r="C253" s="45"/>
      <c r="D253" s="45"/>
      <c r="E253" s="46">
        <v>45510.879999999997</v>
      </c>
      <c r="F253" s="45"/>
      <c r="G253" s="45"/>
    </row>
    <row r="254" spans="1:7" ht="12" hidden="1" customHeight="1" outlineLevel="3" x14ac:dyDescent="0.2">
      <c r="A254" s="61" t="s">
        <v>790</v>
      </c>
      <c r="B254" s="45"/>
      <c r="C254" s="45"/>
      <c r="D254" s="46">
        <v>45510.879999999997</v>
      </c>
      <c r="E254" s="45"/>
      <c r="F254" s="45"/>
      <c r="G254" s="45"/>
    </row>
    <row r="255" spans="1:7" ht="23.25" hidden="1" customHeight="1" outlineLevel="4" x14ac:dyDescent="0.2">
      <c r="A255" s="60" t="s">
        <v>585</v>
      </c>
      <c r="B255" s="45"/>
      <c r="C255" s="45"/>
      <c r="D255" s="46">
        <v>22755.439999999999</v>
      </c>
      <c r="E255" s="45"/>
      <c r="F255" s="45"/>
      <c r="G255" s="45"/>
    </row>
    <row r="256" spans="1:7" ht="23.25" hidden="1" customHeight="1" outlineLevel="4" x14ac:dyDescent="0.2">
      <c r="A256" s="60" t="s">
        <v>583</v>
      </c>
      <c r="B256" s="45"/>
      <c r="C256" s="45"/>
      <c r="D256" s="46">
        <v>22755.439999999999</v>
      </c>
      <c r="E256" s="45"/>
      <c r="F256" s="45"/>
      <c r="G256" s="45"/>
    </row>
    <row r="257" spans="1:7" ht="12" hidden="1" customHeight="1" outlineLevel="2" collapsed="1" x14ac:dyDescent="0.2">
      <c r="A257" s="63" t="s">
        <v>30</v>
      </c>
      <c r="B257" s="62"/>
      <c r="C257" s="62"/>
      <c r="D257" s="71">
        <v>56548012.460000001</v>
      </c>
      <c r="E257" s="64">
        <v>56548012.460000001</v>
      </c>
      <c r="F257" s="62"/>
      <c r="G257" s="62"/>
    </row>
    <row r="258" spans="1:7" ht="12" hidden="1" customHeight="1" outlineLevel="3" x14ac:dyDescent="0.2">
      <c r="A258" s="61" t="s">
        <v>472</v>
      </c>
      <c r="B258" s="45"/>
      <c r="C258" s="45"/>
      <c r="D258" s="45"/>
      <c r="E258" s="46">
        <v>56548012.460000001</v>
      </c>
      <c r="F258" s="45"/>
      <c r="G258" s="45"/>
    </row>
    <row r="259" spans="1:7" ht="12" hidden="1" customHeight="1" outlineLevel="4" x14ac:dyDescent="0.2">
      <c r="A259" s="60" t="s">
        <v>472</v>
      </c>
      <c r="B259" s="45"/>
      <c r="C259" s="45"/>
      <c r="D259" s="45"/>
      <c r="E259" s="46">
        <v>56548012.460000001</v>
      </c>
      <c r="F259" s="45"/>
      <c r="G259" s="45"/>
    </row>
    <row r="260" spans="1:7" ht="12" hidden="1" customHeight="1" outlineLevel="3" x14ac:dyDescent="0.2">
      <c r="A260" s="61" t="s">
        <v>789</v>
      </c>
      <c r="B260" s="45"/>
      <c r="C260" s="45"/>
      <c r="D260" s="46">
        <v>56548012.460000001</v>
      </c>
      <c r="E260" s="45"/>
      <c r="F260" s="45"/>
      <c r="G260" s="45"/>
    </row>
    <row r="261" spans="1:7" ht="12" hidden="1" customHeight="1" outlineLevel="4" x14ac:dyDescent="0.2">
      <c r="A261" s="60" t="s">
        <v>495</v>
      </c>
      <c r="B261" s="45"/>
      <c r="C261" s="45"/>
      <c r="D261" s="46">
        <v>56548012.460000001</v>
      </c>
      <c r="E261" s="45"/>
      <c r="F261" s="45"/>
      <c r="G261" s="45"/>
    </row>
    <row r="262" spans="1:7" ht="12" hidden="1" customHeight="1" outlineLevel="2" collapsed="1" x14ac:dyDescent="0.2">
      <c r="A262" s="63" t="s">
        <v>479</v>
      </c>
      <c r="B262" s="62"/>
      <c r="C262" s="62"/>
      <c r="D262" s="71">
        <v>112862811.29000001</v>
      </c>
      <c r="E262" s="64">
        <v>112862811.29000001</v>
      </c>
      <c r="F262" s="62"/>
      <c r="G262" s="62"/>
    </row>
    <row r="263" spans="1:7" ht="12" hidden="1" customHeight="1" outlineLevel="3" x14ac:dyDescent="0.2">
      <c r="A263" s="61" t="s">
        <v>472</v>
      </c>
      <c r="B263" s="45"/>
      <c r="C263" s="45"/>
      <c r="D263" s="45"/>
      <c r="E263" s="46">
        <v>112862811.29000001</v>
      </c>
      <c r="F263" s="45"/>
      <c r="G263" s="45"/>
    </row>
    <row r="264" spans="1:7" ht="12" hidden="1" customHeight="1" outlineLevel="4" x14ac:dyDescent="0.2">
      <c r="A264" s="60" t="s">
        <v>472</v>
      </c>
      <c r="B264" s="45"/>
      <c r="C264" s="45"/>
      <c r="D264" s="45"/>
      <c r="E264" s="46">
        <v>112862811.29000001</v>
      </c>
      <c r="F264" s="45"/>
      <c r="G264" s="45"/>
    </row>
    <row r="265" spans="1:7" ht="12" hidden="1" customHeight="1" outlineLevel="3" x14ac:dyDescent="0.2">
      <c r="A265" s="61" t="s">
        <v>752</v>
      </c>
      <c r="B265" s="45"/>
      <c r="C265" s="45"/>
      <c r="D265" s="46">
        <v>21115212.98</v>
      </c>
      <c r="E265" s="45"/>
      <c r="F265" s="45"/>
      <c r="G265" s="45"/>
    </row>
    <row r="266" spans="1:7" ht="12" hidden="1" customHeight="1" outlineLevel="4" x14ac:dyDescent="0.2">
      <c r="A266" s="60" t="s">
        <v>495</v>
      </c>
      <c r="B266" s="45"/>
      <c r="C266" s="45"/>
      <c r="D266" s="46">
        <v>21115212.98</v>
      </c>
      <c r="E266" s="45"/>
      <c r="F266" s="45"/>
      <c r="G266" s="45"/>
    </row>
    <row r="267" spans="1:7" ht="12" hidden="1" customHeight="1" outlineLevel="3" x14ac:dyDescent="0.2">
      <c r="A267" s="61" t="s">
        <v>788</v>
      </c>
      <c r="B267" s="45"/>
      <c r="C267" s="45"/>
      <c r="D267" s="46">
        <v>91747598.310000002</v>
      </c>
      <c r="E267" s="45"/>
      <c r="F267" s="45"/>
      <c r="G267" s="45"/>
    </row>
    <row r="268" spans="1:7" ht="12" hidden="1" customHeight="1" outlineLevel="4" x14ac:dyDescent="0.2">
      <c r="A268" s="60" t="s">
        <v>495</v>
      </c>
      <c r="B268" s="45"/>
      <c r="C268" s="45"/>
      <c r="D268" s="46">
        <v>91747598.310000002</v>
      </c>
      <c r="E268" s="45"/>
      <c r="F268" s="45"/>
      <c r="G268" s="45"/>
    </row>
    <row r="269" spans="1:7" ht="12" hidden="1" customHeight="1" outlineLevel="2" collapsed="1" x14ac:dyDescent="0.2">
      <c r="A269" s="63" t="s">
        <v>32</v>
      </c>
      <c r="B269" s="62"/>
      <c r="C269" s="62"/>
      <c r="D269" s="71">
        <v>216188857.36000001</v>
      </c>
      <c r="E269" s="64">
        <v>216188857.36000001</v>
      </c>
      <c r="F269" s="62"/>
      <c r="G269" s="62"/>
    </row>
    <row r="270" spans="1:7" ht="12" hidden="1" customHeight="1" outlineLevel="3" x14ac:dyDescent="0.2">
      <c r="A270" s="61" t="s">
        <v>472</v>
      </c>
      <c r="B270" s="45"/>
      <c r="C270" s="45"/>
      <c r="D270" s="45"/>
      <c r="E270" s="46">
        <v>216188857.36000001</v>
      </c>
      <c r="F270" s="45"/>
      <c r="G270" s="45"/>
    </row>
    <row r="271" spans="1:7" ht="12" hidden="1" customHeight="1" outlineLevel="4" x14ac:dyDescent="0.2">
      <c r="A271" s="60" t="s">
        <v>472</v>
      </c>
      <c r="B271" s="45"/>
      <c r="C271" s="45"/>
      <c r="D271" s="45"/>
      <c r="E271" s="46">
        <v>216188857.36000001</v>
      </c>
      <c r="F271" s="45"/>
      <c r="G271" s="45"/>
    </row>
    <row r="272" spans="1:7" ht="12" hidden="1" customHeight="1" outlineLevel="3" x14ac:dyDescent="0.2">
      <c r="A272" s="61" t="s">
        <v>788</v>
      </c>
      <c r="B272" s="45"/>
      <c r="C272" s="45"/>
      <c r="D272" s="46">
        <v>216188857.36000001</v>
      </c>
      <c r="E272" s="45"/>
      <c r="F272" s="45"/>
      <c r="G272" s="45"/>
    </row>
    <row r="273" spans="1:51" ht="12" hidden="1" customHeight="1" outlineLevel="4" x14ac:dyDescent="0.2">
      <c r="A273" s="60" t="s">
        <v>495</v>
      </c>
      <c r="B273" s="45"/>
      <c r="C273" s="45"/>
      <c r="D273" s="46">
        <v>216188857.36000001</v>
      </c>
      <c r="E273" s="45"/>
      <c r="F273" s="45"/>
      <c r="G273" s="45"/>
    </row>
    <row r="274" spans="1:51" ht="12" hidden="1" customHeight="1" outlineLevel="2" collapsed="1" x14ac:dyDescent="0.2">
      <c r="A274" s="63" t="s">
        <v>477</v>
      </c>
      <c r="B274" s="62"/>
      <c r="C274" s="62"/>
      <c r="D274" s="64">
        <v>219727521.25</v>
      </c>
      <c r="E274" s="64">
        <v>219727521.25</v>
      </c>
      <c r="F274" s="62"/>
      <c r="G274" s="62"/>
    </row>
    <row r="275" spans="1:51" ht="12" hidden="1" customHeight="1" outlineLevel="3" x14ac:dyDescent="0.2">
      <c r="A275" s="61" t="s">
        <v>472</v>
      </c>
      <c r="B275" s="45"/>
      <c r="C275" s="45"/>
      <c r="D275" s="45"/>
      <c r="E275" s="46">
        <v>219727521.25</v>
      </c>
      <c r="F275" s="45"/>
      <c r="G275" s="45"/>
    </row>
    <row r="276" spans="1:51" ht="12" hidden="1" customHeight="1" outlineLevel="4" x14ac:dyDescent="0.2">
      <c r="A276" s="60" t="s">
        <v>472</v>
      </c>
      <c r="B276" s="45"/>
      <c r="C276" s="45"/>
      <c r="D276" s="45"/>
      <c r="E276" s="46">
        <v>219727521.25</v>
      </c>
      <c r="F276" s="45"/>
      <c r="G276" s="45"/>
    </row>
    <row r="277" spans="1:51" ht="45.75" hidden="1" customHeight="1" outlineLevel="3" x14ac:dyDescent="0.2">
      <c r="A277" s="77" t="s">
        <v>787</v>
      </c>
      <c r="B277" s="45"/>
      <c r="C277" s="45"/>
      <c r="D277" s="46">
        <v>287699.8</v>
      </c>
      <c r="E277" s="45"/>
      <c r="F277" s="45"/>
      <c r="G277" s="45"/>
      <c r="AY277" s="41" t="s">
        <v>362</v>
      </c>
    </row>
    <row r="278" spans="1:51" ht="12" hidden="1" customHeight="1" outlineLevel="4" x14ac:dyDescent="0.2">
      <c r="A278" s="60" t="s">
        <v>495</v>
      </c>
      <c r="B278" s="45"/>
      <c r="C278" s="45"/>
      <c r="D278" s="46">
        <v>287699.8</v>
      </c>
      <c r="E278" s="45"/>
      <c r="F278" s="45"/>
      <c r="G278" s="45"/>
    </row>
    <row r="279" spans="1:51" ht="12" hidden="1" customHeight="1" outlineLevel="3" x14ac:dyDescent="0.2">
      <c r="A279" s="77" t="s">
        <v>457</v>
      </c>
      <c r="B279" s="45"/>
      <c r="C279" s="45"/>
      <c r="D279" s="46">
        <v>14184.84</v>
      </c>
      <c r="E279" s="45"/>
      <c r="F279" s="45"/>
      <c r="G279" s="45"/>
      <c r="AO279" s="78" t="s">
        <v>823</v>
      </c>
    </row>
    <row r="280" spans="1:51" ht="12" hidden="1" customHeight="1" outlineLevel="4" x14ac:dyDescent="0.2">
      <c r="A280" s="60" t="s">
        <v>472</v>
      </c>
      <c r="B280" s="45"/>
      <c r="C280" s="45"/>
      <c r="D280" s="46">
        <v>14184.84</v>
      </c>
      <c r="E280" s="45"/>
      <c r="F280" s="45"/>
      <c r="G280" s="45"/>
    </row>
    <row r="281" spans="1:51" ht="23.25" hidden="1" customHeight="1" outlineLevel="3" x14ac:dyDescent="0.2">
      <c r="A281" s="77" t="s">
        <v>786</v>
      </c>
      <c r="B281" s="45"/>
      <c r="C281" s="45"/>
      <c r="D281" s="46">
        <v>1637493.16</v>
      </c>
      <c r="E281" s="45"/>
      <c r="F281" s="45"/>
      <c r="G281" s="45"/>
    </row>
    <row r="282" spans="1:51" ht="12" hidden="1" customHeight="1" outlineLevel="4" x14ac:dyDescent="0.2">
      <c r="A282" s="60" t="s">
        <v>735</v>
      </c>
      <c r="B282" s="45"/>
      <c r="C282" s="45"/>
      <c r="D282" s="46">
        <v>6486</v>
      </c>
      <c r="E282" s="45"/>
      <c r="F282" s="45"/>
      <c r="G282" s="45"/>
      <c r="K282" s="73" t="s">
        <v>80</v>
      </c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Q282" s="73"/>
      <c r="AR282" s="73"/>
      <c r="AS282" s="73"/>
      <c r="AT282" s="73"/>
      <c r="AU282" s="73"/>
    </row>
    <row r="283" spans="1:51" ht="12" hidden="1" customHeight="1" outlineLevel="4" x14ac:dyDescent="0.2">
      <c r="A283" s="60" t="s">
        <v>674</v>
      </c>
      <c r="B283" s="45"/>
      <c r="C283" s="45"/>
      <c r="D283" s="46">
        <v>5153</v>
      </c>
      <c r="E283" s="45"/>
      <c r="F283" s="45"/>
      <c r="G283" s="45"/>
      <c r="K283" s="73" t="s">
        <v>170</v>
      </c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Q283" s="73"/>
      <c r="AR283" s="73"/>
      <c r="AS283" s="73"/>
      <c r="AT283" s="73"/>
      <c r="AU283" s="73"/>
    </row>
    <row r="284" spans="1:51" ht="12" hidden="1" customHeight="1" outlineLevel="4" x14ac:dyDescent="0.2">
      <c r="A284" s="60" t="s">
        <v>671</v>
      </c>
      <c r="B284" s="45"/>
      <c r="C284" s="45"/>
      <c r="D284" s="46">
        <v>31446.560000000001</v>
      </c>
      <c r="E284" s="45"/>
      <c r="F284" s="45"/>
      <c r="G284" s="45"/>
      <c r="K284" s="73" t="s">
        <v>173</v>
      </c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Q284" s="73"/>
      <c r="AR284" s="73"/>
      <c r="AS284" s="73"/>
      <c r="AT284" s="73"/>
      <c r="AU284" s="73"/>
    </row>
    <row r="285" spans="1:51" ht="12" hidden="1" customHeight="1" outlineLevel="4" x14ac:dyDescent="0.2">
      <c r="A285" s="60" t="s">
        <v>669</v>
      </c>
      <c r="B285" s="45"/>
      <c r="C285" s="45"/>
      <c r="D285" s="46">
        <v>144190</v>
      </c>
      <c r="E285" s="45"/>
      <c r="F285" s="45"/>
      <c r="G285" s="45"/>
      <c r="K285" s="73" t="s">
        <v>164</v>
      </c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Q285" s="73"/>
      <c r="AR285" s="73"/>
      <c r="AS285" s="73"/>
      <c r="AT285" s="73"/>
      <c r="AU285" s="73"/>
    </row>
    <row r="286" spans="1:51" ht="12" hidden="1" customHeight="1" outlineLevel="4" x14ac:dyDescent="0.2">
      <c r="A286" s="60" t="s">
        <v>492</v>
      </c>
      <c r="B286" s="45"/>
      <c r="C286" s="45"/>
      <c r="D286" s="46">
        <v>26806.35</v>
      </c>
      <c r="E286" s="45"/>
      <c r="F286" s="45"/>
      <c r="G286" s="45"/>
      <c r="K286" s="73" t="s">
        <v>175</v>
      </c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Q286" s="73"/>
      <c r="AR286" s="73"/>
      <c r="AS286" s="73"/>
      <c r="AT286" s="73"/>
      <c r="AU286" s="73"/>
    </row>
    <row r="287" spans="1:51" ht="12" hidden="1" customHeight="1" outlineLevel="4" x14ac:dyDescent="0.2">
      <c r="A287" s="60" t="s">
        <v>491</v>
      </c>
      <c r="B287" s="45"/>
      <c r="C287" s="45"/>
      <c r="D287" s="46">
        <v>27846.400000000001</v>
      </c>
      <c r="E287" s="45"/>
      <c r="F287" s="45"/>
      <c r="G287" s="45"/>
      <c r="K287" s="73" t="s">
        <v>176</v>
      </c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Q287" s="73"/>
      <c r="AR287" s="73"/>
      <c r="AS287" s="73"/>
      <c r="AT287" s="73"/>
      <c r="AU287" s="73"/>
    </row>
    <row r="288" spans="1:51" ht="12" hidden="1" customHeight="1" outlineLevel="4" x14ac:dyDescent="0.2">
      <c r="A288" s="60" t="s">
        <v>664</v>
      </c>
      <c r="B288" s="45"/>
      <c r="C288" s="45"/>
      <c r="D288" s="46">
        <v>61366.3</v>
      </c>
      <c r="E288" s="45"/>
      <c r="F288" s="45"/>
      <c r="G288" s="45"/>
      <c r="K288" s="73" t="s">
        <v>178</v>
      </c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Q288" s="73"/>
      <c r="AR288" s="73"/>
      <c r="AS288" s="73"/>
      <c r="AT288" s="73"/>
      <c r="AU288" s="73"/>
    </row>
    <row r="289" spans="1:47" ht="12" hidden="1" customHeight="1" outlineLevel="4" x14ac:dyDescent="0.2">
      <c r="A289" s="60" t="s">
        <v>663</v>
      </c>
      <c r="B289" s="45"/>
      <c r="C289" s="45"/>
      <c r="D289" s="46">
        <v>18776</v>
      </c>
      <c r="E289" s="45"/>
      <c r="F289" s="45"/>
      <c r="G289" s="45"/>
      <c r="K289" s="73" t="s">
        <v>165</v>
      </c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Q289" s="73"/>
      <c r="AR289" s="73"/>
      <c r="AS289" s="73"/>
      <c r="AT289" s="73"/>
      <c r="AU289" s="73"/>
    </row>
    <row r="290" spans="1:47" ht="23.25" hidden="1" customHeight="1" outlineLevel="4" x14ac:dyDescent="0.2">
      <c r="A290" s="60" t="s">
        <v>655</v>
      </c>
      <c r="B290" s="45"/>
      <c r="C290" s="45"/>
      <c r="D290" s="46">
        <v>5000.54</v>
      </c>
      <c r="E290" s="45"/>
      <c r="F290" s="45"/>
      <c r="G290" s="45"/>
      <c r="K290" s="74" t="s">
        <v>156</v>
      </c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Q290" s="73"/>
      <c r="AR290" s="73"/>
      <c r="AS290" s="73"/>
      <c r="AT290" s="73"/>
      <c r="AU290" s="73"/>
    </row>
    <row r="291" spans="1:47" ht="23.25" hidden="1" customHeight="1" outlineLevel="4" x14ac:dyDescent="0.2">
      <c r="A291" s="60" t="s">
        <v>649</v>
      </c>
      <c r="B291" s="45"/>
      <c r="C291" s="45"/>
      <c r="D291" s="46">
        <v>7317.13</v>
      </c>
      <c r="E291" s="45"/>
      <c r="F291" s="45"/>
      <c r="G291" s="45"/>
      <c r="K291" s="73" t="s">
        <v>146</v>
      </c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Q291" s="73"/>
      <c r="AR291" s="73"/>
      <c r="AS291" s="73"/>
      <c r="AT291" s="73"/>
      <c r="AU291" s="73"/>
    </row>
    <row r="292" spans="1:47" ht="12" hidden="1" customHeight="1" outlineLevel="4" x14ac:dyDescent="0.2">
      <c r="A292" s="60" t="s">
        <v>725</v>
      </c>
      <c r="B292" s="45"/>
      <c r="C292" s="45"/>
      <c r="D292" s="46">
        <v>55624.66</v>
      </c>
      <c r="E292" s="45"/>
      <c r="F292" s="45"/>
      <c r="G292" s="45"/>
      <c r="K292" s="73" t="s">
        <v>119</v>
      </c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Q292" s="73"/>
      <c r="AR292" s="73"/>
      <c r="AS292" s="73"/>
      <c r="AT292" s="73"/>
      <c r="AU292" s="73"/>
    </row>
    <row r="293" spans="1:47" ht="12" hidden="1" customHeight="1" outlineLevel="4" x14ac:dyDescent="0.2">
      <c r="A293" s="60" t="s">
        <v>724</v>
      </c>
      <c r="B293" s="45"/>
      <c r="C293" s="45"/>
      <c r="D293" s="46">
        <v>44068.07</v>
      </c>
      <c r="E293" s="45"/>
      <c r="F293" s="45"/>
      <c r="G293" s="45"/>
      <c r="K293" s="73" t="s">
        <v>120</v>
      </c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Q293" s="73"/>
      <c r="AR293" s="73"/>
      <c r="AS293" s="73"/>
      <c r="AT293" s="73"/>
      <c r="AU293" s="73"/>
    </row>
    <row r="294" spans="1:47" ht="12" hidden="1" customHeight="1" outlineLevel="4" x14ac:dyDescent="0.2">
      <c r="A294" s="60" t="s">
        <v>566</v>
      </c>
      <c r="B294" s="45"/>
      <c r="C294" s="45"/>
      <c r="D294" s="46">
        <v>52160.15</v>
      </c>
      <c r="E294" s="45"/>
      <c r="F294" s="45"/>
      <c r="G294" s="45"/>
      <c r="K294" s="73" t="s">
        <v>133</v>
      </c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Q294" s="73"/>
      <c r="AR294" s="73"/>
      <c r="AS294" s="73"/>
      <c r="AT294" s="73"/>
      <c r="AU294" s="73"/>
    </row>
    <row r="295" spans="1:47" ht="12" hidden="1" customHeight="1" outlineLevel="4" x14ac:dyDescent="0.2">
      <c r="A295" s="60" t="s">
        <v>565</v>
      </c>
      <c r="B295" s="45"/>
      <c r="C295" s="45"/>
      <c r="D295" s="46">
        <v>9054.58</v>
      </c>
      <c r="E295" s="45"/>
      <c r="F295" s="45"/>
      <c r="G295" s="45"/>
      <c r="K295" s="73" t="s">
        <v>134</v>
      </c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Q295" s="73"/>
      <c r="AR295" s="73"/>
      <c r="AS295" s="73"/>
      <c r="AT295" s="73"/>
      <c r="AU295" s="73"/>
    </row>
    <row r="296" spans="1:47" ht="12" hidden="1" customHeight="1" outlineLevel="4" x14ac:dyDescent="0.2">
      <c r="A296" s="60" t="s">
        <v>563</v>
      </c>
      <c r="B296" s="45"/>
      <c r="C296" s="45"/>
      <c r="D296" s="46">
        <v>20009.68</v>
      </c>
      <c r="E296" s="45"/>
      <c r="F296" s="45"/>
      <c r="G296" s="45"/>
      <c r="K296" s="73" t="s">
        <v>132</v>
      </c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Q296" s="73"/>
      <c r="AR296" s="73"/>
      <c r="AS296" s="73"/>
      <c r="AT296" s="73"/>
      <c r="AU296" s="73"/>
    </row>
    <row r="297" spans="1:47" ht="12" hidden="1" customHeight="1" outlineLevel="4" x14ac:dyDescent="0.2">
      <c r="A297" s="60" t="s">
        <v>637</v>
      </c>
      <c r="B297" s="45"/>
      <c r="C297" s="45"/>
      <c r="D297" s="46">
        <v>32514.06</v>
      </c>
      <c r="E297" s="45"/>
      <c r="F297" s="45"/>
      <c r="G297" s="45"/>
      <c r="K297" s="73" t="s">
        <v>193</v>
      </c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Q297" s="73"/>
      <c r="AR297" s="73"/>
      <c r="AS297" s="73"/>
      <c r="AT297" s="73"/>
      <c r="AU297" s="73"/>
    </row>
    <row r="298" spans="1:47" ht="12" hidden="1" customHeight="1" outlineLevel="4" x14ac:dyDescent="0.2">
      <c r="A298" s="60" t="s">
        <v>629</v>
      </c>
      <c r="B298" s="45"/>
      <c r="C298" s="45"/>
      <c r="D298" s="46">
        <v>48095.77</v>
      </c>
      <c r="E298" s="45"/>
      <c r="F298" s="45"/>
      <c r="G298" s="45"/>
      <c r="K298" s="73" t="s">
        <v>202</v>
      </c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Q298" s="73"/>
      <c r="AR298" s="73"/>
      <c r="AS298" s="73"/>
      <c r="AT298" s="73"/>
      <c r="AU298" s="73"/>
    </row>
    <row r="299" spans="1:47" ht="12" hidden="1" customHeight="1" outlineLevel="4" x14ac:dyDescent="0.2">
      <c r="A299" s="60" t="s">
        <v>628</v>
      </c>
      <c r="B299" s="45"/>
      <c r="C299" s="45"/>
      <c r="D299" s="46">
        <v>17644.41</v>
      </c>
      <c r="E299" s="45"/>
      <c r="F299" s="45"/>
      <c r="G299" s="45"/>
      <c r="K299" s="73" t="s">
        <v>203</v>
      </c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Q299" s="73"/>
      <c r="AR299" s="73"/>
      <c r="AS299" s="73"/>
      <c r="AT299" s="73"/>
      <c r="AU299" s="73"/>
    </row>
    <row r="300" spans="1:47" ht="12" hidden="1" customHeight="1" outlineLevel="4" x14ac:dyDescent="0.2">
      <c r="A300" s="60" t="s">
        <v>626</v>
      </c>
      <c r="B300" s="45"/>
      <c r="C300" s="45"/>
      <c r="D300" s="46">
        <v>19952.57</v>
      </c>
      <c r="E300" s="45"/>
      <c r="F300" s="45"/>
      <c r="G300" s="45"/>
      <c r="K300" s="73" t="s">
        <v>205</v>
      </c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Q300" s="73"/>
      <c r="AR300" s="73"/>
      <c r="AS300" s="73"/>
      <c r="AT300" s="73"/>
      <c r="AU300" s="73"/>
    </row>
    <row r="301" spans="1:47" ht="12" hidden="1" customHeight="1" outlineLevel="4" x14ac:dyDescent="0.2">
      <c r="A301" s="60" t="s">
        <v>526</v>
      </c>
      <c r="B301" s="45"/>
      <c r="C301" s="45"/>
      <c r="D301" s="46">
        <v>42125.06</v>
      </c>
      <c r="E301" s="45"/>
      <c r="F301" s="45"/>
      <c r="G301" s="45"/>
      <c r="K301" s="73" t="s">
        <v>139</v>
      </c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Q301" s="73"/>
      <c r="AR301" s="73"/>
      <c r="AS301" s="73"/>
      <c r="AT301" s="73"/>
      <c r="AU301" s="73"/>
    </row>
    <row r="302" spans="1:47" ht="12" hidden="1" customHeight="1" outlineLevel="4" x14ac:dyDescent="0.2">
      <c r="A302" s="60" t="s">
        <v>561</v>
      </c>
      <c r="B302" s="45"/>
      <c r="C302" s="45"/>
      <c r="D302" s="46">
        <v>98907.16</v>
      </c>
      <c r="E302" s="45"/>
      <c r="F302" s="45"/>
      <c r="G302" s="45"/>
      <c r="K302" s="73" t="s">
        <v>97</v>
      </c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Q302" s="73"/>
      <c r="AR302" s="73"/>
      <c r="AS302" s="73"/>
      <c r="AT302" s="73"/>
      <c r="AU302" s="73"/>
    </row>
    <row r="303" spans="1:47" ht="23.25" hidden="1" customHeight="1" outlineLevel="4" x14ac:dyDescent="0.2">
      <c r="A303" s="60" t="s">
        <v>710</v>
      </c>
      <c r="B303" s="45"/>
      <c r="C303" s="45"/>
      <c r="D303" s="46">
        <v>12576.89</v>
      </c>
      <c r="E303" s="45"/>
      <c r="F303" s="45"/>
      <c r="G303" s="45"/>
      <c r="K303" s="73" t="s">
        <v>245</v>
      </c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Q303" s="73"/>
      <c r="AR303" s="73"/>
      <c r="AS303" s="73"/>
      <c r="AT303" s="73"/>
      <c r="AU303" s="73"/>
    </row>
    <row r="304" spans="1:47" ht="23.25" hidden="1" customHeight="1" outlineLevel="4" x14ac:dyDescent="0.2">
      <c r="A304" s="60" t="s">
        <v>618</v>
      </c>
      <c r="B304" s="45"/>
      <c r="C304" s="45"/>
      <c r="D304" s="46">
        <v>13082.4</v>
      </c>
      <c r="E304" s="45"/>
      <c r="F304" s="45"/>
      <c r="G304" s="45"/>
      <c r="K304" s="73" t="s">
        <v>216</v>
      </c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Q304" s="73"/>
      <c r="AR304" s="73"/>
      <c r="AS304" s="73"/>
      <c r="AT304" s="73"/>
      <c r="AU304" s="73"/>
    </row>
    <row r="305" spans="1:47" ht="23.25" hidden="1" customHeight="1" outlineLevel="4" x14ac:dyDescent="0.2">
      <c r="A305" s="60" t="s">
        <v>699</v>
      </c>
      <c r="B305" s="45"/>
      <c r="C305" s="45"/>
      <c r="D305" s="46">
        <v>63674.44</v>
      </c>
      <c r="E305" s="45"/>
      <c r="F305" s="45"/>
      <c r="G305" s="45"/>
      <c r="K305" s="73" t="s">
        <v>218</v>
      </c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Q305" s="73"/>
      <c r="AR305" s="73"/>
      <c r="AS305" s="73"/>
      <c r="AT305" s="73"/>
      <c r="AU305" s="73"/>
    </row>
    <row r="306" spans="1:47" ht="23.25" hidden="1" customHeight="1" outlineLevel="4" x14ac:dyDescent="0.2">
      <c r="A306" s="60" t="s">
        <v>691</v>
      </c>
      <c r="B306" s="45"/>
      <c r="C306" s="45"/>
      <c r="D306" s="46">
        <v>94445.71</v>
      </c>
      <c r="E306" s="45"/>
      <c r="F306" s="45"/>
      <c r="G306" s="45"/>
      <c r="K306" s="73" t="s">
        <v>226</v>
      </c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Q306" s="73"/>
      <c r="AR306" s="73"/>
      <c r="AS306" s="73"/>
      <c r="AT306" s="73"/>
      <c r="AU306" s="73"/>
    </row>
    <row r="307" spans="1:47" ht="23.25" hidden="1" customHeight="1" outlineLevel="4" x14ac:dyDescent="0.2">
      <c r="A307" s="60" t="s">
        <v>685</v>
      </c>
      <c r="B307" s="45"/>
      <c r="C307" s="45"/>
      <c r="D307" s="46">
        <v>36227.699999999997</v>
      </c>
      <c r="E307" s="45"/>
      <c r="F307" s="45"/>
      <c r="G307" s="45"/>
      <c r="K307" s="73" t="s">
        <v>232</v>
      </c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Q307" s="73"/>
      <c r="AR307" s="73"/>
      <c r="AS307" s="73"/>
      <c r="AT307" s="73"/>
      <c r="AU307" s="73"/>
    </row>
    <row r="308" spans="1:47" ht="12" hidden="1" customHeight="1" outlineLevel="4" x14ac:dyDescent="0.2">
      <c r="A308" s="60" t="s">
        <v>586</v>
      </c>
      <c r="B308" s="45"/>
      <c r="C308" s="45"/>
      <c r="D308" s="46">
        <v>4720.3900000000003</v>
      </c>
      <c r="E308" s="45"/>
      <c r="F308" s="45"/>
      <c r="G308" s="45"/>
      <c r="K308" s="73" t="s">
        <v>262</v>
      </c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Q308" s="73"/>
      <c r="AR308" s="73"/>
      <c r="AS308" s="73"/>
      <c r="AT308" s="73"/>
      <c r="AU308" s="73"/>
    </row>
    <row r="309" spans="1:47" ht="12" hidden="1" customHeight="1" outlineLevel="4" x14ac:dyDescent="0.2">
      <c r="A309" s="60" t="s">
        <v>612</v>
      </c>
      <c r="B309" s="45"/>
      <c r="C309" s="45"/>
      <c r="D309" s="46">
        <v>131903.89000000001</v>
      </c>
      <c r="E309" s="45"/>
      <c r="F309" s="45"/>
      <c r="G309" s="45"/>
      <c r="K309" s="73" t="s">
        <v>264</v>
      </c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Q309" s="73"/>
      <c r="AR309" s="73"/>
      <c r="AS309" s="73"/>
      <c r="AT309" s="73"/>
      <c r="AU309" s="73"/>
    </row>
    <row r="310" spans="1:47" ht="12" hidden="1" customHeight="1" outlineLevel="4" x14ac:dyDescent="0.2">
      <c r="A310" s="60" t="s">
        <v>601</v>
      </c>
      <c r="B310" s="45"/>
      <c r="C310" s="45"/>
      <c r="D310" s="46">
        <v>81994.98</v>
      </c>
      <c r="E310" s="45"/>
      <c r="F310" s="45"/>
      <c r="G310" s="45"/>
      <c r="K310" s="73" t="s">
        <v>277</v>
      </c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Q310" s="73"/>
      <c r="AR310" s="73"/>
      <c r="AS310" s="73"/>
      <c r="AT310" s="73"/>
      <c r="AU310" s="73"/>
    </row>
    <row r="311" spans="1:47" ht="12" hidden="1" customHeight="1" outlineLevel="4" x14ac:dyDescent="0.2">
      <c r="A311" s="60" t="s">
        <v>599</v>
      </c>
      <c r="B311" s="45"/>
      <c r="C311" s="45"/>
      <c r="D311" s="46">
        <v>25872.79</v>
      </c>
      <c r="E311" s="45"/>
      <c r="F311" s="45"/>
      <c r="G311" s="45"/>
      <c r="K311" s="73" t="s">
        <v>267</v>
      </c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Q311" s="73"/>
      <c r="AR311" s="73"/>
      <c r="AS311" s="73"/>
      <c r="AT311" s="73"/>
      <c r="AU311" s="73"/>
    </row>
    <row r="312" spans="1:47" ht="12" hidden="1" customHeight="1" outlineLevel="4" x14ac:dyDescent="0.2">
      <c r="A312" s="60" t="s">
        <v>597</v>
      </c>
      <c r="B312" s="45"/>
      <c r="C312" s="45"/>
      <c r="D312" s="46">
        <v>56059</v>
      </c>
      <c r="E312" s="45"/>
      <c r="F312" s="45"/>
      <c r="G312" s="45"/>
      <c r="K312" s="73" t="s">
        <v>280</v>
      </c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Q312" s="73"/>
      <c r="AR312" s="73"/>
      <c r="AS312" s="73"/>
      <c r="AT312" s="73"/>
      <c r="AU312" s="73"/>
    </row>
    <row r="313" spans="1:47" ht="12" hidden="1" customHeight="1" outlineLevel="4" x14ac:dyDescent="0.2">
      <c r="A313" s="60" t="s">
        <v>593</v>
      </c>
      <c r="B313" s="45"/>
      <c r="C313" s="45"/>
      <c r="D313" s="46">
        <v>2994.4</v>
      </c>
      <c r="E313" s="45"/>
      <c r="F313" s="45"/>
      <c r="G313" s="45"/>
      <c r="K313" s="73" t="s">
        <v>284</v>
      </c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Q313" s="73"/>
      <c r="AR313" s="73"/>
      <c r="AS313" s="73"/>
      <c r="AT313" s="73"/>
      <c r="AU313" s="73"/>
    </row>
    <row r="314" spans="1:47" ht="12" hidden="1" customHeight="1" outlineLevel="4" x14ac:dyDescent="0.2">
      <c r="A314" s="60" t="s">
        <v>592</v>
      </c>
      <c r="B314" s="45"/>
      <c r="C314" s="45"/>
      <c r="D314" s="46">
        <v>37333.370000000003</v>
      </c>
      <c r="E314" s="45"/>
      <c r="F314" s="45"/>
      <c r="G314" s="45"/>
      <c r="K314" s="73" t="s">
        <v>285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Q314" s="73"/>
      <c r="AR314" s="73"/>
      <c r="AS314" s="73"/>
      <c r="AT314" s="73"/>
      <c r="AU314" s="73"/>
    </row>
    <row r="315" spans="1:47" ht="12" hidden="1" customHeight="1" outlineLevel="4" x14ac:dyDescent="0.2">
      <c r="A315" s="60" t="s">
        <v>589</v>
      </c>
      <c r="B315" s="45"/>
      <c r="C315" s="45"/>
      <c r="D315" s="46">
        <v>39123</v>
      </c>
      <c r="E315" s="45"/>
      <c r="F315" s="45"/>
      <c r="G315" s="45"/>
      <c r="K315" s="73" t="s">
        <v>288</v>
      </c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Q315" s="73"/>
      <c r="AR315" s="73"/>
      <c r="AS315" s="73"/>
      <c r="AT315" s="73"/>
      <c r="AU315" s="73"/>
    </row>
    <row r="316" spans="1:47" ht="12" hidden="1" customHeight="1" outlineLevel="4" x14ac:dyDescent="0.2">
      <c r="A316" s="60" t="s">
        <v>513</v>
      </c>
      <c r="B316" s="45"/>
      <c r="C316" s="45"/>
      <c r="D316" s="46">
        <v>17724</v>
      </c>
      <c r="E316" s="45"/>
      <c r="F316" s="45"/>
      <c r="G316" s="45"/>
      <c r="K316" s="73" t="s">
        <v>301</v>
      </c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Q316" s="73"/>
      <c r="AR316" s="73"/>
      <c r="AS316" s="73"/>
      <c r="AT316" s="73"/>
      <c r="AU316" s="73"/>
    </row>
    <row r="317" spans="1:47" ht="12" hidden="1" customHeight="1" outlineLevel="4" x14ac:dyDescent="0.2">
      <c r="A317" s="60" t="s">
        <v>512</v>
      </c>
      <c r="B317" s="45"/>
      <c r="C317" s="45"/>
      <c r="D317" s="46">
        <v>45937.57</v>
      </c>
      <c r="E317" s="45"/>
      <c r="F317" s="45"/>
      <c r="G317" s="45"/>
      <c r="K317" s="73" t="s">
        <v>303</v>
      </c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Q317" s="73"/>
      <c r="AR317" s="73"/>
      <c r="AS317" s="73"/>
      <c r="AT317" s="73"/>
      <c r="AU317" s="73"/>
    </row>
    <row r="318" spans="1:47" ht="12" hidden="1" customHeight="1" outlineLevel="4" x14ac:dyDescent="0.2">
      <c r="A318" s="60" t="s">
        <v>511</v>
      </c>
      <c r="B318" s="45"/>
      <c r="C318" s="45"/>
      <c r="D318" s="46">
        <v>161461.01999999999</v>
      </c>
      <c r="E318" s="45"/>
      <c r="F318" s="45"/>
      <c r="G318" s="45"/>
      <c r="K318" s="73" t="s">
        <v>304</v>
      </c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Q318" s="73"/>
      <c r="AR318" s="73"/>
      <c r="AS318" s="73"/>
      <c r="AT318" s="73"/>
      <c r="AU318" s="73"/>
    </row>
    <row r="319" spans="1:47" ht="12" hidden="1" customHeight="1" outlineLevel="4" x14ac:dyDescent="0.2">
      <c r="A319" s="60" t="s">
        <v>507</v>
      </c>
      <c r="B319" s="45"/>
      <c r="C319" s="45"/>
      <c r="D319" s="46">
        <v>37817.160000000003</v>
      </c>
      <c r="E319" s="45"/>
      <c r="F319" s="45"/>
      <c r="G319" s="45"/>
      <c r="K319" s="73" t="s">
        <v>307</v>
      </c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Q319" s="73"/>
      <c r="AR319" s="73"/>
      <c r="AS319" s="73"/>
      <c r="AT319" s="73"/>
      <c r="AU319" s="73"/>
    </row>
    <row r="320" spans="1:47" ht="23.25" hidden="1" customHeight="1" outlineLevel="3" x14ac:dyDescent="0.2">
      <c r="A320" s="80" t="s">
        <v>785</v>
      </c>
      <c r="B320" s="45"/>
      <c r="C320" s="45"/>
      <c r="D320" s="46">
        <v>25670.959999999999</v>
      </c>
      <c r="E320" s="45"/>
      <c r="F320" s="45"/>
      <c r="G320" s="45"/>
    </row>
    <row r="321" spans="1:53" ht="12" hidden="1" customHeight="1" outlineLevel="4" x14ac:dyDescent="0.2">
      <c r="A321" s="60" t="s">
        <v>564</v>
      </c>
      <c r="B321" s="45"/>
      <c r="C321" s="45"/>
      <c r="D321" s="46">
        <v>25670.959999999999</v>
      </c>
      <c r="E321" s="45"/>
      <c r="F321" s="45"/>
      <c r="G321" s="45"/>
      <c r="L321" s="73" t="s">
        <v>131</v>
      </c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Q321" s="75"/>
      <c r="AR321" s="75"/>
      <c r="AS321" s="75"/>
      <c r="AT321" s="75"/>
      <c r="AU321" s="75"/>
    </row>
    <row r="322" spans="1:53" ht="23.25" hidden="1" customHeight="1" outlineLevel="3" x14ac:dyDescent="0.2">
      <c r="A322" s="80" t="s">
        <v>784</v>
      </c>
      <c r="B322" s="45"/>
      <c r="C322" s="45"/>
      <c r="D322" s="46">
        <v>7954.37</v>
      </c>
      <c r="E322" s="45"/>
      <c r="F322" s="45"/>
      <c r="G322" s="45"/>
    </row>
    <row r="323" spans="1:53" ht="12" hidden="1" customHeight="1" outlineLevel="4" x14ac:dyDescent="0.2">
      <c r="A323" s="60" t="s">
        <v>564</v>
      </c>
      <c r="B323" s="45"/>
      <c r="C323" s="45"/>
      <c r="D323" s="46">
        <v>7954.37</v>
      </c>
      <c r="E323" s="45"/>
      <c r="F323" s="45"/>
      <c r="G323" s="45"/>
      <c r="M323" s="73" t="s">
        <v>131</v>
      </c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Q323" s="73"/>
      <c r="AR323" s="73"/>
      <c r="AS323" s="73"/>
      <c r="AT323" s="73"/>
      <c r="AU323" s="73"/>
    </row>
    <row r="324" spans="1:53" ht="12" hidden="1" customHeight="1" outlineLevel="3" x14ac:dyDescent="0.2">
      <c r="A324" s="77" t="s">
        <v>783</v>
      </c>
      <c r="B324" s="45"/>
      <c r="C324" s="45"/>
      <c r="D324" s="46">
        <v>17029999.989999998</v>
      </c>
      <c r="E324" s="45"/>
      <c r="F324" s="45"/>
      <c r="G324" s="45"/>
      <c r="BA324" s="41" t="s">
        <v>25</v>
      </c>
    </row>
    <row r="325" spans="1:53" ht="12" hidden="1" customHeight="1" outlineLevel="4" x14ac:dyDescent="0.2">
      <c r="A325" s="60" t="s">
        <v>495</v>
      </c>
      <c r="B325" s="45"/>
      <c r="C325" s="45"/>
      <c r="D325" s="46">
        <v>17029999.989999998</v>
      </c>
      <c r="E325" s="45"/>
      <c r="F325" s="45"/>
      <c r="G325" s="45"/>
    </row>
    <row r="326" spans="1:53" ht="12" hidden="1" customHeight="1" outlineLevel="3" x14ac:dyDescent="0.2">
      <c r="A326" s="77" t="s">
        <v>358</v>
      </c>
      <c r="B326" s="45"/>
      <c r="C326" s="45"/>
      <c r="D326" s="46">
        <v>5636666.6399999997</v>
      </c>
      <c r="E326" s="45"/>
      <c r="F326" s="45"/>
      <c r="G326" s="45"/>
      <c r="AO326" s="78" t="s">
        <v>358</v>
      </c>
    </row>
    <row r="327" spans="1:53" ht="12" hidden="1" customHeight="1" outlineLevel="4" x14ac:dyDescent="0.2">
      <c r="A327" s="60" t="s">
        <v>495</v>
      </c>
      <c r="B327" s="45"/>
      <c r="C327" s="45"/>
      <c r="D327" s="46">
        <v>5636666.6399999997</v>
      </c>
      <c r="E327" s="45"/>
      <c r="F327" s="45"/>
      <c r="G327" s="45"/>
    </row>
    <row r="328" spans="1:53" ht="12" hidden="1" customHeight="1" outlineLevel="3" x14ac:dyDescent="0.2">
      <c r="A328" s="77" t="s">
        <v>349</v>
      </c>
      <c r="B328" s="45"/>
      <c r="C328" s="45"/>
      <c r="D328" s="46">
        <v>470914.58</v>
      </c>
      <c r="E328" s="45"/>
      <c r="F328" s="45"/>
      <c r="G328" s="45"/>
    </row>
    <row r="329" spans="1:53" ht="12" hidden="1" customHeight="1" outlineLevel="4" x14ac:dyDescent="0.2">
      <c r="A329" s="60" t="s">
        <v>563</v>
      </c>
      <c r="B329" s="45"/>
      <c r="C329" s="45"/>
      <c r="D329" s="46">
        <v>31216.66</v>
      </c>
      <c r="E329" s="45"/>
      <c r="F329" s="45"/>
      <c r="G329" s="45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 t="s">
        <v>132</v>
      </c>
      <c r="AF329" s="73"/>
      <c r="AG329" s="73"/>
      <c r="AH329" s="73"/>
      <c r="AI329" s="73"/>
      <c r="AJ329" s="73"/>
      <c r="AK329" s="73"/>
      <c r="AL329" s="73"/>
      <c r="AM329" s="73"/>
      <c r="AN329" s="73"/>
      <c r="AQ329" s="73"/>
      <c r="AR329" s="73"/>
      <c r="AS329" s="73"/>
      <c r="AT329" s="73"/>
      <c r="AU329" s="73"/>
    </row>
    <row r="330" spans="1:53" ht="23.25" hidden="1" customHeight="1" outlineLevel="4" x14ac:dyDescent="0.2">
      <c r="A330" s="60" t="s">
        <v>562</v>
      </c>
      <c r="B330" s="45"/>
      <c r="C330" s="45"/>
      <c r="D330" s="46">
        <v>42291.67</v>
      </c>
      <c r="E330" s="45"/>
      <c r="F330" s="45"/>
      <c r="G330" s="45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 t="s">
        <v>141</v>
      </c>
      <c r="AF330" s="73"/>
      <c r="AG330" s="73"/>
      <c r="AH330" s="73"/>
      <c r="AI330" s="73"/>
      <c r="AJ330" s="73"/>
      <c r="AK330" s="73"/>
      <c r="AL330" s="73"/>
      <c r="AM330" s="73"/>
      <c r="AN330" s="73"/>
      <c r="AQ330" s="73"/>
      <c r="AR330" s="73"/>
      <c r="AS330" s="73"/>
      <c r="AT330" s="73"/>
      <c r="AU330" s="73"/>
    </row>
    <row r="331" spans="1:53" ht="23.25" hidden="1" customHeight="1" outlineLevel="4" x14ac:dyDescent="0.2">
      <c r="A331" s="60" t="s">
        <v>481</v>
      </c>
      <c r="B331" s="45"/>
      <c r="C331" s="45"/>
      <c r="D331" s="46">
        <v>229406.25</v>
      </c>
      <c r="E331" s="45"/>
      <c r="F331" s="45"/>
      <c r="G331" s="45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 t="s">
        <v>252</v>
      </c>
      <c r="AF331" s="73"/>
      <c r="AG331" s="73"/>
      <c r="AH331" s="73"/>
      <c r="AI331" s="73"/>
      <c r="AJ331" s="73"/>
      <c r="AK331" s="73"/>
      <c r="AL331" s="73"/>
      <c r="AM331" s="73"/>
      <c r="AN331" s="73"/>
      <c r="AQ331" s="73"/>
      <c r="AR331" s="73"/>
      <c r="AS331" s="73"/>
      <c r="AT331" s="73"/>
      <c r="AU331" s="73"/>
    </row>
    <row r="332" spans="1:53" ht="12" hidden="1" customHeight="1" outlineLevel="4" x14ac:dyDescent="0.2">
      <c r="A332" s="60" t="s">
        <v>592</v>
      </c>
      <c r="B332" s="45"/>
      <c r="C332" s="45"/>
      <c r="D332" s="46">
        <v>168000</v>
      </c>
      <c r="E332" s="45"/>
      <c r="F332" s="45"/>
      <c r="G332" s="45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 t="s">
        <v>285</v>
      </c>
      <c r="AF332" s="73"/>
      <c r="AG332" s="73"/>
      <c r="AH332" s="73"/>
      <c r="AI332" s="73"/>
      <c r="AJ332" s="73"/>
      <c r="AK332" s="73"/>
      <c r="AL332" s="73"/>
      <c r="AM332" s="73"/>
      <c r="AN332" s="73"/>
      <c r="AQ332" s="73"/>
      <c r="AR332" s="73"/>
      <c r="AS332" s="73"/>
      <c r="AT332" s="73"/>
      <c r="AU332" s="73"/>
    </row>
    <row r="333" spans="1:53" ht="12" hidden="1" customHeight="1" outlineLevel="3" x14ac:dyDescent="0.2">
      <c r="A333" s="77" t="s">
        <v>383</v>
      </c>
      <c r="B333" s="45"/>
      <c r="C333" s="45"/>
      <c r="D333" s="46">
        <v>47125</v>
      </c>
      <c r="E333" s="45"/>
      <c r="F333" s="45"/>
      <c r="G333" s="45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Q333" s="76"/>
      <c r="AR333" s="76"/>
      <c r="AS333" s="76"/>
      <c r="AT333" s="76"/>
      <c r="AU333" s="76"/>
    </row>
    <row r="334" spans="1:53" ht="12" hidden="1" customHeight="1" outlineLevel="4" x14ac:dyDescent="0.2">
      <c r="A334" s="60" t="s">
        <v>515</v>
      </c>
      <c r="B334" s="45"/>
      <c r="C334" s="45"/>
      <c r="D334" s="46">
        <v>47125</v>
      </c>
      <c r="E334" s="45"/>
      <c r="F334" s="45"/>
      <c r="G334" s="45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6"/>
      <c r="AF334" s="73" t="s">
        <v>296</v>
      </c>
      <c r="AG334" s="73"/>
      <c r="AH334" s="73"/>
      <c r="AI334" s="73"/>
      <c r="AJ334" s="73"/>
      <c r="AK334" s="73"/>
      <c r="AL334" s="73"/>
      <c r="AM334" s="73"/>
      <c r="AN334" s="73"/>
      <c r="AQ334" s="73"/>
      <c r="AR334" s="73"/>
      <c r="AS334" s="73"/>
      <c r="AT334" s="73"/>
      <c r="AU334" s="73"/>
    </row>
    <row r="335" spans="1:53" ht="12" hidden="1" customHeight="1" outlineLevel="3" x14ac:dyDescent="0.2">
      <c r="A335" s="77" t="s">
        <v>782</v>
      </c>
      <c r="B335" s="45"/>
      <c r="C335" s="45"/>
      <c r="D335" s="46">
        <v>363774.94</v>
      </c>
      <c r="E335" s="45"/>
      <c r="F335" s="45"/>
      <c r="G335" s="45"/>
    </row>
    <row r="336" spans="1:53" ht="12" hidden="1" customHeight="1" outlineLevel="4" x14ac:dyDescent="0.2">
      <c r="A336" s="60" t="s">
        <v>495</v>
      </c>
      <c r="B336" s="45"/>
      <c r="C336" s="45"/>
      <c r="D336" s="46">
        <v>244631.4</v>
      </c>
      <c r="E336" s="45"/>
      <c r="F336" s="45"/>
      <c r="G336" s="45"/>
      <c r="N336" s="72"/>
      <c r="O336" s="138" t="s">
        <v>342</v>
      </c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G336" s="72"/>
      <c r="AH336" s="72"/>
      <c r="AI336" s="72"/>
      <c r="AJ336" s="72"/>
      <c r="AK336" s="72"/>
      <c r="AL336" s="72"/>
      <c r="AM336" s="72"/>
      <c r="AN336" s="72"/>
      <c r="AQ336" s="72"/>
      <c r="AR336" s="72"/>
      <c r="AS336" s="72"/>
      <c r="AT336" s="72"/>
      <c r="AU336" s="72"/>
    </row>
    <row r="337" spans="1:54" ht="12" hidden="1" customHeight="1" outlineLevel="4" x14ac:dyDescent="0.2">
      <c r="A337" s="60" t="s">
        <v>669</v>
      </c>
      <c r="B337" s="45"/>
      <c r="C337" s="45"/>
      <c r="D337" s="46">
        <v>42934.3</v>
      </c>
      <c r="E337" s="45"/>
      <c r="F337" s="45"/>
      <c r="G337" s="45"/>
      <c r="N337" s="73"/>
      <c r="O337" s="73" t="s">
        <v>164</v>
      </c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G337" s="73"/>
      <c r="AH337" s="73"/>
      <c r="AI337" s="73"/>
      <c r="AJ337" s="73"/>
      <c r="AK337" s="73"/>
      <c r="AL337" s="73"/>
      <c r="AM337" s="73"/>
      <c r="AN337" s="73"/>
      <c r="AQ337" s="73"/>
      <c r="AR337" s="73"/>
      <c r="AS337" s="73"/>
      <c r="AT337" s="73"/>
      <c r="AU337" s="73"/>
    </row>
    <row r="338" spans="1:54" ht="12" hidden="1" customHeight="1" outlineLevel="4" x14ac:dyDescent="0.2">
      <c r="A338" s="60" t="s">
        <v>605</v>
      </c>
      <c r="B338" s="45"/>
      <c r="C338" s="45"/>
      <c r="D338" s="46">
        <v>76209.240000000005</v>
      </c>
      <c r="E338" s="45"/>
      <c r="F338" s="45"/>
      <c r="G338" s="45"/>
      <c r="N338" s="73"/>
      <c r="O338" s="73" t="s">
        <v>273</v>
      </c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G338" s="73"/>
      <c r="AH338" s="73"/>
      <c r="AI338" s="73"/>
      <c r="AJ338" s="73"/>
      <c r="AK338" s="73"/>
      <c r="AL338" s="73"/>
      <c r="AM338" s="73"/>
      <c r="AN338" s="73"/>
      <c r="AQ338" s="73"/>
      <c r="AR338" s="73"/>
      <c r="AS338" s="73"/>
      <c r="AT338" s="73"/>
      <c r="AU338" s="73"/>
    </row>
    <row r="339" spans="1:54" ht="12" hidden="1" customHeight="1" outlineLevel="3" x14ac:dyDescent="0.2">
      <c r="A339" s="77" t="s">
        <v>342</v>
      </c>
      <c r="B339" s="45"/>
      <c r="C339" s="45"/>
      <c r="D339" s="46">
        <v>9948.15</v>
      </c>
      <c r="E339" s="45"/>
      <c r="F339" s="45"/>
      <c r="G339" s="45"/>
    </row>
    <row r="340" spans="1:54" ht="12" hidden="1" customHeight="1" outlineLevel="4" x14ac:dyDescent="0.2">
      <c r="A340" s="60" t="s">
        <v>599</v>
      </c>
      <c r="B340" s="45"/>
      <c r="C340" s="45"/>
      <c r="D340" s="46">
        <v>9948.15</v>
      </c>
      <c r="E340" s="45"/>
      <c r="F340" s="45"/>
      <c r="G340" s="45"/>
      <c r="N340" s="73" t="s">
        <v>267</v>
      </c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G340" s="73"/>
      <c r="AH340" s="73"/>
      <c r="AI340" s="73"/>
      <c r="AJ340" s="73"/>
      <c r="AK340" s="73"/>
      <c r="AL340" s="73"/>
      <c r="AM340" s="73"/>
      <c r="AN340" s="73"/>
      <c r="AQ340" s="73"/>
      <c r="AR340" s="73"/>
      <c r="AS340" s="73"/>
      <c r="AT340" s="73"/>
      <c r="AU340" s="73"/>
    </row>
    <row r="341" spans="1:54" ht="23.25" hidden="1" customHeight="1" outlineLevel="3" x14ac:dyDescent="0.2">
      <c r="A341" s="80" t="s">
        <v>781</v>
      </c>
      <c r="B341" s="45"/>
      <c r="C341" s="45"/>
      <c r="D341" s="46">
        <v>87198.52</v>
      </c>
      <c r="E341" s="45"/>
      <c r="F341" s="45"/>
      <c r="G341" s="45"/>
    </row>
    <row r="342" spans="1:54" ht="12" hidden="1" customHeight="1" outlineLevel="4" x14ac:dyDescent="0.2">
      <c r="A342" s="60" t="s">
        <v>669</v>
      </c>
      <c r="B342" s="45"/>
      <c r="C342" s="45"/>
      <c r="D342" s="46">
        <v>87198.52</v>
      </c>
      <c r="E342" s="45"/>
      <c r="F342" s="45"/>
      <c r="G342" s="45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G342" s="73"/>
      <c r="AH342" s="73"/>
      <c r="AI342" s="73"/>
      <c r="AJ342" s="73"/>
      <c r="AK342" s="73"/>
      <c r="AL342" s="73"/>
      <c r="AM342" s="73"/>
      <c r="AN342" s="73"/>
      <c r="AQ342" s="73" t="s">
        <v>164</v>
      </c>
      <c r="AR342" s="73"/>
      <c r="AS342" s="73"/>
      <c r="AT342" s="73"/>
      <c r="AU342" s="73"/>
    </row>
    <row r="343" spans="1:54" ht="12" hidden="1" customHeight="1" outlineLevel="3" x14ac:dyDescent="0.2">
      <c r="A343" s="77" t="s">
        <v>369</v>
      </c>
      <c r="B343" s="45"/>
      <c r="C343" s="45"/>
      <c r="D343" s="46">
        <v>24902982.52</v>
      </c>
      <c r="E343" s="45"/>
      <c r="F343" s="45"/>
      <c r="G343" s="45"/>
    </row>
    <row r="344" spans="1:54" ht="12" hidden="1" customHeight="1" outlineLevel="4" x14ac:dyDescent="0.2">
      <c r="A344" s="60" t="s">
        <v>743</v>
      </c>
      <c r="B344" s="45"/>
      <c r="C344" s="45"/>
      <c r="D344" s="46">
        <v>30063.040000000001</v>
      </c>
      <c r="E344" s="45"/>
      <c r="F344" s="45"/>
      <c r="G344" s="45"/>
      <c r="BB344" s="73" t="s">
        <v>121</v>
      </c>
    </row>
    <row r="345" spans="1:54" ht="12" hidden="1" customHeight="1" outlineLevel="4" x14ac:dyDescent="0.2">
      <c r="A345" s="60" t="s">
        <v>495</v>
      </c>
      <c r="B345" s="45"/>
      <c r="C345" s="45"/>
      <c r="D345" s="46">
        <v>22845659.300000001</v>
      </c>
      <c r="E345" s="45"/>
      <c r="F345" s="45"/>
      <c r="G345" s="45"/>
      <c r="BB345" s="81" t="s">
        <v>369</v>
      </c>
    </row>
    <row r="346" spans="1:54" ht="12" hidden="1" customHeight="1" outlineLevel="4" x14ac:dyDescent="0.2">
      <c r="A346" s="60" t="s">
        <v>733</v>
      </c>
      <c r="B346" s="45"/>
      <c r="C346" s="45"/>
      <c r="D346" s="46">
        <v>2163.4499999999998</v>
      </c>
      <c r="E346" s="45"/>
      <c r="F346" s="45"/>
      <c r="G346" s="45"/>
      <c r="BB346" s="73" t="s">
        <v>82</v>
      </c>
    </row>
    <row r="347" spans="1:54" ht="12" hidden="1" customHeight="1" outlineLevel="4" x14ac:dyDescent="0.2">
      <c r="A347" s="60" t="s">
        <v>732</v>
      </c>
      <c r="B347" s="45"/>
      <c r="C347" s="45"/>
      <c r="D347" s="46">
        <v>5163.45</v>
      </c>
      <c r="E347" s="45"/>
      <c r="F347" s="45"/>
      <c r="G347" s="45"/>
      <c r="BB347" s="73" t="s">
        <v>84</v>
      </c>
    </row>
    <row r="348" spans="1:54" ht="12" hidden="1" customHeight="1" outlineLevel="4" x14ac:dyDescent="0.2">
      <c r="A348" s="60" t="s">
        <v>731</v>
      </c>
      <c r="B348" s="45"/>
      <c r="C348" s="45"/>
      <c r="D348" s="46">
        <v>2163.4499999999998</v>
      </c>
      <c r="E348" s="45"/>
      <c r="F348" s="45"/>
      <c r="G348" s="45"/>
      <c r="BB348" s="73" t="s">
        <v>85</v>
      </c>
    </row>
    <row r="349" spans="1:54" ht="12" hidden="1" customHeight="1" outlineLevel="4" x14ac:dyDescent="0.2">
      <c r="A349" s="60" t="s">
        <v>675</v>
      </c>
      <c r="B349" s="45"/>
      <c r="C349" s="45"/>
      <c r="D349" s="46">
        <v>4326.8999999999996</v>
      </c>
      <c r="E349" s="45"/>
      <c r="F349" s="45"/>
      <c r="G349" s="45"/>
      <c r="BB349" s="74" t="s">
        <v>168</v>
      </c>
    </row>
    <row r="350" spans="1:54" ht="12" hidden="1" customHeight="1" outlineLevel="4" x14ac:dyDescent="0.2">
      <c r="A350" s="60" t="s">
        <v>674</v>
      </c>
      <c r="B350" s="45"/>
      <c r="C350" s="45"/>
      <c r="D350" s="46">
        <v>12980.7</v>
      </c>
      <c r="E350" s="45"/>
      <c r="F350" s="45"/>
      <c r="G350" s="45"/>
      <c r="BB350" s="73" t="s">
        <v>170</v>
      </c>
    </row>
    <row r="351" spans="1:54" ht="12" hidden="1" customHeight="1" outlineLevel="4" x14ac:dyDescent="0.2">
      <c r="A351" s="60" t="s">
        <v>670</v>
      </c>
      <c r="B351" s="45"/>
      <c r="C351" s="45"/>
      <c r="D351" s="46">
        <v>10817.25</v>
      </c>
      <c r="E351" s="45"/>
      <c r="F351" s="45"/>
      <c r="G351" s="45"/>
      <c r="BB351" s="73" t="s">
        <v>163</v>
      </c>
    </row>
    <row r="352" spans="1:54" ht="12" hidden="1" customHeight="1" outlineLevel="4" x14ac:dyDescent="0.2">
      <c r="A352" s="60" t="s">
        <v>669</v>
      </c>
      <c r="B352" s="45"/>
      <c r="C352" s="45"/>
      <c r="D352" s="46">
        <v>41838.5</v>
      </c>
      <c r="E352" s="45"/>
      <c r="F352" s="45"/>
      <c r="G352" s="45"/>
      <c r="BB352" s="73" t="s">
        <v>164</v>
      </c>
    </row>
    <row r="353" spans="1:54" ht="12" hidden="1" customHeight="1" outlineLevel="4" x14ac:dyDescent="0.2">
      <c r="A353" s="60" t="s">
        <v>492</v>
      </c>
      <c r="B353" s="45"/>
      <c r="C353" s="45"/>
      <c r="D353" s="46">
        <v>5010.5</v>
      </c>
      <c r="E353" s="45"/>
      <c r="F353" s="45"/>
      <c r="G353" s="45"/>
      <c r="BB353" s="73" t="s">
        <v>175</v>
      </c>
    </row>
    <row r="354" spans="1:54" ht="12" hidden="1" customHeight="1" outlineLevel="4" x14ac:dyDescent="0.2">
      <c r="A354" s="60" t="s">
        <v>491</v>
      </c>
      <c r="B354" s="45"/>
      <c r="C354" s="45"/>
      <c r="D354" s="46">
        <v>5010.5</v>
      </c>
      <c r="E354" s="45"/>
      <c r="F354" s="45"/>
      <c r="G354" s="45"/>
      <c r="BB354" s="73" t="s">
        <v>176</v>
      </c>
    </row>
    <row r="355" spans="1:54" ht="12" hidden="1" customHeight="1" outlineLevel="4" x14ac:dyDescent="0.2">
      <c r="A355" s="60" t="s">
        <v>666</v>
      </c>
      <c r="B355" s="45"/>
      <c r="C355" s="45"/>
      <c r="D355" s="46">
        <v>8653.7999999999993</v>
      </c>
      <c r="E355" s="45"/>
      <c r="F355" s="45"/>
      <c r="G355" s="45"/>
      <c r="BB355" s="73" t="s">
        <v>177</v>
      </c>
    </row>
    <row r="356" spans="1:54" ht="23.25" hidden="1" customHeight="1" outlineLevel="4" x14ac:dyDescent="0.2">
      <c r="A356" s="60" t="s">
        <v>665</v>
      </c>
      <c r="B356" s="45"/>
      <c r="C356" s="45"/>
      <c r="D356" s="46">
        <v>5010.5</v>
      </c>
      <c r="E356" s="45"/>
      <c r="F356" s="45"/>
      <c r="G356" s="45"/>
      <c r="BB356" s="73" t="s">
        <v>178</v>
      </c>
    </row>
    <row r="357" spans="1:54" ht="12" hidden="1" customHeight="1" outlineLevel="4" x14ac:dyDescent="0.2">
      <c r="A357" s="60" t="s">
        <v>664</v>
      </c>
      <c r="B357" s="45"/>
      <c r="C357" s="45"/>
      <c r="D357" s="46">
        <v>5010.5</v>
      </c>
      <c r="E357" s="45"/>
      <c r="F357" s="45"/>
      <c r="G357" s="45"/>
      <c r="BB357" s="73" t="s">
        <v>178</v>
      </c>
    </row>
    <row r="358" spans="1:54" ht="12" hidden="1" customHeight="1" outlineLevel="4" x14ac:dyDescent="0.2">
      <c r="A358" s="60" t="s">
        <v>489</v>
      </c>
      <c r="B358" s="45"/>
      <c r="C358" s="45"/>
      <c r="D358" s="46">
        <v>10932.48</v>
      </c>
      <c r="E358" s="45"/>
      <c r="F358" s="45"/>
      <c r="G358" s="45"/>
      <c r="BB358" s="74" t="s">
        <v>179</v>
      </c>
    </row>
    <row r="359" spans="1:54" ht="23.25" hidden="1" customHeight="1" outlineLevel="4" x14ac:dyDescent="0.2">
      <c r="A359" s="60" t="s">
        <v>660</v>
      </c>
      <c r="B359" s="45"/>
      <c r="C359" s="45"/>
      <c r="D359" s="46">
        <v>4099.04</v>
      </c>
      <c r="E359" s="45"/>
      <c r="F359" s="45"/>
      <c r="G359" s="45"/>
      <c r="BB359" s="73" t="s">
        <v>142</v>
      </c>
    </row>
    <row r="360" spans="1:54" ht="23.25" hidden="1" customHeight="1" outlineLevel="4" x14ac:dyDescent="0.2">
      <c r="A360" s="60" t="s">
        <v>659</v>
      </c>
      <c r="B360" s="45"/>
      <c r="C360" s="45"/>
      <c r="D360" s="46">
        <v>2049.52</v>
      </c>
      <c r="E360" s="45"/>
      <c r="F360" s="45"/>
      <c r="G360" s="45"/>
      <c r="BB360" s="74" t="s">
        <v>152</v>
      </c>
    </row>
    <row r="361" spans="1:54" ht="23.25" hidden="1" customHeight="1" outlineLevel="4" x14ac:dyDescent="0.2">
      <c r="A361" s="60" t="s">
        <v>658</v>
      </c>
      <c r="B361" s="45"/>
      <c r="C361" s="45"/>
      <c r="D361" s="46">
        <v>2049.52</v>
      </c>
      <c r="E361" s="45"/>
      <c r="F361" s="45"/>
      <c r="G361" s="45"/>
      <c r="BB361" s="74" t="s">
        <v>152</v>
      </c>
    </row>
    <row r="362" spans="1:54" ht="23.25" hidden="1" customHeight="1" outlineLevel="4" x14ac:dyDescent="0.2">
      <c r="A362" s="60" t="s">
        <v>656</v>
      </c>
      <c r="B362" s="45"/>
      <c r="C362" s="45"/>
      <c r="D362" s="46">
        <v>4326.8999999999996</v>
      </c>
      <c r="E362" s="45"/>
      <c r="F362" s="45"/>
      <c r="G362" s="45"/>
      <c r="BB362" s="73" t="s">
        <v>155</v>
      </c>
    </row>
    <row r="363" spans="1:54" ht="23.25" hidden="1" customHeight="1" outlineLevel="4" x14ac:dyDescent="0.2">
      <c r="A363" s="60" t="s">
        <v>655</v>
      </c>
      <c r="B363" s="45"/>
      <c r="C363" s="45"/>
      <c r="D363" s="46">
        <v>4099.04</v>
      </c>
      <c r="E363" s="45"/>
      <c r="F363" s="45"/>
      <c r="G363" s="45"/>
      <c r="BB363" s="74" t="s">
        <v>156</v>
      </c>
    </row>
    <row r="364" spans="1:54" ht="23.25" hidden="1" customHeight="1" outlineLevel="4" x14ac:dyDescent="0.2">
      <c r="A364" s="60" t="s">
        <v>653</v>
      </c>
      <c r="B364" s="45"/>
      <c r="C364" s="45"/>
      <c r="D364" s="46">
        <v>6149.84</v>
      </c>
      <c r="E364" s="45"/>
      <c r="F364" s="45"/>
      <c r="G364" s="45"/>
      <c r="BB364" s="73" t="s">
        <v>159</v>
      </c>
    </row>
    <row r="365" spans="1:54" ht="23.25" hidden="1" customHeight="1" outlineLevel="4" x14ac:dyDescent="0.2">
      <c r="A365" s="60" t="s">
        <v>650</v>
      </c>
      <c r="B365" s="45"/>
      <c r="C365" s="45"/>
      <c r="D365" s="46">
        <v>4099.04</v>
      </c>
      <c r="E365" s="45"/>
      <c r="F365" s="45"/>
      <c r="G365" s="45"/>
      <c r="BB365" s="74" t="s">
        <v>144</v>
      </c>
    </row>
    <row r="366" spans="1:54" ht="23.25" hidden="1" customHeight="1" outlineLevel="4" x14ac:dyDescent="0.2">
      <c r="A366" s="60" t="s">
        <v>649</v>
      </c>
      <c r="B366" s="45"/>
      <c r="C366" s="45"/>
      <c r="D366" s="46">
        <v>6490.35</v>
      </c>
      <c r="E366" s="45"/>
      <c r="F366" s="45"/>
      <c r="G366" s="45"/>
      <c r="BB366" s="73" t="s">
        <v>146</v>
      </c>
    </row>
    <row r="367" spans="1:54" ht="23.25" hidden="1" customHeight="1" outlineLevel="4" x14ac:dyDescent="0.2">
      <c r="A367" s="60" t="s">
        <v>648</v>
      </c>
      <c r="B367" s="45"/>
      <c r="C367" s="45"/>
      <c r="D367" s="46">
        <v>4099.04</v>
      </c>
      <c r="E367" s="45"/>
      <c r="F367" s="45"/>
      <c r="G367" s="45"/>
      <c r="BB367" s="74" t="s">
        <v>147</v>
      </c>
    </row>
    <row r="368" spans="1:54" ht="23.25" hidden="1" customHeight="1" outlineLevel="4" x14ac:dyDescent="0.2">
      <c r="A368" s="60" t="s">
        <v>647</v>
      </c>
      <c r="B368" s="45"/>
      <c r="C368" s="45"/>
      <c r="D368" s="46">
        <v>10932.48</v>
      </c>
      <c r="E368" s="45"/>
      <c r="F368" s="45"/>
      <c r="G368" s="45"/>
      <c r="BB368" s="73" t="s">
        <v>149</v>
      </c>
    </row>
    <row r="369" spans="1:54" ht="23.25" hidden="1" customHeight="1" outlineLevel="4" x14ac:dyDescent="0.2">
      <c r="A369" s="60" t="s">
        <v>646</v>
      </c>
      <c r="B369" s="45"/>
      <c r="C369" s="45"/>
      <c r="D369" s="46">
        <v>4099.04</v>
      </c>
      <c r="E369" s="45"/>
      <c r="F369" s="45"/>
      <c r="G369" s="45"/>
      <c r="BB369" s="74" t="s">
        <v>150</v>
      </c>
    </row>
    <row r="370" spans="1:54" ht="23.25" hidden="1" customHeight="1" outlineLevel="4" x14ac:dyDescent="0.2">
      <c r="A370" s="60" t="s">
        <v>547</v>
      </c>
      <c r="B370" s="45"/>
      <c r="C370" s="45"/>
      <c r="D370" s="46">
        <v>47010.5</v>
      </c>
      <c r="E370" s="45"/>
      <c r="F370" s="45"/>
      <c r="G370" s="45"/>
      <c r="BB370" s="73" t="s">
        <v>101</v>
      </c>
    </row>
    <row r="371" spans="1:54" ht="23.25" hidden="1" customHeight="1" outlineLevel="4" x14ac:dyDescent="0.2">
      <c r="A371" s="60" t="s">
        <v>546</v>
      </c>
      <c r="B371" s="45"/>
      <c r="C371" s="45"/>
      <c r="D371" s="46">
        <v>47010.5</v>
      </c>
      <c r="E371" s="45"/>
      <c r="F371" s="45"/>
      <c r="G371" s="45"/>
      <c r="BB371" s="73" t="s">
        <v>103</v>
      </c>
    </row>
    <row r="372" spans="1:54" ht="23.25" hidden="1" customHeight="1" outlineLevel="4" x14ac:dyDescent="0.2">
      <c r="A372" s="60" t="s">
        <v>544</v>
      </c>
      <c r="B372" s="45"/>
      <c r="C372" s="45"/>
      <c r="D372" s="46">
        <v>47010.5</v>
      </c>
      <c r="E372" s="45"/>
      <c r="F372" s="45"/>
      <c r="G372" s="45"/>
      <c r="BB372" s="73" t="s">
        <v>104</v>
      </c>
    </row>
    <row r="373" spans="1:54" ht="23.25" hidden="1" customHeight="1" outlineLevel="4" x14ac:dyDescent="0.2">
      <c r="A373" s="60" t="s">
        <v>543</v>
      </c>
      <c r="B373" s="45"/>
      <c r="C373" s="45"/>
      <c r="D373" s="46">
        <v>47010.5</v>
      </c>
      <c r="E373" s="45"/>
      <c r="F373" s="45"/>
      <c r="G373" s="45"/>
      <c r="BB373" s="73" t="s">
        <v>104</v>
      </c>
    </row>
    <row r="374" spans="1:54" ht="23.25" hidden="1" customHeight="1" outlineLevel="4" x14ac:dyDescent="0.2">
      <c r="A374" s="60" t="s">
        <v>540</v>
      </c>
      <c r="B374" s="45"/>
      <c r="C374" s="45"/>
      <c r="D374" s="46">
        <v>5466.24</v>
      </c>
      <c r="E374" s="45"/>
      <c r="F374" s="45"/>
      <c r="G374" s="45"/>
      <c r="BB374" s="73" t="s">
        <v>109</v>
      </c>
    </row>
    <row r="375" spans="1:54" ht="12" hidden="1" customHeight="1" outlineLevel="4" x14ac:dyDescent="0.2">
      <c r="A375" s="60" t="s">
        <v>726</v>
      </c>
      <c r="B375" s="45"/>
      <c r="C375" s="45"/>
      <c r="D375" s="46">
        <v>12980.7</v>
      </c>
      <c r="E375" s="45"/>
      <c r="F375" s="45"/>
      <c r="G375" s="45"/>
      <c r="BB375" s="73" t="s">
        <v>118</v>
      </c>
    </row>
    <row r="376" spans="1:54" ht="12" hidden="1" customHeight="1" outlineLevel="4" x14ac:dyDescent="0.2">
      <c r="A376" s="60" t="s">
        <v>725</v>
      </c>
      <c r="B376" s="45"/>
      <c r="C376" s="45"/>
      <c r="D376" s="46">
        <v>5010.5</v>
      </c>
      <c r="E376" s="45"/>
      <c r="F376" s="45"/>
      <c r="G376" s="45"/>
      <c r="BB376" s="73" t="s">
        <v>119</v>
      </c>
    </row>
    <row r="377" spans="1:54" ht="12" hidden="1" customHeight="1" outlineLevel="4" x14ac:dyDescent="0.2">
      <c r="A377" s="60" t="s">
        <v>724</v>
      </c>
      <c r="B377" s="45"/>
      <c r="C377" s="45"/>
      <c r="D377" s="46">
        <v>6000</v>
      </c>
      <c r="E377" s="45"/>
      <c r="F377" s="45"/>
      <c r="G377" s="45"/>
      <c r="BB377" s="73" t="s">
        <v>120</v>
      </c>
    </row>
    <row r="378" spans="1:54" ht="12" hidden="1" customHeight="1" outlineLevel="4" x14ac:dyDescent="0.2">
      <c r="A378" s="60" t="s">
        <v>723</v>
      </c>
      <c r="B378" s="45"/>
      <c r="C378" s="45"/>
      <c r="D378" s="46">
        <v>10704.62</v>
      </c>
      <c r="E378" s="45"/>
      <c r="F378" s="45"/>
      <c r="G378" s="45"/>
      <c r="BB378" s="73" t="s">
        <v>121</v>
      </c>
    </row>
    <row r="379" spans="1:54" ht="12" hidden="1" customHeight="1" outlineLevel="4" x14ac:dyDescent="0.2">
      <c r="A379" s="60" t="s">
        <v>721</v>
      </c>
      <c r="B379" s="45"/>
      <c r="C379" s="45"/>
      <c r="D379" s="46">
        <v>12980.7</v>
      </c>
      <c r="E379" s="45"/>
      <c r="F379" s="45"/>
      <c r="G379" s="45"/>
      <c r="BB379" s="73" t="s">
        <v>116</v>
      </c>
    </row>
    <row r="380" spans="1:54" ht="12" hidden="1" customHeight="1" outlineLevel="4" x14ac:dyDescent="0.2">
      <c r="A380" s="60" t="s">
        <v>720</v>
      </c>
      <c r="B380" s="45"/>
      <c r="C380" s="45"/>
      <c r="D380" s="46">
        <v>12980.7</v>
      </c>
      <c r="E380" s="45"/>
      <c r="F380" s="45"/>
      <c r="G380" s="45"/>
      <c r="BB380" s="73" t="s">
        <v>117</v>
      </c>
    </row>
    <row r="381" spans="1:54" ht="12" hidden="1" customHeight="1" outlineLevel="4" x14ac:dyDescent="0.2">
      <c r="A381" s="60" t="s">
        <v>566</v>
      </c>
      <c r="B381" s="45"/>
      <c r="C381" s="45"/>
      <c r="D381" s="46">
        <v>16398.72</v>
      </c>
      <c r="E381" s="45"/>
      <c r="F381" s="45"/>
      <c r="G381" s="45"/>
      <c r="BB381" s="73" t="s">
        <v>133</v>
      </c>
    </row>
    <row r="382" spans="1:54" ht="12" hidden="1" customHeight="1" outlineLevel="4" x14ac:dyDescent="0.2">
      <c r="A382" s="60" t="s">
        <v>565</v>
      </c>
      <c r="B382" s="45"/>
      <c r="C382" s="45"/>
      <c r="D382" s="46">
        <v>4554.76</v>
      </c>
      <c r="E382" s="45"/>
      <c r="F382" s="45"/>
      <c r="G382" s="45"/>
      <c r="BB382" s="73" t="s">
        <v>134</v>
      </c>
    </row>
    <row r="383" spans="1:54" ht="12" hidden="1" customHeight="1" outlineLevel="4" x14ac:dyDescent="0.2">
      <c r="A383" s="60" t="s">
        <v>564</v>
      </c>
      <c r="B383" s="45"/>
      <c r="C383" s="45"/>
      <c r="D383" s="46">
        <v>2163.4499999999998</v>
      </c>
      <c r="E383" s="45"/>
      <c r="F383" s="45"/>
      <c r="G383" s="45"/>
      <c r="BB383" s="73" t="s">
        <v>131</v>
      </c>
    </row>
    <row r="384" spans="1:54" ht="12" hidden="1" customHeight="1" outlineLevel="4" x14ac:dyDescent="0.2">
      <c r="A384" s="60" t="s">
        <v>563</v>
      </c>
      <c r="B384" s="45"/>
      <c r="C384" s="45"/>
      <c r="D384" s="46">
        <v>6490.35</v>
      </c>
      <c r="E384" s="45"/>
      <c r="F384" s="45"/>
      <c r="G384" s="45"/>
      <c r="BB384" s="73" t="s">
        <v>132</v>
      </c>
    </row>
    <row r="385" spans="1:54" ht="12" hidden="1" customHeight="1" outlineLevel="4" x14ac:dyDescent="0.2">
      <c r="A385" s="60" t="s">
        <v>485</v>
      </c>
      <c r="B385" s="45"/>
      <c r="C385" s="45"/>
      <c r="D385" s="46">
        <v>6490.35</v>
      </c>
      <c r="E385" s="45"/>
      <c r="F385" s="45"/>
      <c r="G385" s="45"/>
      <c r="BB385" s="73" t="s">
        <v>181</v>
      </c>
    </row>
    <row r="386" spans="1:54" ht="12" hidden="1" customHeight="1" outlineLevel="4" x14ac:dyDescent="0.2">
      <c r="A386" s="60" t="s">
        <v>636</v>
      </c>
      <c r="B386" s="45"/>
      <c r="C386" s="45"/>
      <c r="D386" s="46">
        <v>4099.04</v>
      </c>
      <c r="E386" s="45"/>
      <c r="F386" s="45"/>
      <c r="G386" s="45"/>
      <c r="BB386" s="74" t="s">
        <v>194</v>
      </c>
    </row>
    <row r="387" spans="1:54" ht="12" hidden="1" customHeight="1" outlineLevel="4" x14ac:dyDescent="0.2">
      <c r="A387" s="60" t="s">
        <v>635</v>
      </c>
      <c r="B387" s="45"/>
      <c r="C387" s="45"/>
      <c r="D387" s="46">
        <v>4099.04</v>
      </c>
      <c r="E387" s="45"/>
      <c r="F387" s="45"/>
      <c r="G387" s="45"/>
      <c r="BB387" s="74" t="s">
        <v>196</v>
      </c>
    </row>
    <row r="388" spans="1:54" ht="12" hidden="1" customHeight="1" outlineLevel="4" x14ac:dyDescent="0.2">
      <c r="A388" s="60" t="s">
        <v>634</v>
      </c>
      <c r="B388" s="45"/>
      <c r="C388" s="45"/>
      <c r="D388" s="46">
        <v>8653.7999999999993</v>
      </c>
      <c r="E388" s="45"/>
      <c r="F388" s="45"/>
      <c r="G388" s="45"/>
      <c r="BB388" s="73" t="s">
        <v>198</v>
      </c>
    </row>
    <row r="389" spans="1:54" ht="12" hidden="1" customHeight="1" outlineLevel="4" x14ac:dyDescent="0.2">
      <c r="A389" s="60" t="s">
        <v>625</v>
      </c>
      <c r="B389" s="45"/>
      <c r="C389" s="45"/>
      <c r="D389" s="46">
        <v>5921.98</v>
      </c>
      <c r="E389" s="45"/>
      <c r="F389" s="45"/>
      <c r="G389" s="45"/>
      <c r="BB389" s="73" t="s">
        <v>206</v>
      </c>
    </row>
    <row r="390" spans="1:54" ht="12" hidden="1" customHeight="1" outlineLevel="4" x14ac:dyDescent="0.2">
      <c r="A390" s="60" t="s">
        <v>624</v>
      </c>
      <c r="B390" s="45"/>
      <c r="C390" s="45"/>
      <c r="D390" s="46">
        <v>26551.8</v>
      </c>
      <c r="E390" s="45"/>
      <c r="F390" s="45"/>
      <c r="G390" s="45"/>
      <c r="BB390" s="73" t="s">
        <v>183</v>
      </c>
    </row>
    <row r="391" spans="1:54" ht="12" hidden="1" customHeight="1" outlineLevel="4" x14ac:dyDescent="0.2">
      <c r="A391" s="60" t="s">
        <v>530</v>
      </c>
      <c r="B391" s="45"/>
      <c r="C391" s="45"/>
      <c r="D391" s="46">
        <v>2049.52</v>
      </c>
      <c r="E391" s="45"/>
      <c r="F391" s="45"/>
      <c r="G391" s="45"/>
      <c r="BB391" s="73" t="s">
        <v>135</v>
      </c>
    </row>
    <row r="392" spans="1:54" ht="12" hidden="1" customHeight="1" outlineLevel="4" x14ac:dyDescent="0.2">
      <c r="A392" s="60" t="s">
        <v>529</v>
      </c>
      <c r="B392" s="45"/>
      <c r="C392" s="45"/>
      <c r="D392" s="46">
        <v>5010.5</v>
      </c>
      <c r="E392" s="45"/>
      <c r="F392" s="45"/>
      <c r="G392" s="45"/>
      <c r="BB392" s="73" t="s">
        <v>136</v>
      </c>
    </row>
    <row r="393" spans="1:54" ht="12" hidden="1" customHeight="1" outlineLevel="4" x14ac:dyDescent="0.2">
      <c r="A393" s="60" t="s">
        <v>528</v>
      </c>
      <c r="B393" s="45"/>
      <c r="C393" s="45"/>
      <c r="D393" s="46">
        <v>8653.7999999999993</v>
      </c>
      <c r="E393" s="45"/>
      <c r="F393" s="45"/>
      <c r="G393" s="45"/>
      <c r="BB393" s="73" t="s">
        <v>137</v>
      </c>
    </row>
    <row r="394" spans="1:54" ht="12" hidden="1" customHeight="1" outlineLevel="4" x14ac:dyDescent="0.2">
      <c r="A394" s="60" t="s">
        <v>527</v>
      </c>
      <c r="B394" s="45"/>
      <c r="C394" s="45"/>
      <c r="D394" s="46">
        <v>47921.98</v>
      </c>
      <c r="E394" s="45"/>
      <c r="F394" s="45"/>
      <c r="G394" s="45"/>
      <c r="BB394" s="73" t="s">
        <v>138</v>
      </c>
    </row>
    <row r="395" spans="1:54" ht="12" hidden="1" customHeight="1" outlineLevel="4" x14ac:dyDescent="0.2">
      <c r="A395" s="60" t="s">
        <v>526</v>
      </c>
      <c r="B395" s="45"/>
      <c r="C395" s="45"/>
      <c r="D395" s="46">
        <v>5921.98</v>
      </c>
      <c r="E395" s="45"/>
      <c r="F395" s="45"/>
      <c r="G395" s="45"/>
      <c r="BB395" s="73" t="s">
        <v>139</v>
      </c>
    </row>
    <row r="396" spans="1:54" ht="12" hidden="1" customHeight="1" outlineLevel="4" x14ac:dyDescent="0.2">
      <c r="A396" s="60" t="s">
        <v>525</v>
      </c>
      <c r="B396" s="45"/>
      <c r="C396" s="45"/>
      <c r="D396" s="46">
        <v>5466.24</v>
      </c>
      <c r="E396" s="45"/>
      <c r="F396" s="45"/>
      <c r="G396" s="45"/>
      <c r="BB396" s="73" t="s">
        <v>140</v>
      </c>
    </row>
    <row r="397" spans="1:54" ht="12" hidden="1" customHeight="1" outlineLevel="4" x14ac:dyDescent="0.2">
      <c r="A397" s="60" t="s">
        <v>561</v>
      </c>
      <c r="B397" s="45"/>
      <c r="C397" s="45"/>
      <c r="D397" s="46">
        <v>10817.25</v>
      </c>
      <c r="E397" s="45"/>
      <c r="F397" s="45"/>
      <c r="G397" s="45"/>
      <c r="BB397" s="73" t="s">
        <v>97</v>
      </c>
    </row>
    <row r="398" spans="1:54" ht="12" hidden="1" customHeight="1" outlineLevel="4" x14ac:dyDescent="0.2">
      <c r="A398" s="60" t="s">
        <v>560</v>
      </c>
      <c r="B398" s="45"/>
      <c r="C398" s="45"/>
      <c r="D398" s="46">
        <v>9109.52</v>
      </c>
      <c r="E398" s="45"/>
      <c r="F398" s="45"/>
      <c r="G398" s="45"/>
      <c r="BB398" s="73" t="s">
        <v>100</v>
      </c>
    </row>
    <row r="399" spans="1:54" ht="12" hidden="1" customHeight="1" outlineLevel="4" x14ac:dyDescent="0.2">
      <c r="A399" s="60" t="s">
        <v>559</v>
      </c>
      <c r="B399" s="45"/>
      <c r="C399" s="45"/>
      <c r="D399" s="46">
        <v>4326.8999999999996</v>
      </c>
      <c r="E399" s="45"/>
      <c r="F399" s="45"/>
      <c r="G399" s="45"/>
      <c r="BB399" s="73" t="s">
        <v>99</v>
      </c>
    </row>
    <row r="400" spans="1:54" ht="23.25" hidden="1" customHeight="1" outlineLevel="4" x14ac:dyDescent="0.2">
      <c r="A400" s="60" t="s">
        <v>714</v>
      </c>
      <c r="B400" s="45"/>
      <c r="C400" s="45"/>
      <c r="D400" s="46">
        <v>7742.32</v>
      </c>
      <c r="E400" s="45"/>
      <c r="F400" s="45"/>
      <c r="G400" s="45"/>
      <c r="BB400" s="73" t="s">
        <v>242</v>
      </c>
    </row>
    <row r="401" spans="1:54" ht="23.25" hidden="1" customHeight="1" outlineLevel="4" x14ac:dyDescent="0.2">
      <c r="A401" s="60" t="s">
        <v>483</v>
      </c>
      <c r="B401" s="45"/>
      <c r="C401" s="45"/>
      <c r="D401" s="46">
        <v>5010.5</v>
      </c>
      <c r="E401" s="45"/>
      <c r="F401" s="45"/>
      <c r="G401" s="45"/>
      <c r="BB401" s="73" t="s">
        <v>249</v>
      </c>
    </row>
    <row r="402" spans="1:54" ht="23.25" hidden="1" customHeight="1" outlineLevel="4" x14ac:dyDescent="0.2">
      <c r="A402" s="60" t="s">
        <v>482</v>
      </c>
      <c r="B402" s="45"/>
      <c r="C402" s="45"/>
      <c r="D402" s="46">
        <v>6149.84</v>
      </c>
      <c r="E402" s="45"/>
      <c r="F402" s="45"/>
      <c r="G402" s="45"/>
      <c r="BB402" s="73" t="s">
        <v>250</v>
      </c>
    </row>
    <row r="403" spans="1:54" ht="23.25" hidden="1" customHeight="1" outlineLevel="4" x14ac:dyDescent="0.2">
      <c r="A403" s="60" t="s">
        <v>707</v>
      </c>
      <c r="B403" s="45"/>
      <c r="C403" s="45"/>
      <c r="D403" s="46">
        <v>5010.5</v>
      </c>
      <c r="E403" s="45"/>
      <c r="F403" s="45"/>
      <c r="G403" s="45"/>
      <c r="BB403" s="73" t="s">
        <v>251</v>
      </c>
    </row>
    <row r="404" spans="1:54" ht="23.25" hidden="1" customHeight="1" outlineLevel="4" x14ac:dyDescent="0.2">
      <c r="A404" s="60" t="s">
        <v>481</v>
      </c>
      <c r="B404" s="45"/>
      <c r="C404" s="45"/>
      <c r="D404" s="46">
        <v>19586.28</v>
      </c>
      <c r="E404" s="45"/>
      <c r="F404" s="45"/>
      <c r="G404" s="45"/>
      <c r="BB404" s="73" t="s">
        <v>252</v>
      </c>
    </row>
    <row r="405" spans="1:54" ht="23.25" hidden="1" customHeight="1" outlineLevel="4" x14ac:dyDescent="0.2">
      <c r="A405" s="60" t="s">
        <v>704</v>
      </c>
      <c r="B405" s="45"/>
      <c r="C405" s="45"/>
      <c r="D405" s="46">
        <v>6490.35</v>
      </c>
      <c r="E405" s="45"/>
      <c r="F405" s="45"/>
      <c r="G405" s="45"/>
      <c r="BB405" s="73" t="s">
        <v>212</v>
      </c>
    </row>
    <row r="406" spans="1:54" ht="23.25" hidden="1" customHeight="1" outlineLevel="4" x14ac:dyDescent="0.2">
      <c r="A406" s="60" t="s">
        <v>703</v>
      </c>
      <c r="B406" s="45"/>
      <c r="C406" s="45"/>
      <c r="D406" s="46">
        <v>5010.5</v>
      </c>
      <c r="E406" s="45"/>
      <c r="F406" s="45"/>
      <c r="G406" s="45"/>
      <c r="BB406" s="73" t="s">
        <v>213</v>
      </c>
    </row>
    <row r="407" spans="1:54" ht="23.25" hidden="1" customHeight="1" outlineLevel="4" x14ac:dyDescent="0.2">
      <c r="A407" s="60" t="s">
        <v>701</v>
      </c>
      <c r="B407" s="45"/>
      <c r="C407" s="45"/>
      <c r="D407" s="46">
        <v>5010.5</v>
      </c>
      <c r="E407" s="45"/>
      <c r="F407" s="45"/>
      <c r="G407" s="45"/>
      <c r="BB407" s="73" t="s">
        <v>215</v>
      </c>
    </row>
    <row r="408" spans="1:54" ht="23.25" hidden="1" customHeight="1" outlineLevel="4" x14ac:dyDescent="0.2">
      <c r="A408" s="60" t="s">
        <v>700</v>
      </c>
      <c r="B408" s="45"/>
      <c r="C408" s="45"/>
      <c r="D408" s="46">
        <v>10021</v>
      </c>
      <c r="E408" s="45"/>
      <c r="F408" s="45"/>
      <c r="G408" s="45"/>
      <c r="BB408" s="73" t="s">
        <v>217</v>
      </c>
    </row>
    <row r="409" spans="1:54" ht="23.25" hidden="1" customHeight="1" outlineLevel="4" x14ac:dyDescent="0.2">
      <c r="A409" s="60" t="s">
        <v>699</v>
      </c>
      <c r="B409" s="45"/>
      <c r="C409" s="45"/>
      <c r="D409" s="46">
        <v>10932.48</v>
      </c>
      <c r="E409" s="45"/>
      <c r="F409" s="45"/>
      <c r="G409" s="45"/>
      <c r="BB409" s="73" t="s">
        <v>218</v>
      </c>
    </row>
    <row r="410" spans="1:54" ht="23.25" hidden="1" customHeight="1" outlineLevel="4" x14ac:dyDescent="0.2">
      <c r="A410" s="60" t="s">
        <v>698</v>
      </c>
      <c r="B410" s="45"/>
      <c r="C410" s="45"/>
      <c r="D410" s="46">
        <v>19814.14</v>
      </c>
      <c r="E410" s="45"/>
      <c r="F410" s="45"/>
      <c r="G410" s="45"/>
      <c r="BB410" s="73" t="s">
        <v>219</v>
      </c>
    </row>
    <row r="411" spans="1:54" ht="23.25" hidden="1" customHeight="1" outlineLevel="4" x14ac:dyDescent="0.2">
      <c r="A411" s="60" t="s">
        <v>696</v>
      </c>
      <c r="B411" s="45"/>
      <c r="C411" s="45"/>
      <c r="D411" s="46">
        <v>2049.52</v>
      </c>
      <c r="E411" s="45"/>
      <c r="F411" s="45"/>
      <c r="G411" s="45"/>
      <c r="BB411" s="73" t="s">
        <v>221</v>
      </c>
    </row>
    <row r="412" spans="1:54" ht="23.25" hidden="1" customHeight="1" outlineLevel="4" x14ac:dyDescent="0.2">
      <c r="A412" s="60" t="s">
        <v>694</v>
      </c>
      <c r="B412" s="45"/>
      <c r="C412" s="45"/>
      <c r="D412" s="46">
        <v>2163.4499999999998</v>
      </c>
      <c r="E412" s="45"/>
      <c r="F412" s="45"/>
      <c r="G412" s="45"/>
      <c r="BB412" s="73" t="s">
        <v>223</v>
      </c>
    </row>
    <row r="413" spans="1:54" ht="23.25" hidden="1" customHeight="1" outlineLevel="4" x14ac:dyDescent="0.2">
      <c r="A413" s="60" t="s">
        <v>693</v>
      </c>
      <c r="B413" s="45"/>
      <c r="C413" s="45"/>
      <c r="D413" s="46">
        <v>8653.7999999999993</v>
      </c>
      <c r="E413" s="45"/>
      <c r="F413" s="45"/>
      <c r="G413" s="45"/>
      <c r="BB413" s="73" t="s">
        <v>224</v>
      </c>
    </row>
    <row r="414" spans="1:54" ht="23.25" hidden="1" customHeight="1" outlineLevel="4" x14ac:dyDescent="0.2">
      <c r="A414" s="60" t="s">
        <v>692</v>
      </c>
      <c r="B414" s="45"/>
      <c r="C414" s="45"/>
      <c r="D414" s="46">
        <v>4554.76</v>
      </c>
      <c r="E414" s="45"/>
      <c r="F414" s="45"/>
      <c r="G414" s="45"/>
      <c r="BB414" s="73" t="s">
        <v>225</v>
      </c>
    </row>
    <row r="415" spans="1:54" ht="23.25" hidden="1" customHeight="1" outlineLevel="4" x14ac:dyDescent="0.2">
      <c r="A415" s="60" t="s">
        <v>691</v>
      </c>
      <c r="B415" s="45"/>
      <c r="C415" s="45"/>
      <c r="D415" s="46">
        <v>8653.7999999999993</v>
      </c>
      <c r="E415" s="45"/>
      <c r="F415" s="45"/>
      <c r="G415" s="45"/>
      <c r="BB415" s="73" t="s">
        <v>226</v>
      </c>
    </row>
    <row r="416" spans="1:54" ht="23.25" hidden="1" customHeight="1" outlineLevel="4" x14ac:dyDescent="0.2">
      <c r="A416" s="60" t="s">
        <v>690</v>
      </c>
      <c r="B416" s="45"/>
      <c r="C416" s="45"/>
      <c r="D416" s="46">
        <v>8653.7999999999993</v>
      </c>
      <c r="E416" s="45"/>
      <c r="F416" s="45"/>
      <c r="G416" s="45"/>
      <c r="BB416" s="73" t="s">
        <v>227</v>
      </c>
    </row>
    <row r="417" spans="1:54" ht="23.25" hidden="1" customHeight="1" outlineLevel="4" x14ac:dyDescent="0.2">
      <c r="A417" s="60" t="s">
        <v>689</v>
      </c>
      <c r="B417" s="45"/>
      <c r="C417" s="45"/>
      <c r="D417" s="46">
        <v>4326.8999999999996</v>
      </c>
      <c r="E417" s="45"/>
      <c r="F417" s="45"/>
      <c r="G417" s="45"/>
      <c r="BB417" s="73" t="s">
        <v>228</v>
      </c>
    </row>
    <row r="418" spans="1:54" ht="12" hidden="1" customHeight="1" outlineLevel="4" x14ac:dyDescent="0.2">
      <c r="A418" s="60" t="s">
        <v>615</v>
      </c>
      <c r="B418" s="45"/>
      <c r="C418" s="45"/>
      <c r="D418" s="46">
        <v>5010.5</v>
      </c>
      <c r="E418" s="45"/>
      <c r="F418" s="45"/>
      <c r="G418" s="45"/>
      <c r="BB418" s="73" t="s">
        <v>255</v>
      </c>
    </row>
    <row r="419" spans="1:54" ht="12" hidden="1" customHeight="1" outlineLevel="4" x14ac:dyDescent="0.2">
      <c r="A419" s="60" t="s">
        <v>614</v>
      </c>
      <c r="B419" s="45"/>
      <c r="C419" s="45"/>
      <c r="D419" s="46">
        <v>5010.5</v>
      </c>
      <c r="E419" s="45"/>
      <c r="F419" s="45"/>
      <c r="G419" s="45"/>
      <c r="BB419" s="73" t="s">
        <v>256</v>
      </c>
    </row>
    <row r="420" spans="1:54" ht="23.25" hidden="1" customHeight="1" outlineLevel="4" x14ac:dyDescent="0.2">
      <c r="A420" s="60" t="s">
        <v>558</v>
      </c>
      <c r="B420" s="45"/>
      <c r="C420" s="45"/>
      <c r="D420" s="46">
        <v>19359.7</v>
      </c>
      <c r="E420" s="45"/>
      <c r="F420" s="45"/>
      <c r="G420" s="45"/>
      <c r="BB420" s="73" t="s">
        <v>257</v>
      </c>
    </row>
    <row r="421" spans="1:54" ht="23.25" hidden="1" customHeight="1" outlineLevel="4" x14ac:dyDescent="0.2">
      <c r="A421" s="60" t="s">
        <v>557</v>
      </c>
      <c r="B421" s="45"/>
      <c r="C421" s="45"/>
      <c r="D421" s="46">
        <v>5010.5</v>
      </c>
      <c r="E421" s="45"/>
      <c r="F421" s="45"/>
      <c r="G421" s="45"/>
      <c r="BB421" s="73" t="s">
        <v>258</v>
      </c>
    </row>
    <row r="422" spans="1:54" ht="23.25" hidden="1" customHeight="1" outlineLevel="4" x14ac:dyDescent="0.2">
      <c r="A422" s="60" t="s">
        <v>556</v>
      </c>
      <c r="B422" s="45"/>
      <c r="C422" s="45"/>
      <c r="D422" s="46">
        <v>5010.5</v>
      </c>
      <c r="E422" s="45"/>
      <c r="F422" s="45"/>
      <c r="G422" s="45"/>
      <c r="BB422" s="73" t="s">
        <v>259</v>
      </c>
    </row>
    <row r="423" spans="1:54" ht="23.25" hidden="1" customHeight="1" outlineLevel="4" x14ac:dyDescent="0.2">
      <c r="A423" s="60" t="s">
        <v>555</v>
      </c>
      <c r="B423" s="45"/>
      <c r="C423" s="45"/>
      <c r="D423" s="46">
        <v>5010.5</v>
      </c>
      <c r="E423" s="45"/>
      <c r="F423" s="45"/>
      <c r="G423" s="45"/>
      <c r="BB423" s="73" t="s">
        <v>260</v>
      </c>
    </row>
    <row r="424" spans="1:54" ht="23.25" hidden="1" customHeight="1" outlineLevel="4" x14ac:dyDescent="0.2">
      <c r="A424" s="60" t="s">
        <v>554</v>
      </c>
      <c r="B424" s="45"/>
      <c r="C424" s="45"/>
      <c r="D424" s="46">
        <v>5010.5</v>
      </c>
      <c r="E424" s="45"/>
      <c r="F424" s="45"/>
      <c r="G424" s="45"/>
      <c r="BB424" s="73" t="s">
        <v>260</v>
      </c>
    </row>
    <row r="425" spans="1:54" ht="23.25" hidden="1" customHeight="1" outlineLevel="4" x14ac:dyDescent="0.2">
      <c r="A425" s="60" t="s">
        <v>553</v>
      </c>
      <c r="B425" s="45"/>
      <c r="C425" s="45"/>
      <c r="D425" s="46">
        <v>5010.5</v>
      </c>
      <c r="E425" s="45"/>
      <c r="F425" s="45"/>
      <c r="G425" s="45"/>
      <c r="BB425" s="73" t="s">
        <v>261</v>
      </c>
    </row>
    <row r="426" spans="1:54" ht="23.25" hidden="1" customHeight="1" outlineLevel="4" x14ac:dyDescent="0.2">
      <c r="A426" s="60" t="s">
        <v>552</v>
      </c>
      <c r="B426" s="45"/>
      <c r="C426" s="45"/>
      <c r="D426" s="46">
        <v>5010.5</v>
      </c>
      <c r="E426" s="45"/>
      <c r="F426" s="45"/>
      <c r="G426" s="45"/>
      <c r="BB426" s="73" t="s">
        <v>261</v>
      </c>
    </row>
    <row r="427" spans="1:54" ht="12" hidden="1" customHeight="1" outlineLevel="4" x14ac:dyDescent="0.2">
      <c r="A427" s="60" t="s">
        <v>586</v>
      </c>
      <c r="B427" s="45"/>
      <c r="C427" s="45"/>
      <c r="D427" s="46">
        <v>32801.31</v>
      </c>
      <c r="E427" s="45"/>
      <c r="F427" s="45"/>
      <c r="G427" s="45"/>
      <c r="BB427" s="73" t="s">
        <v>262</v>
      </c>
    </row>
    <row r="428" spans="1:54" ht="12" hidden="1" customHeight="1" outlineLevel="4" x14ac:dyDescent="0.2">
      <c r="A428" s="60" t="s">
        <v>613</v>
      </c>
      <c r="B428" s="45"/>
      <c r="C428" s="45"/>
      <c r="D428" s="46">
        <v>39066.39</v>
      </c>
      <c r="E428" s="45"/>
      <c r="F428" s="45"/>
      <c r="G428" s="45"/>
      <c r="BB428" s="73" t="s">
        <v>263</v>
      </c>
    </row>
    <row r="429" spans="1:54" ht="12" hidden="1" customHeight="1" outlineLevel="4" x14ac:dyDescent="0.2">
      <c r="A429" s="60" t="s">
        <v>612</v>
      </c>
      <c r="B429" s="45"/>
      <c r="C429" s="45"/>
      <c r="D429" s="46">
        <v>5010.5</v>
      </c>
      <c r="E429" s="45"/>
      <c r="F429" s="45"/>
      <c r="G429" s="45"/>
      <c r="BB429" s="73" t="s">
        <v>264</v>
      </c>
    </row>
    <row r="430" spans="1:54" ht="12" hidden="1" customHeight="1" outlineLevel="4" x14ac:dyDescent="0.2">
      <c r="A430" s="60" t="s">
        <v>610</v>
      </c>
      <c r="B430" s="45"/>
      <c r="C430" s="45"/>
      <c r="D430" s="46">
        <v>5010.5</v>
      </c>
      <c r="E430" s="45"/>
      <c r="F430" s="45"/>
      <c r="G430" s="45"/>
      <c r="BB430" s="73" t="s">
        <v>265</v>
      </c>
    </row>
    <row r="431" spans="1:54" ht="12" hidden="1" customHeight="1" outlineLevel="4" x14ac:dyDescent="0.2">
      <c r="A431" s="60" t="s">
        <v>609</v>
      </c>
      <c r="B431" s="45"/>
      <c r="C431" s="45"/>
      <c r="D431" s="46">
        <v>2960.99</v>
      </c>
      <c r="E431" s="45"/>
      <c r="F431" s="45"/>
      <c r="G431" s="45"/>
      <c r="BB431" s="73" t="s">
        <v>266</v>
      </c>
    </row>
    <row r="432" spans="1:54" ht="12" hidden="1" customHeight="1" outlineLevel="4" x14ac:dyDescent="0.2">
      <c r="A432" s="60" t="s">
        <v>608</v>
      </c>
      <c r="B432" s="45"/>
      <c r="C432" s="45"/>
      <c r="D432" s="46">
        <v>5466.24</v>
      </c>
      <c r="E432" s="45"/>
      <c r="F432" s="45"/>
      <c r="G432" s="45"/>
      <c r="BB432" s="73" t="s">
        <v>270</v>
      </c>
    </row>
    <row r="433" spans="1:54" ht="12" hidden="1" customHeight="1" outlineLevel="4" x14ac:dyDescent="0.2">
      <c r="A433" s="60" t="s">
        <v>607</v>
      </c>
      <c r="B433" s="45"/>
      <c r="C433" s="45"/>
      <c r="D433" s="46">
        <v>5466.24</v>
      </c>
      <c r="E433" s="45"/>
      <c r="F433" s="45"/>
      <c r="G433" s="45"/>
      <c r="BB433" s="73" t="s">
        <v>271</v>
      </c>
    </row>
    <row r="434" spans="1:54" ht="12" hidden="1" customHeight="1" outlineLevel="4" x14ac:dyDescent="0.2">
      <c r="A434" s="60" t="s">
        <v>606</v>
      </c>
      <c r="B434" s="45"/>
      <c r="C434" s="45"/>
      <c r="D434" s="46">
        <v>5466.24</v>
      </c>
      <c r="E434" s="45"/>
      <c r="F434" s="45"/>
      <c r="G434" s="45"/>
      <c r="BB434" s="73" t="s">
        <v>272</v>
      </c>
    </row>
    <row r="435" spans="1:54" ht="12" hidden="1" customHeight="1" outlineLevel="4" x14ac:dyDescent="0.2">
      <c r="A435" s="60" t="s">
        <v>605</v>
      </c>
      <c r="B435" s="45"/>
      <c r="C435" s="45"/>
      <c r="D435" s="46">
        <v>5466.24</v>
      </c>
      <c r="E435" s="45"/>
      <c r="F435" s="45"/>
      <c r="G435" s="45"/>
      <c r="BB435" s="73" t="s">
        <v>273</v>
      </c>
    </row>
    <row r="436" spans="1:54" ht="12" hidden="1" customHeight="1" outlineLevel="4" x14ac:dyDescent="0.2">
      <c r="A436" s="60" t="s">
        <v>604</v>
      </c>
      <c r="B436" s="45"/>
      <c r="C436" s="45"/>
      <c r="D436" s="46">
        <v>5466.24</v>
      </c>
      <c r="E436" s="45"/>
      <c r="F436" s="45"/>
      <c r="G436" s="45"/>
      <c r="BB436" s="73" t="s">
        <v>274</v>
      </c>
    </row>
    <row r="437" spans="1:54" ht="12" hidden="1" customHeight="1" outlineLevel="4" x14ac:dyDescent="0.2">
      <c r="A437" s="60" t="s">
        <v>603</v>
      </c>
      <c r="B437" s="45"/>
      <c r="C437" s="45"/>
      <c r="D437" s="46">
        <v>5466.24</v>
      </c>
      <c r="E437" s="45"/>
      <c r="F437" s="45"/>
      <c r="G437" s="45"/>
      <c r="BB437" s="73" t="s">
        <v>275</v>
      </c>
    </row>
    <row r="438" spans="1:54" ht="12" hidden="1" customHeight="1" outlineLevel="4" x14ac:dyDescent="0.2">
      <c r="A438" s="60" t="s">
        <v>602</v>
      </c>
      <c r="B438" s="45"/>
      <c r="C438" s="45"/>
      <c r="D438" s="46">
        <v>5466.24</v>
      </c>
      <c r="E438" s="45"/>
      <c r="F438" s="45"/>
      <c r="G438" s="45"/>
      <c r="BB438" s="73" t="s">
        <v>276</v>
      </c>
    </row>
    <row r="439" spans="1:54" ht="12" hidden="1" customHeight="1" outlineLevel="4" x14ac:dyDescent="0.2">
      <c r="A439" s="60" t="s">
        <v>601</v>
      </c>
      <c r="B439" s="45"/>
      <c r="C439" s="45"/>
      <c r="D439" s="46">
        <v>5466.24</v>
      </c>
      <c r="E439" s="45"/>
      <c r="F439" s="45"/>
      <c r="G439" s="45"/>
      <c r="BB439" s="73" t="s">
        <v>277</v>
      </c>
    </row>
    <row r="440" spans="1:54" ht="12" hidden="1" customHeight="1" outlineLevel="4" x14ac:dyDescent="0.2">
      <c r="A440" s="60" t="s">
        <v>600</v>
      </c>
      <c r="B440" s="45"/>
      <c r="C440" s="45"/>
      <c r="D440" s="46">
        <v>25739.99</v>
      </c>
      <c r="E440" s="45"/>
      <c r="F440" s="45"/>
      <c r="G440" s="45"/>
      <c r="BB440" s="73" t="s">
        <v>278</v>
      </c>
    </row>
    <row r="441" spans="1:54" ht="12" hidden="1" customHeight="1" outlineLevel="4" x14ac:dyDescent="0.2">
      <c r="A441" s="60" t="s">
        <v>599</v>
      </c>
      <c r="B441" s="45"/>
      <c r="C441" s="45"/>
      <c r="D441" s="46">
        <v>5466.24</v>
      </c>
      <c r="E441" s="45"/>
      <c r="F441" s="45"/>
      <c r="G441" s="45"/>
      <c r="BB441" s="73" t="s">
        <v>267</v>
      </c>
    </row>
    <row r="442" spans="1:54" ht="12" hidden="1" customHeight="1" outlineLevel="4" x14ac:dyDescent="0.2">
      <c r="A442" s="60" t="s">
        <v>590</v>
      </c>
      <c r="B442" s="45"/>
      <c r="C442" s="45"/>
      <c r="D442" s="46">
        <v>4099.04</v>
      </c>
      <c r="E442" s="45"/>
      <c r="F442" s="45"/>
      <c r="G442" s="45"/>
      <c r="BB442" s="74" t="s">
        <v>286</v>
      </c>
    </row>
    <row r="443" spans="1:54" ht="12" hidden="1" customHeight="1" outlineLevel="4" x14ac:dyDescent="0.2">
      <c r="A443" s="60" t="s">
        <v>588</v>
      </c>
      <c r="B443" s="45"/>
      <c r="C443" s="45"/>
      <c r="D443" s="46">
        <v>5466.24</v>
      </c>
      <c r="E443" s="45"/>
      <c r="F443" s="45"/>
      <c r="G443" s="45"/>
      <c r="BB443" s="73" t="s">
        <v>269</v>
      </c>
    </row>
    <row r="444" spans="1:54" ht="12" hidden="1" customHeight="1" outlineLevel="4" x14ac:dyDescent="0.2">
      <c r="A444" s="60" t="s">
        <v>680</v>
      </c>
      <c r="B444" s="45"/>
      <c r="C444" s="45"/>
      <c r="D444" s="46">
        <v>11843.96</v>
      </c>
      <c r="E444" s="45"/>
      <c r="F444" s="45"/>
      <c r="G444" s="45"/>
      <c r="BB444" s="73" t="s">
        <v>289</v>
      </c>
    </row>
    <row r="445" spans="1:54" ht="12" hidden="1" customHeight="1" outlineLevel="4" x14ac:dyDescent="0.2">
      <c r="A445" s="60" t="s">
        <v>514</v>
      </c>
      <c r="B445" s="45"/>
      <c r="C445" s="45"/>
      <c r="D445" s="46">
        <v>47010.5</v>
      </c>
      <c r="E445" s="45"/>
      <c r="F445" s="45"/>
      <c r="G445" s="45"/>
      <c r="BB445" s="73" t="s">
        <v>300</v>
      </c>
    </row>
    <row r="446" spans="1:54" ht="12" hidden="1" customHeight="1" outlineLevel="4" x14ac:dyDescent="0.2">
      <c r="A446" s="60" t="s">
        <v>513</v>
      </c>
      <c r="B446" s="45"/>
      <c r="C446" s="45"/>
      <c r="D446" s="46">
        <v>84000</v>
      </c>
      <c r="E446" s="45"/>
      <c r="F446" s="45"/>
      <c r="G446" s="45"/>
      <c r="BB446" s="73" t="s">
        <v>301</v>
      </c>
    </row>
    <row r="447" spans="1:54" ht="12" hidden="1" customHeight="1" outlineLevel="4" x14ac:dyDescent="0.2">
      <c r="A447" s="60" t="s">
        <v>512</v>
      </c>
      <c r="B447" s="45"/>
      <c r="C447" s="45"/>
      <c r="D447" s="46">
        <v>94021</v>
      </c>
      <c r="E447" s="45"/>
      <c r="F447" s="45"/>
      <c r="G447" s="45"/>
      <c r="BB447" s="73" t="s">
        <v>303</v>
      </c>
    </row>
    <row r="448" spans="1:54" ht="12" hidden="1" customHeight="1" outlineLevel="4" x14ac:dyDescent="0.2">
      <c r="A448" s="60" t="s">
        <v>511</v>
      </c>
      <c r="B448" s="45"/>
      <c r="C448" s="45"/>
      <c r="D448" s="46">
        <v>141031.5</v>
      </c>
      <c r="E448" s="45"/>
      <c r="F448" s="45"/>
      <c r="G448" s="45"/>
      <c r="BB448" s="73" t="s">
        <v>304</v>
      </c>
    </row>
    <row r="449" spans="1:54" ht="12" hidden="1" customHeight="1" outlineLevel="4" x14ac:dyDescent="0.2">
      <c r="A449" s="60" t="s">
        <v>509</v>
      </c>
      <c r="B449" s="45"/>
      <c r="C449" s="45"/>
      <c r="D449" s="46">
        <v>5921.98</v>
      </c>
      <c r="E449" s="45"/>
      <c r="F449" s="45"/>
      <c r="G449" s="45"/>
      <c r="BB449" s="73" t="s">
        <v>306</v>
      </c>
    </row>
    <row r="450" spans="1:54" ht="12" hidden="1" customHeight="1" outlineLevel="4" x14ac:dyDescent="0.2">
      <c r="A450" s="60" t="s">
        <v>507</v>
      </c>
      <c r="B450" s="45"/>
      <c r="C450" s="45"/>
      <c r="D450" s="46">
        <v>47921.98</v>
      </c>
      <c r="E450" s="45"/>
      <c r="F450" s="45"/>
      <c r="G450" s="45"/>
      <c r="BB450" s="73" t="s">
        <v>307</v>
      </c>
    </row>
    <row r="451" spans="1:54" ht="12" hidden="1" customHeight="1" outlineLevel="4" x14ac:dyDescent="0.2">
      <c r="A451" s="60" t="s">
        <v>506</v>
      </c>
      <c r="B451" s="45"/>
      <c r="C451" s="45"/>
      <c r="D451" s="46">
        <v>192599.36</v>
      </c>
      <c r="E451" s="45"/>
      <c r="F451" s="45"/>
      <c r="G451" s="45"/>
      <c r="BB451" s="73" t="s">
        <v>302</v>
      </c>
    </row>
    <row r="452" spans="1:54" ht="12" hidden="1" customHeight="1" outlineLevel="4" x14ac:dyDescent="0.2">
      <c r="A452" s="60" t="s">
        <v>551</v>
      </c>
      <c r="B452" s="45"/>
      <c r="C452" s="45"/>
      <c r="D452" s="46">
        <v>5010.5</v>
      </c>
      <c r="E452" s="45"/>
      <c r="F452" s="45"/>
      <c r="G452" s="45"/>
      <c r="BB452" s="73" t="s">
        <v>308</v>
      </c>
    </row>
    <row r="453" spans="1:54" ht="12" hidden="1" customHeight="1" outlineLevel="4" x14ac:dyDescent="0.2">
      <c r="A453" s="60" t="s">
        <v>576</v>
      </c>
      <c r="B453" s="45"/>
      <c r="C453" s="45"/>
      <c r="D453" s="46">
        <v>2163.4499999999998</v>
      </c>
      <c r="E453" s="45"/>
      <c r="F453" s="45"/>
      <c r="G453" s="45"/>
      <c r="BB453" s="73" t="s">
        <v>315</v>
      </c>
    </row>
    <row r="454" spans="1:54" ht="12" hidden="1" customHeight="1" outlineLevel="4" x14ac:dyDescent="0.2">
      <c r="A454" s="60" t="s">
        <v>573</v>
      </c>
      <c r="B454" s="45"/>
      <c r="C454" s="45"/>
      <c r="D454" s="46">
        <v>4554.76</v>
      </c>
      <c r="E454" s="45"/>
      <c r="F454" s="45"/>
      <c r="G454" s="45"/>
      <c r="BB454" s="73" t="s">
        <v>324</v>
      </c>
    </row>
    <row r="455" spans="1:54" ht="12" hidden="1" customHeight="1" outlineLevel="4" x14ac:dyDescent="0.2">
      <c r="A455" s="60" t="s">
        <v>780</v>
      </c>
      <c r="B455" s="45"/>
      <c r="C455" s="45"/>
      <c r="D455" s="46">
        <v>412109.7</v>
      </c>
      <c r="E455" s="45"/>
      <c r="F455" s="45"/>
      <c r="G455" s="45"/>
      <c r="BB455" s="74" t="s">
        <v>859</v>
      </c>
    </row>
    <row r="456" spans="1:54" ht="23.25" hidden="1" customHeight="1" outlineLevel="3" x14ac:dyDescent="0.2">
      <c r="A456" s="77" t="s">
        <v>779</v>
      </c>
      <c r="B456" s="45"/>
      <c r="C456" s="45"/>
      <c r="D456" s="46">
        <v>66000</v>
      </c>
      <c r="E456" s="45"/>
      <c r="F456" s="45"/>
      <c r="G456" s="45"/>
    </row>
    <row r="457" spans="1:54" ht="23.25" hidden="1" customHeight="1" outlineLevel="4" x14ac:dyDescent="0.2">
      <c r="A457" s="60" t="s">
        <v>544</v>
      </c>
      <c r="B457" s="45"/>
      <c r="C457" s="45"/>
      <c r="D457" s="46">
        <v>53000</v>
      </c>
      <c r="E457" s="45"/>
      <c r="F457" s="45"/>
      <c r="G457" s="45"/>
      <c r="AI457" s="73" t="s">
        <v>104</v>
      </c>
      <c r="AR457" s="76"/>
    </row>
    <row r="458" spans="1:54" ht="23.25" hidden="1" customHeight="1" outlineLevel="4" x14ac:dyDescent="0.2">
      <c r="A458" s="60" t="s">
        <v>543</v>
      </c>
      <c r="B458" s="45"/>
      <c r="C458" s="45"/>
      <c r="D458" s="46">
        <v>13000</v>
      </c>
      <c r="E458" s="45"/>
      <c r="F458" s="45"/>
      <c r="G458" s="45"/>
      <c r="AI458" s="73" t="s">
        <v>104</v>
      </c>
      <c r="AR458" s="76"/>
    </row>
    <row r="459" spans="1:54" ht="23.25" hidden="1" customHeight="1" outlineLevel="3" x14ac:dyDescent="0.2">
      <c r="A459" s="80" t="s">
        <v>355</v>
      </c>
      <c r="B459" s="45"/>
      <c r="C459" s="45"/>
      <c r="D459" s="46">
        <v>8036175.2300000004</v>
      </c>
      <c r="E459" s="45"/>
      <c r="F459" s="45"/>
      <c r="G459" s="45"/>
      <c r="AI459" s="76"/>
      <c r="AR459" s="76"/>
    </row>
    <row r="460" spans="1:54" ht="12" hidden="1" customHeight="1" outlineLevel="4" x14ac:dyDescent="0.2">
      <c r="A460" s="60" t="s">
        <v>749</v>
      </c>
      <c r="B460" s="45"/>
      <c r="C460" s="45"/>
      <c r="D460" s="46">
        <v>9917.36</v>
      </c>
      <c r="E460" s="45"/>
      <c r="F460" s="45"/>
      <c r="G460" s="45"/>
      <c r="AI460" s="76"/>
      <c r="AR460" s="73" t="s">
        <v>86</v>
      </c>
    </row>
    <row r="461" spans="1:54" ht="12" hidden="1" customHeight="1" outlineLevel="4" x14ac:dyDescent="0.2">
      <c r="A461" s="60" t="s">
        <v>748</v>
      </c>
      <c r="B461" s="45"/>
      <c r="C461" s="45"/>
      <c r="D461" s="46">
        <v>6889.08</v>
      </c>
      <c r="E461" s="45"/>
      <c r="F461" s="45"/>
      <c r="G461" s="45"/>
      <c r="AI461" s="76"/>
      <c r="AR461" s="73" t="s">
        <v>88</v>
      </c>
    </row>
    <row r="462" spans="1:54" ht="12" hidden="1" customHeight="1" outlineLevel="4" x14ac:dyDescent="0.2">
      <c r="A462" s="60" t="s">
        <v>747</v>
      </c>
      <c r="B462" s="45"/>
      <c r="C462" s="45"/>
      <c r="D462" s="46">
        <v>21238.7</v>
      </c>
      <c r="E462" s="45"/>
      <c r="F462" s="45"/>
      <c r="G462" s="45"/>
      <c r="AI462" s="76"/>
      <c r="AR462" s="73" t="s">
        <v>89</v>
      </c>
    </row>
    <row r="463" spans="1:54" ht="12" hidden="1" customHeight="1" outlineLevel="4" x14ac:dyDescent="0.2">
      <c r="A463" s="60" t="s">
        <v>493</v>
      </c>
      <c r="B463" s="45"/>
      <c r="C463" s="45"/>
      <c r="D463" s="46">
        <v>60670.31</v>
      </c>
      <c r="E463" s="45"/>
      <c r="F463" s="45"/>
      <c r="G463" s="45"/>
      <c r="AI463" s="76"/>
      <c r="AR463" s="73" t="s">
        <v>90</v>
      </c>
    </row>
    <row r="464" spans="1:54" ht="12" hidden="1" customHeight="1" outlineLevel="4" x14ac:dyDescent="0.2">
      <c r="A464" s="60" t="s">
        <v>746</v>
      </c>
      <c r="B464" s="45"/>
      <c r="C464" s="45"/>
      <c r="D464" s="46">
        <v>33675.519999999997</v>
      </c>
      <c r="E464" s="45"/>
      <c r="F464" s="45"/>
      <c r="G464" s="45"/>
      <c r="AI464" s="76"/>
      <c r="AR464" s="73" t="s">
        <v>91</v>
      </c>
    </row>
    <row r="465" spans="1:44" ht="12" hidden="1" customHeight="1" outlineLevel="4" x14ac:dyDescent="0.2">
      <c r="A465" s="60" t="s">
        <v>745</v>
      </c>
      <c r="B465" s="45"/>
      <c r="C465" s="45"/>
      <c r="D465" s="46">
        <v>10942.34</v>
      </c>
      <c r="E465" s="45"/>
      <c r="F465" s="45"/>
      <c r="G465" s="45"/>
      <c r="AI465" s="76"/>
      <c r="AR465" s="73" t="s">
        <v>92</v>
      </c>
    </row>
    <row r="466" spans="1:44" ht="12" hidden="1" customHeight="1" outlineLevel="4" x14ac:dyDescent="0.2">
      <c r="A466" s="60" t="s">
        <v>744</v>
      </c>
      <c r="B466" s="45"/>
      <c r="C466" s="45"/>
      <c r="D466" s="46">
        <v>9893.2900000000009</v>
      </c>
      <c r="E466" s="45"/>
      <c r="F466" s="45"/>
      <c r="G466" s="45"/>
      <c r="AI466" s="76"/>
      <c r="AR466" s="73" t="s">
        <v>93</v>
      </c>
    </row>
    <row r="467" spans="1:44" ht="12" hidden="1" customHeight="1" outlineLevel="4" x14ac:dyDescent="0.2">
      <c r="A467" s="60" t="s">
        <v>580</v>
      </c>
      <c r="B467" s="45"/>
      <c r="C467" s="45"/>
      <c r="D467" s="46">
        <v>18103.259999999998</v>
      </c>
      <c r="E467" s="45"/>
      <c r="F467" s="45"/>
      <c r="G467" s="45"/>
      <c r="AI467" s="76"/>
      <c r="AR467" s="73" t="s">
        <v>327</v>
      </c>
    </row>
    <row r="468" spans="1:44" ht="12" hidden="1" customHeight="1" outlineLevel="4" x14ac:dyDescent="0.2">
      <c r="A468" s="60" t="s">
        <v>578</v>
      </c>
      <c r="B468" s="45"/>
      <c r="C468" s="45"/>
      <c r="D468" s="46">
        <v>30023.52</v>
      </c>
      <c r="E468" s="45"/>
      <c r="F468" s="45"/>
      <c r="G468" s="45"/>
      <c r="AI468" s="76"/>
      <c r="AR468" s="73" t="s">
        <v>309</v>
      </c>
    </row>
    <row r="469" spans="1:44" ht="12" hidden="1" customHeight="1" outlineLevel="4" x14ac:dyDescent="0.2">
      <c r="A469" s="60" t="s">
        <v>577</v>
      </c>
      <c r="B469" s="45"/>
      <c r="C469" s="45"/>
      <c r="D469" s="46">
        <v>44910.2</v>
      </c>
      <c r="E469" s="45"/>
      <c r="F469" s="45"/>
      <c r="G469" s="45"/>
      <c r="AI469" s="76"/>
      <c r="AR469" s="73" t="s">
        <v>314</v>
      </c>
    </row>
    <row r="470" spans="1:44" ht="12" hidden="1" customHeight="1" outlineLevel="4" x14ac:dyDescent="0.2">
      <c r="A470" s="60" t="s">
        <v>495</v>
      </c>
      <c r="B470" s="45"/>
      <c r="C470" s="45"/>
      <c r="D470" s="46">
        <v>502266.66</v>
      </c>
      <c r="E470" s="45"/>
      <c r="F470" s="45"/>
      <c r="G470" s="45"/>
      <c r="AI470" s="76"/>
      <c r="AR470" s="81" t="s">
        <v>355</v>
      </c>
    </row>
    <row r="471" spans="1:44" ht="12" hidden="1" customHeight="1" outlineLevel="4" x14ac:dyDescent="0.2">
      <c r="A471" s="60" t="s">
        <v>742</v>
      </c>
      <c r="B471" s="45"/>
      <c r="C471" s="45"/>
      <c r="D471" s="46">
        <v>23965.22</v>
      </c>
      <c r="E471" s="45"/>
      <c r="F471" s="45"/>
      <c r="G471" s="45"/>
      <c r="AI471" s="76"/>
      <c r="AR471" s="73" t="s">
        <v>70</v>
      </c>
    </row>
    <row r="472" spans="1:44" ht="12" hidden="1" customHeight="1" outlineLevel="4" x14ac:dyDescent="0.2">
      <c r="A472" s="60" t="s">
        <v>741</v>
      </c>
      <c r="B472" s="45"/>
      <c r="C472" s="45"/>
      <c r="D472" s="46">
        <v>5779.07</v>
      </c>
      <c r="E472" s="45"/>
      <c r="F472" s="45"/>
      <c r="G472" s="45"/>
      <c r="AI472" s="76"/>
      <c r="AR472" s="73" t="s">
        <v>74</v>
      </c>
    </row>
    <row r="473" spans="1:44" ht="12" hidden="1" customHeight="1" outlineLevel="4" x14ac:dyDescent="0.2">
      <c r="A473" s="60" t="s">
        <v>740</v>
      </c>
      <c r="B473" s="45"/>
      <c r="C473" s="45"/>
      <c r="D473" s="46">
        <v>3752.44</v>
      </c>
      <c r="E473" s="45"/>
      <c r="F473" s="45"/>
      <c r="G473" s="45"/>
      <c r="AI473" s="76"/>
      <c r="AR473" s="73" t="s">
        <v>75</v>
      </c>
    </row>
    <row r="474" spans="1:44" ht="12" hidden="1" customHeight="1" outlineLevel="4" x14ac:dyDescent="0.2">
      <c r="A474" s="60" t="s">
        <v>739</v>
      </c>
      <c r="B474" s="45"/>
      <c r="C474" s="45"/>
      <c r="D474" s="46">
        <v>3403.56</v>
      </c>
      <c r="E474" s="45"/>
      <c r="F474" s="45"/>
      <c r="G474" s="45"/>
      <c r="AI474" s="76"/>
      <c r="AR474" s="73" t="s">
        <v>76</v>
      </c>
    </row>
    <row r="475" spans="1:44" ht="12" hidden="1" customHeight="1" outlineLevel="4" x14ac:dyDescent="0.2">
      <c r="A475" s="60" t="s">
        <v>738</v>
      </c>
      <c r="B475" s="45"/>
      <c r="C475" s="45"/>
      <c r="D475" s="46">
        <v>29932.95</v>
      </c>
      <c r="E475" s="45"/>
      <c r="F475" s="45"/>
      <c r="G475" s="45"/>
      <c r="AI475" s="76"/>
      <c r="AR475" s="73" t="s">
        <v>77</v>
      </c>
    </row>
    <row r="476" spans="1:44" ht="12" hidden="1" customHeight="1" outlineLevel="4" x14ac:dyDescent="0.2">
      <c r="A476" s="60" t="s">
        <v>737</v>
      </c>
      <c r="B476" s="45"/>
      <c r="C476" s="45"/>
      <c r="D476" s="46">
        <v>16001.47</v>
      </c>
      <c r="E476" s="45"/>
      <c r="F476" s="45"/>
      <c r="G476" s="45"/>
      <c r="AI476" s="76"/>
      <c r="AR476" s="73" t="s">
        <v>78</v>
      </c>
    </row>
    <row r="477" spans="1:44" ht="12" hidden="1" customHeight="1" outlineLevel="4" x14ac:dyDescent="0.2">
      <c r="A477" s="60" t="s">
        <v>736</v>
      </c>
      <c r="B477" s="45"/>
      <c r="C477" s="45"/>
      <c r="D477" s="46">
        <v>10058.93</v>
      </c>
      <c r="E477" s="45"/>
      <c r="F477" s="45"/>
      <c r="G477" s="45"/>
      <c r="AI477" s="76"/>
      <c r="AR477" s="73" t="s">
        <v>79</v>
      </c>
    </row>
    <row r="478" spans="1:44" ht="12" hidden="1" customHeight="1" outlineLevel="4" x14ac:dyDescent="0.2">
      <c r="A478" s="60" t="s">
        <v>735</v>
      </c>
      <c r="B478" s="45"/>
      <c r="C478" s="45"/>
      <c r="D478" s="46">
        <v>19856.68</v>
      </c>
      <c r="E478" s="45"/>
      <c r="F478" s="45"/>
      <c r="G478" s="45"/>
      <c r="AI478" s="76"/>
      <c r="AR478" s="73" t="s">
        <v>80</v>
      </c>
    </row>
    <row r="479" spans="1:44" ht="12" hidden="1" customHeight="1" outlineLevel="4" x14ac:dyDescent="0.2">
      <c r="A479" s="60" t="s">
        <v>734</v>
      </c>
      <c r="B479" s="45"/>
      <c r="C479" s="45"/>
      <c r="D479" s="46">
        <v>28248.22</v>
      </c>
      <c r="E479" s="45"/>
      <c r="F479" s="45"/>
      <c r="G479" s="45"/>
      <c r="AI479" s="76"/>
      <c r="AR479" s="73" t="s">
        <v>81</v>
      </c>
    </row>
    <row r="480" spans="1:44" ht="12" hidden="1" customHeight="1" outlineLevel="4" x14ac:dyDescent="0.2">
      <c r="A480" s="60" t="s">
        <v>778</v>
      </c>
      <c r="B480" s="45"/>
      <c r="C480" s="45"/>
      <c r="D480" s="46">
        <v>2419.21</v>
      </c>
      <c r="E480" s="45"/>
      <c r="F480" s="45"/>
      <c r="G480" s="45"/>
      <c r="AI480" s="76"/>
      <c r="AR480" s="73" t="s">
        <v>93</v>
      </c>
    </row>
    <row r="481" spans="1:44" ht="12" hidden="1" customHeight="1" outlineLevel="4" x14ac:dyDescent="0.2">
      <c r="A481" s="60" t="s">
        <v>673</v>
      </c>
      <c r="B481" s="45"/>
      <c r="C481" s="45"/>
      <c r="D481" s="46">
        <v>60716.18</v>
      </c>
      <c r="E481" s="45"/>
      <c r="F481" s="45"/>
      <c r="G481" s="45"/>
      <c r="AI481" s="76"/>
      <c r="AR481" s="73" t="s">
        <v>171</v>
      </c>
    </row>
    <row r="482" spans="1:44" ht="12" hidden="1" customHeight="1" outlineLevel="4" x14ac:dyDescent="0.2">
      <c r="A482" s="60" t="s">
        <v>673</v>
      </c>
      <c r="B482" s="45"/>
      <c r="C482" s="45"/>
      <c r="D482" s="46">
        <v>77289.3</v>
      </c>
      <c r="E482" s="45"/>
      <c r="F482" s="45"/>
      <c r="G482" s="45"/>
      <c r="AI482" s="76"/>
      <c r="AR482" s="73" t="s">
        <v>171</v>
      </c>
    </row>
    <row r="483" spans="1:44" ht="12" hidden="1" customHeight="1" outlineLevel="4" x14ac:dyDescent="0.2">
      <c r="A483" s="60" t="s">
        <v>672</v>
      </c>
      <c r="B483" s="45"/>
      <c r="C483" s="45"/>
      <c r="D483" s="46">
        <v>100633.75</v>
      </c>
      <c r="E483" s="45"/>
      <c r="F483" s="45"/>
      <c r="G483" s="45"/>
      <c r="AI483" s="76"/>
      <c r="AR483" s="73" t="s">
        <v>172</v>
      </c>
    </row>
    <row r="484" spans="1:44" ht="12" hidden="1" customHeight="1" outlineLevel="4" x14ac:dyDescent="0.2">
      <c r="A484" s="60" t="s">
        <v>671</v>
      </c>
      <c r="B484" s="45"/>
      <c r="C484" s="45"/>
      <c r="D484" s="46">
        <v>121177.92</v>
      </c>
      <c r="E484" s="45"/>
      <c r="F484" s="45"/>
      <c r="G484" s="45"/>
      <c r="AI484" s="76"/>
      <c r="AR484" s="73" t="s">
        <v>173</v>
      </c>
    </row>
    <row r="485" spans="1:44" ht="12" hidden="1" customHeight="1" outlineLevel="4" x14ac:dyDescent="0.2">
      <c r="A485" s="60" t="s">
        <v>668</v>
      </c>
      <c r="B485" s="45"/>
      <c r="C485" s="45"/>
      <c r="D485" s="46">
        <v>132522.93</v>
      </c>
      <c r="E485" s="45"/>
      <c r="F485" s="45"/>
      <c r="G485" s="45"/>
      <c r="AI485" s="76"/>
      <c r="AR485" s="73" t="s">
        <v>174</v>
      </c>
    </row>
    <row r="486" spans="1:44" ht="12" hidden="1" customHeight="1" outlineLevel="4" x14ac:dyDescent="0.2">
      <c r="A486" s="60" t="s">
        <v>663</v>
      </c>
      <c r="B486" s="45"/>
      <c r="C486" s="45"/>
      <c r="D486" s="46">
        <v>104493.65</v>
      </c>
      <c r="E486" s="45"/>
      <c r="F486" s="45"/>
      <c r="G486" s="45"/>
      <c r="AI486" s="76"/>
      <c r="AR486" s="73" t="s">
        <v>165</v>
      </c>
    </row>
    <row r="487" spans="1:44" ht="12" hidden="1" customHeight="1" outlineLevel="4" x14ac:dyDescent="0.2">
      <c r="A487" s="60" t="s">
        <v>662</v>
      </c>
      <c r="B487" s="45"/>
      <c r="C487" s="45"/>
      <c r="D487" s="46">
        <v>120302.98</v>
      </c>
      <c r="E487" s="45"/>
      <c r="F487" s="45"/>
      <c r="G487" s="45"/>
      <c r="AI487" s="76"/>
      <c r="AR487" s="73" t="s">
        <v>166</v>
      </c>
    </row>
    <row r="488" spans="1:44" ht="12" hidden="1" customHeight="1" outlineLevel="4" x14ac:dyDescent="0.2">
      <c r="A488" s="60" t="s">
        <v>661</v>
      </c>
      <c r="B488" s="45"/>
      <c r="C488" s="45"/>
      <c r="D488" s="46">
        <v>126441.03</v>
      </c>
      <c r="E488" s="45"/>
      <c r="F488" s="45"/>
      <c r="G488" s="45"/>
      <c r="AI488" s="76"/>
      <c r="AR488" s="73" t="s">
        <v>167</v>
      </c>
    </row>
    <row r="489" spans="1:44" ht="23.25" hidden="1" customHeight="1" outlineLevel="4" x14ac:dyDescent="0.2">
      <c r="A489" s="60" t="s">
        <v>654</v>
      </c>
      <c r="B489" s="45"/>
      <c r="C489" s="45"/>
      <c r="D489" s="46">
        <v>212538.88</v>
      </c>
      <c r="E489" s="45"/>
      <c r="F489" s="45"/>
      <c r="G489" s="45"/>
      <c r="AI489" s="76"/>
      <c r="AR489" s="73" t="s">
        <v>158</v>
      </c>
    </row>
    <row r="490" spans="1:44" ht="23.25" hidden="1" customHeight="1" outlineLevel="4" x14ac:dyDescent="0.2">
      <c r="A490" s="60" t="s">
        <v>652</v>
      </c>
      <c r="B490" s="45"/>
      <c r="C490" s="45"/>
      <c r="D490" s="46">
        <v>129385.81</v>
      </c>
      <c r="E490" s="45"/>
      <c r="F490" s="45"/>
      <c r="G490" s="45"/>
      <c r="AI490" s="76"/>
      <c r="AR490" s="73" t="s">
        <v>161</v>
      </c>
    </row>
    <row r="491" spans="1:44" ht="23.25" hidden="1" customHeight="1" outlineLevel="4" x14ac:dyDescent="0.2">
      <c r="A491" s="60" t="s">
        <v>651</v>
      </c>
      <c r="B491" s="45"/>
      <c r="C491" s="45"/>
      <c r="D491" s="46">
        <v>104156.65</v>
      </c>
      <c r="E491" s="45"/>
      <c r="F491" s="45"/>
      <c r="G491" s="45"/>
      <c r="AI491" s="76"/>
      <c r="AR491" s="73" t="s">
        <v>162</v>
      </c>
    </row>
    <row r="492" spans="1:44" ht="34.5" hidden="1" customHeight="1" outlineLevel="4" x14ac:dyDescent="0.2">
      <c r="A492" s="60" t="s">
        <v>545</v>
      </c>
      <c r="B492" s="45"/>
      <c r="C492" s="45"/>
      <c r="D492" s="46">
        <v>29335.93</v>
      </c>
      <c r="E492" s="45"/>
      <c r="F492" s="45"/>
      <c r="G492" s="45"/>
      <c r="AI492" s="76"/>
      <c r="AR492" s="73" t="s">
        <v>105</v>
      </c>
    </row>
    <row r="493" spans="1:44" ht="23.25" hidden="1" customHeight="1" outlineLevel="4" x14ac:dyDescent="0.2">
      <c r="A493" s="60" t="s">
        <v>542</v>
      </c>
      <c r="B493" s="45"/>
      <c r="C493" s="45"/>
      <c r="D493" s="46">
        <v>42836.95</v>
      </c>
      <c r="E493" s="45"/>
      <c r="F493" s="45"/>
      <c r="G493" s="45"/>
      <c r="AI493" s="76"/>
      <c r="AR493" s="73" t="s">
        <v>107</v>
      </c>
    </row>
    <row r="494" spans="1:44" ht="23.25" hidden="1" customHeight="1" outlineLevel="4" x14ac:dyDescent="0.2">
      <c r="A494" s="60" t="s">
        <v>541</v>
      </c>
      <c r="B494" s="45"/>
      <c r="C494" s="45"/>
      <c r="D494" s="46">
        <v>34275.65</v>
      </c>
      <c r="E494" s="45"/>
      <c r="F494" s="45"/>
      <c r="G494" s="45"/>
      <c r="AI494" s="76"/>
      <c r="AR494" s="73" t="s">
        <v>108</v>
      </c>
    </row>
    <row r="495" spans="1:44" ht="12" hidden="1" customHeight="1" outlineLevel="4" x14ac:dyDescent="0.2">
      <c r="A495" s="60" t="s">
        <v>722</v>
      </c>
      <c r="B495" s="45"/>
      <c r="C495" s="45"/>
      <c r="D495" s="46">
        <v>11485.38</v>
      </c>
      <c r="E495" s="45"/>
      <c r="F495" s="45"/>
      <c r="G495" s="45"/>
      <c r="AI495" s="76"/>
      <c r="AR495" s="73" t="s">
        <v>122</v>
      </c>
    </row>
    <row r="496" spans="1:44" ht="12" hidden="1" customHeight="1" outlineLevel="4" x14ac:dyDescent="0.2">
      <c r="A496" s="60" t="s">
        <v>487</v>
      </c>
      <c r="B496" s="45"/>
      <c r="C496" s="45"/>
      <c r="D496" s="46">
        <v>55919.79</v>
      </c>
      <c r="E496" s="45"/>
      <c r="F496" s="45"/>
      <c r="G496" s="45"/>
      <c r="AI496" s="76"/>
      <c r="AR496" s="73" t="s">
        <v>125</v>
      </c>
    </row>
    <row r="497" spans="1:44" ht="12" hidden="1" customHeight="1" outlineLevel="4" x14ac:dyDescent="0.2">
      <c r="A497" s="60" t="s">
        <v>536</v>
      </c>
      <c r="B497" s="45"/>
      <c r="C497" s="45"/>
      <c r="D497" s="46">
        <v>12784.24</v>
      </c>
      <c r="E497" s="45"/>
      <c r="F497" s="45"/>
      <c r="G497" s="45"/>
      <c r="AI497" s="76"/>
      <c r="AR497" s="73" t="s">
        <v>126</v>
      </c>
    </row>
    <row r="498" spans="1:44" ht="12" hidden="1" customHeight="1" outlineLevel="4" x14ac:dyDescent="0.2">
      <c r="A498" s="60" t="s">
        <v>535</v>
      </c>
      <c r="B498" s="45"/>
      <c r="C498" s="45"/>
      <c r="D498" s="46">
        <v>82143.92</v>
      </c>
      <c r="E498" s="45"/>
      <c r="F498" s="45"/>
      <c r="G498" s="45"/>
      <c r="AI498" s="76"/>
      <c r="AR498" s="73" t="s">
        <v>127</v>
      </c>
    </row>
    <row r="499" spans="1:44" ht="12" hidden="1" customHeight="1" outlineLevel="4" x14ac:dyDescent="0.2">
      <c r="A499" s="60" t="s">
        <v>534</v>
      </c>
      <c r="B499" s="45"/>
      <c r="C499" s="45"/>
      <c r="D499" s="46">
        <v>80605.460000000006</v>
      </c>
      <c r="E499" s="45"/>
      <c r="F499" s="45"/>
      <c r="G499" s="45"/>
      <c r="AI499" s="76"/>
      <c r="AR499" s="73" t="s">
        <v>123</v>
      </c>
    </row>
    <row r="500" spans="1:44" ht="12" hidden="1" customHeight="1" outlineLevel="4" x14ac:dyDescent="0.2">
      <c r="A500" s="60" t="s">
        <v>533</v>
      </c>
      <c r="B500" s="45"/>
      <c r="C500" s="45"/>
      <c r="D500" s="46">
        <v>85789.01</v>
      </c>
      <c r="E500" s="45"/>
      <c r="F500" s="45"/>
      <c r="G500" s="45"/>
      <c r="AI500" s="76"/>
      <c r="AR500" s="73" t="s">
        <v>128</v>
      </c>
    </row>
    <row r="501" spans="1:44" ht="12" hidden="1" customHeight="1" outlineLevel="4" x14ac:dyDescent="0.2">
      <c r="A501" s="60" t="s">
        <v>532</v>
      </c>
      <c r="B501" s="45"/>
      <c r="C501" s="45"/>
      <c r="D501" s="46">
        <v>15443.79</v>
      </c>
      <c r="E501" s="45"/>
      <c r="F501" s="45"/>
      <c r="G501" s="45"/>
      <c r="AI501" s="76"/>
      <c r="AR501" s="73" t="s">
        <v>129</v>
      </c>
    </row>
    <row r="502" spans="1:44" ht="12" hidden="1" customHeight="1" outlineLevel="4" x14ac:dyDescent="0.2">
      <c r="A502" s="60" t="s">
        <v>531</v>
      </c>
      <c r="B502" s="45"/>
      <c r="C502" s="45"/>
      <c r="D502" s="46">
        <v>12392.65</v>
      </c>
      <c r="E502" s="45"/>
      <c r="F502" s="45"/>
      <c r="G502" s="45"/>
      <c r="AI502" s="76"/>
      <c r="AR502" s="73" t="s">
        <v>130</v>
      </c>
    </row>
    <row r="503" spans="1:44" ht="12" hidden="1" customHeight="1" outlineLevel="4" x14ac:dyDescent="0.2">
      <c r="A503" s="60" t="s">
        <v>486</v>
      </c>
      <c r="B503" s="45"/>
      <c r="C503" s="45"/>
      <c r="D503" s="46">
        <v>39998.85</v>
      </c>
      <c r="E503" s="45"/>
      <c r="F503" s="45"/>
      <c r="G503" s="45"/>
      <c r="AI503" s="76"/>
      <c r="AR503" s="73" t="s">
        <v>124</v>
      </c>
    </row>
    <row r="504" spans="1:44" ht="12" hidden="1" customHeight="1" outlineLevel="4" x14ac:dyDescent="0.2">
      <c r="A504" s="60" t="s">
        <v>566</v>
      </c>
      <c r="B504" s="45"/>
      <c r="C504" s="45"/>
      <c r="D504" s="46">
        <v>1615.92</v>
      </c>
      <c r="E504" s="45"/>
      <c r="F504" s="45"/>
      <c r="G504" s="45"/>
      <c r="AI504" s="76"/>
      <c r="AR504" s="73" t="s">
        <v>133</v>
      </c>
    </row>
    <row r="505" spans="1:44" ht="12" hidden="1" customHeight="1" outlineLevel="4" x14ac:dyDescent="0.2">
      <c r="A505" s="60" t="s">
        <v>564</v>
      </c>
      <c r="B505" s="45"/>
      <c r="C505" s="45"/>
      <c r="D505" s="46">
        <v>1838.86</v>
      </c>
      <c r="E505" s="45"/>
      <c r="F505" s="45"/>
      <c r="G505" s="45"/>
      <c r="AI505" s="76"/>
      <c r="AR505" s="73" t="s">
        <v>131</v>
      </c>
    </row>
    <row r="506" spans="1:44" ht="12" hidden="1" customHeight="1" outlineLevel="4" x14ac:dyDescent="0.2">
      <c r="A506" s="60" t="s">
        <v>645</v>
      </c>
      <c r="B506" s="45"/>
      <c r="C506" s="45"/>
      <c r="D506" s="46">
        <v>172054.04</v>
      </c>
      <c r="E506" s="45"/>
      <c r="F506" s="45"/>
      <c r="G506" s="45"/>
      <c r="AI506" s="76"/>
      <c r="AR506" s="73" t="s">
        <v>185</v>
      </c>
    </row>
    <row r="507" spans="1:44" ht="12" hidden="1" customHeight="1" outlineLevel="4" x14ac:dyDescent="0.2">
      <c r="A507" s="60" t="s">
        <v>644</v>
      </c>
      <c r="B507" s="45"/>
      <c r="C507" s="45"/>
      <c r="D507" s="46">
        <v>103601.22</v>
      </c>
      <c r="E507" s="45"/>
      <c r="F507" s="45"/>
      <c r="G507" s="45"/>
      <c r="AI507" s="76"/>
      <c r="AR507" s="73" t="s">
        <v>186</v>
      </c>
    </row>
    <row r="508" spans="1:44" ht="12" hidden="1" customHeight="1" outlineLevel="4" x14ac:dyDescent="0.2">
      <c r="A508" s="60" t="s">
        <v>643</v>
      </c>
      <c r="B508" s="45"/>
      <c r="C508" s="45"/>
      <c r="D508" s="46">
        <v>208356.76</v>
      </c>
      <c r="E508" s="45"/>
      <c r="F508" s="45"/>
      <c r="G508" s="45"/>
      <c r="AI508" s="76"/>
      <c r="AR508" s="73" t="s">
        <v>187</v>
      </c>
    </row>
    <row r="509" spans="1:44" ht="12" hidden="1" customHeight="1" outlineLevel="4" x14ac:dyDescent="0.2">
      <c r="A509" s="60" t="s">
        <v>642</v>
      </c>
      <c r="B509" s="45"/>
      <c r="C509" s="45"/>
      <c r="D509" s="46">
        <v>142502.16</v>
      </c>
      <c r="E509" s="45"/>
      <c r="F509" s="45"/>
      <c r="G509" s="45"/>
      <c r="AI509" s="76"/>
      <c r="AR509" s="73" t="s">
        <v>188</v>
      </c>
    </row>
    <row r="510" spans="1:44" ht="23.25" hidden="1" customHeight="1" outlineLevel="4" x14ac:dyDescent="0.2">
      <c r="A510" s="60" t="s">
        <v>641</v>
      </c>
      <c r="B510" s="45"/>
      <c r="C510" s="45"/>
      <c r="D510" s="46">
        <v>101247.31</v>
      </c>
      <c r="E510" s="45"/>
      <c r="F510" s="45"/>
      <c r="G510" s="45"/>
      <c r="AI510" s="76"/>
      <c r="AR510" s="73" t="s">
        <v>189</v>
      </c>
    </row>
    <row r="511" spans="1:44" ht="12" hidden="1" customHeight="1" outlineLevel="4" x14ac:dyDescent="0.2">
      <c r="A511" s="60" t="s">
        <v>640</v>
      </c>
      <c r="B511" s="45"/>
      <c r="C511" s="45"/>
      <c r="D511" s="46">
        <v>94829.31</v>
      </c>
      <c r="E511" s="45"/>
      <c r="F511" s="45"/>
      <c r="G511" s="45"/>
      <c r="AI511" s="76"/>
      <c r="AR511" s="73" t="s">
        <v>190</v>
      </c>
    </row>
    <row r="512" spans="1:44" ht="12" hidden="1" customHeight="1" outlineLevel="4" x14ac:dyDescent="0.2">
      <c r="A512" s="60" t="s">
        <v>639</v>
      </c>
      <c r="B512" s="45"/>
      <c r="C512" s="45"/>
      <c r="D512" s="46">
        <v>55416.01</v>
      </c>
      <c r="E512" s="45"/>
      <c r="F512" s="45"/>
      <c r="G512" s="45"/>
      <c r="AI512" s="76"/>
      <c r="AR512" s="73" t="s">
        <v>191</v>
      </c>
    </row>
    <row r="513" spans="1:44" ht="12" hidden="1" customHeight="1" outlineLevel="4" x14ac:dyDescent="0.2">
      <c r="A513" s="60" t="s">
        <v>637</v>
      </c>
      <c r="B513" s="45"/>
      <c r="C513" s="45"/>
      <c r="D513" s="46">
        <v>31863.65</v>
      </c>
      <c r="E513" s="45"/>
      <c r="F513" s="45"/>
      <c r="G513" s="45"/>
      <c r="AI513" s="76"/>
      <c r="AR513" s="73" t="s">
        <v>193</v>
      </c>
    </row>
    <row r="514" spans="1:44" ht="12" hidden="1" customHeight="1" outlineLevel="4" x14ac:dyDescent="0.2">
      <c r="A514" s="60" t="s">
        <v>777</v>
      </c>
      <c r="B514" s="45"/>
      <c r="C514" s="45"/>
      <c r="D514" s="46">
        <v>10580.9</v>
      </c>
      <c r="E514" s="45"/>
      <c r="F514" s="45"/>
      <c r="G514" s="45"/>
      <c r="AI514" s="76"/>
      <c r="AR514" s="81" t="s">
        <v>355</v>
      </c>
    </row>
    <row r="515" spans="1:44" ht="12" hidden="1" customHeight="1" outlineLevel="4" x14ac:dyDescent="0.2">
      <c r="A515" s="60" t="s">
        <v>632</v>
      </c>
      <c r="B515" s="45"/>
      <c r="C515" s="45"/>
      <c r="D515" s="46">
        <v>10707.62</v>
      </c>
      <c r="E515" s="45"/>
      <c r="F515" s="45"/>
      <c r="G515" s="45"/>
      <c r="AI515" s="76"/>
      <c r="AR515" s="73" t="s">
        <v>200</v>
      </c>
    </row>
    <row r="516" spans="1:44" ht="12" hidden="1" customHeight="1" outlineLevel="4" x14ac:dyDescent="0.2">
      <c r="A516" s="60" t="s">
        <v>631</v>
      </c>
      <c r="B516" s="45"/>
      <c r="C516" s="45"/>
      <c r="D516" s="46">
        <v>21962.61</v>
      </c>
      <c r="E516" s="45"/>
      <c r="F516" s="45"/>
      <c r="G516" s="45"/>
      <c r="AI516" s="76"/>
      <c r="AR516" s="73" t="s">
        <v>201</v>
      </c>
    </row>
    <row r="517" spans="1:44" ht="12" hidden="1" customHeight="1" outlineLevel="4" x14ac:dyDescent="0.2">
      <c r="A517" s="60" t="s">
        <v>630</v>
      </c>
      <c r="B517" s="45"/>
      <c r="C517" s="45"/>
      <c r="D517" s="46">
        <v>80321.41</v>
      </c>
      <c r="E517" s="45"/>
      <c r="F517" s="45"/>
      <c r="G517" s="45"/>
      <c r="AI517" s="76"/>
      <c r="AR517" s="73" t="s">
        <v>182</v>
      </c>
    </row>
    <row r="518" spans="1:44" ht="12" hidden="1" customHeight="1" outlineLevel="4" x14ac:dyDescent="0.2">
      <c r="A518" s="60" t="s">
        <v>628</v>
      </c>
      <c r="B518" s="45"/>
      <c r="C518" s="45"/>
      <c r="D518" s="46">
        <v>46563.98</v>
      </c>
      <c r="E518" s="45"/>
      <c r="F518" s="45"/>
      <c r="G518" s="45"/>
      <c r="AI518" s="76"/>
      <c r="AR518" s="73" t="s">
        <v>203</v>
      </c>
    </row>
    <row r="519" spans="1:44" ht="12" hidden="1" customHeight="1" outlineLevel="4" x14ac:dyDescent="0.2">
      <c r="A519" s="60" t="s">
        <v>627</v>
      </c>
      <c r="B519" s="45"/>
      <c r="C519" s="45"/>
      <c r="D519" s="46">
        <v>153127.01999999999</v>
      </c>
      <c r="E519" s="45"/>
      <c r="F519" s="45"/>
      <c r="G519" s="45"/>
      <c r="AI519" s="76"/>
      <c r="AR519" s="73" t="s">
        <v>204</v>
      </c>
    </row>
    <row r="520" spans="1:44" ht="12" hidden="1" customHeight="1" outlineLevel="4" x14ac:dyDescent="0.2">
      <c r="A520" s="60" t="s">
        <v>626</v>
      </c>
      <c r="B520" s="45"/>
      <c r="C520" s="45"/>
      <c r="D520" s="46">
        <v>123865.17</v>
      </c>
      <c r="E520" s="45"/>
      <c r="F520" s="45"/>
      <c r="G520" s="45"/>
      <c r="AI520" s="76"/>
      <c r="AR520" s="73" t="s">
        <v>205</v>
      </c>
    </row>
    <row r="521" spans="1:44" ht="12" hidden="1" customHeight="1" outlineLevel="4" x14ac:dyDescent="0.2">
      <c r="A521" s="60" t="s">
        <v>529</v>
      </c>
      <c r="B521" s="45"/>
      <c r="C521" s="45"/>
      <c r="D521" s="46">
        <v>1886.24</v>
      </c>
      <c r="E521" s="45"/>
      <c r="F521" s="45"/>
      <c r="G521" s="45"/>
      <c r="AI521" s="76"/>
      <c r="AR521" s="73" t="s">
        <v>136</v>
      </c>
    </row>
    <row r="522" spans="1:44" ht="12" hidden="1" customHeight="1" outlineLevel="4" x14ac:dyDescent="0.2">
      <c r="A522" s="60" t="s">
        <v>528</v>
      </c>
      <c r="B522" s="45"/>
      <c r="C522" s="45"/>
      <c r="D522" s="46">
        <v>10405.52</v>
      </c>
      <c r="E522" s="45"/>
      <c r="F522" s="45"/>
      <c r="G522" s="45"/>
      <c r="AI522" s="76"/>
      <c r="AR522" s="73" t="s">
        <v>137</v>
      </c>
    </row>
    <row r="523" spans="1:44" ht="12" hidden="1" customHeight="1" outlineLevel="4" x14ac:dyDescent="0.2">
      <c r="A523" s="60" t="s">
        <v>561</v>
      </c>
      <c r="B523" s="45"/>
      <c r="C523" s="45"/>
      <c r="D523" s="46">
        <v>2039.92</v>
      </c>
      <c r="E523" s="45"/>
      <c r="F523" s="45"/>
      <c r="G523" s="45"/>
      <c r="AI523" s="76"/>
      <c r="AR523" s="73" t="s">
        <v>97</v>
      </c>
    </row>
    <row r="524" spans="1:44" ht="23.25" hidden="1" customHeight="1" outlineLevel="4" x14ac:dyDescent="0.2">
      <c r="A524" s="60" t="s">
        <v>719</v>
      </c>
      <c r="B524" s="45"/>
      <c r="C524" s="45"/>
      <c r="D524" s="46">
        <v>26736.400000000001</v>
      </c>
      <c r="E524" s="45"/>
      <c r="F524" s="45"/>
      <c r="G524" s="45"/>
      <c r="AI524" s="76"/>
      <c r="AR524" s="73" t="s">
        <v>237</v>
      </c>
    </row>
    <row r="525" spans="1:44" ht="23.25" hidden="1" customHeight="1" outlineLevel="4" x14ac:dyDescent="0.2">
      <c r="A525" s="60" t="s">
        <v>718</v>
      </c>
      <c r="B525" s="45"/>
      <c r="C525" s="45"/>
      <c r="D525" s="46">
        <v>26736.400000000001</v>
      </c>
      <c r="E525" s="45"/>
      <c r="F525" s="45"/>
      <c r="G525" s="45"/>
      <c r="AI525" s="76"/>
      <c r="AR525" s="73" t="s">
        <v>238</v>
      </c>
    </row>
    <row r="526" spans="1:44" ht="23.25" hidden="1" customHeight="1" outlineLevel="4" x14ac:dyDescent="0.2">
      <c r="A526" s="60" t="s">
        <v>717</v>
      </c>
      <c r="B526" s="45"/>
      <c r="C526" s="45"/>
      <c r="D526" s="46">
        <v>52499.75</v>
      </c>
      <c r="E526" s="45"/>
      <c r="F526" s="45"/>
      <c r="G526" s="45"/>
      <c r="AI526" s="76"/>
      <c r="AR526" s="73" t="s">
        <v>239</v>
      </c>
    </row>
    <row r="527" spans="1:44" ht="23.25" hidden="1" customHeight="1" outlineLevel="4" x14ac:dyDescent="0.2">
      <c r="A527" s="60" t="s">
        <v>716</v>
      </c>
      <c r="B527" s="45"/>
      <c r="C527" s="45"/>
      <c r="D527" s="46">
        <v>121530.03</v>
      </c>
      <c r="E527" s="45"/>
      <c r="F527" s="45"/>
      <c r="G527" s="45"/>
      <c r="AI527" s="76"/>
      <c r="AR527" s="73" t="s">
        <v>240</v>
      </c>
    </row>
    <row r="528" spans="1:44" ht="23.25" hidden="1" customHeight="1" outlineLevel="4" x14ac:dyDescent="0.2">
      <c r="A528" s="60" t="s">
        <v>715</v>
      </c>
      <c r="B528" s="45"/>
      <c r="C528" s="45"/>
      <c r="D528" s="46">
        <v>110879.52</v>
      </c>
      <c r="E528" s="45"/>
      <c r="F528" s="45"/>
      <c r="G528" s="45"/>
      <c r="AI528" s="76"/>
      <c r="AR528" s="73" t="s">
        <v>241</v>
      </c>
    </row>
    <row r="529" spans="1:44" ht="23.25" hidden="1" customHeight="1" outlineLevel="4" x14ac:dyDescent="0.2">
      <c r="A529" s="60" t="s">
        <v>714</v>
      </c>
      <c r="B529" s="45"/>
      <c r="C529" s="45"/>
      <c r="D529" s="46">
        <v>69052.850000000006</v>
      </c>
      <c r="E529" s="45"/>
      <c r="F529" s="45"/>
      <c r="G529" s="45"/>
      <c r="AI529" s="76"/>
      <c r="AR529" s="73" t="s">
        <v>242</v>
      </c>
    </row>
    <row r="530" spans="1:44" ht="23.25" hidden="1" customHeight="1" outlineLevel="4" x14ac:dyDescent="0.2">
      <c r="A530" s="60" t="s">
        <v>713</v>
      </c>
      <c r="B530" s="45"/>
      <c r="C530" s="45"/>
      <c r="D530" s="46">
        <v>62369.67</v>
      </c>
      <c r="E530" s="45"/>
      <c r="F530" s="45"/>
      <c r="G530" s="45"/>
      <c r="AI530" s="76"/>
      <c r="AR530" s="73" t="s">
        <v>243</v>
      </c>
    </row>
    <row r="531" spans="1:44" ht="23.25" hidden="1" customHeight="1" outlineLevel="4" x14ac:dyDescent="0.2">
      <c r="A531" s="60" t="s">
        <v>711</v>
      </c>
      <c r="B531" s="45"/>
      <c r="C531" s="45"/>
      <c r="D531" s="46">
        <v>54183.6</v>
      </c>
      <c r="E531" s="45"/>
      <c r="F531" s="45"/>
      <c r="G531" s="45"/>
      <c r="AI531" s="76"/>
      <c r="AR531" s="73" t="s">
        <v>244</v>
      </c>
    </row>
    <row r="532" spans="1:44" ht="23.25" hidden="1" customHeight="1" outlineLevel="4" x14ac:dyDescent="0.2">
      <c r="A532" s="60" t="s">
        <v>710</v>
      </c>
      <c r="B532" s="45"/>
      <c r="C532" s="45"/>
      <c r="D532" s="46">
        <v>65086.81</v>
      </c>
      <c r="E532" s="45"/>
      <c r="F532" s="45"/>
      <c r="G532" s="45"/>
      <c r="AI532" s="76"/>
      <c r="AR532" s="73" t="s">
        <v>245</v>
      </c>
    </row>
    <row r="533" spans="1:44" ht="23.25" hidden="1" customHeight="1" outlineLevel="4" x14ac:dyDescent="0.2">
      <c r="A533" s="60" t="s">
        <v>709</v>
      </c>
      <c r="B533" s="45"/>
      <c r="C533" s="45"/>
      <c r="D533" s="46">
        <v>85171.51</v>
      </c>
      <c r="E533" s="45"/>
      <c r="F533" s="45"/>
      <c r="G533" s="45"/>
      <c r="AI533" s="76"/>
      <c r="AR533" s="73" t="s">
        <v>246</v>
      </c>
    </row>
    <row r="534" spans="1:44" ht="23.25" hidden="1" customHeight="1" outlineLevel="4" x14ac:dyDescent="0.2">
      <c r="A534" s="60" t="s">
        <v>708</v>
      </c>
      <c r="B534" s="45"/>
      <c r="C534" s="45"/>
      <c r="D534" s="46">
        <v>94018.09</v>
      </c>
      <c r="E534" s="45"/>
      <c r="F534" s="45"/>
      <c r="G534" s="45"/>
      <c r="AI534" s="76"/>
      <c r="AR534" s="73" t="s">
        <v>247</v>
      </c>
    </row>
    <row r="535" spans="1:44" ht="23.25" hidden="1" customHeight="1" outlineLevel="4" x14ac:dyDescent="0.2">
      <c r="A535" s="60" t="s">
        <v>484</v>
      </c>
      <c r="B535" s="45"/>
      <c r="C535" s="45"/>
      <c r="D535" s="46">
        <v>36713.51</v>
      </c>
      <c r="E535" s="45"/>
      <c r="F535" s="45"/>
      <c r="G535" s="45"/>
      <c r="AI535" s="76"/>
      <c r="AR535" s="73" t="s">
        <v>248</v>
      </c>
    </row>
    <row r="536" spans="1:44" ht="23.25" hidden="1" customHeight="1" outlineLevel="4" x14ac:dyDescent="0.2">
      <c r="A536" s="60" t="s">
        <v>621</v>
      </c>
      <c r="B536" s="45"/>
      <c r="C536" s="45"/>
      <c r="D536" s="46">
        <v>88522.1</v>
      </c>
      <c r="E536" s="45"/>
      <c r="F536" s="45"/>
      <c r="G536" s="45"/>
      <c r="AI536" s="76"/>
      <c r="AR536" s="73" t="s">
        <v>207</v>
      </c>
    </row>
    <row r="537" spans="1:44" ht="23.25" hidden="1" customHeight="1" outlineLevel="4" x14ac:dyDescent="0.2">
      <c r="A537" s="60" t="s">
        <v>620</v>
      </c>
      <c r="B537" s="45"/>
      <c r="C537" s="45"/>
      <c r="D537" s="46">
        <v>199559.01</v>
      </c>
      <c r="E537" s="45"/>
      <c r="F537" s="45"/>
      <c r="G537" s="45"/>
      <c r="AI537" s="76"/>
      <c r="AR537" s="73" t="s">
        <v>208</v>
      </c>
    </row>
    <row r="538" spans="1:44" ht="23.25" hidden="1" customHeight="1" outlineLevel="4" x14ac:dyDescent="0.2">
      <c r="A538" s="60" t="s">
        <v>619</v>
      </c>
      <c r="B538" s="45"/>
      <c r="C538" s="45"/>
      <c r="D538" s="46">
        <v>92511.23</v>
      </c>
      <c r="E538" s="45"/>
      <c r="F538" s="45"/>
      <c r="G538" s="45"/>
      <c r="AI538" s="76"/>
      <c r="AR538" s="73" t="s">
        <v>209</v>
      </c>
    </row>
    <row r="539" spans="1:44" ht="23.25" hidden="1" customHeight="1" outlineLevel="4" x14ac:dyDescent="0.2">
      <c r="A539" s="60" t="s">
        <v>706</v>
      </c>
      <c r="B539" s="45"/>
      <c r="C539" s="45"/>
      <c r="D539" s="46">
        <v>80006.38</v>
      </c>
      <c r="E539" s="45"/>
      <c r="F539" s="45"/>
      <c r="G539" s="45"/>
      <c r="AI539" s="76"/>
      <c r="AR539" s="73" t="s">
        <v>210</v>
      </c>
    </row>
    <row r="540" spans="1:44" ht="23.25" hidden="1" customHeight="1" outlineLevel="4" x14ac:dyDescent="0.2">
      <c r="A540" s="60" t="s">
        <v>705</v>
      </c>
      <c r="B540" s="45"/>
      <c r="C540" s="45"/>
      <c r="D540" s="46">
        <v>108994.23</v>
      </c>
      <c r="E540" s="45"/>
      <c r="F540" s="45"/>
      <c r="G540" s="45"/>
      <c r="AI540" s="76"/>
      <c r="AR540" s="73" t="s">
        <v>211</v>
      </c>
    </row>
    <row r="541" spans="1:44" ht="23.25" hidden="1" customHeight="1" outlineLevel="4" x14ac:dyDescent="0.2">
      <c r="A541" s="60" t="s">
        <v>702</v>
      </c>
      <c r="B541" s="45"/>
      <c r="C541" s="45"/>
      <c r="D541" s="46">
        <v>123902.92</v>
      </c>
      <c r="E541" s="45"/>
      <c r="F541" s="45"/>
      <c r="G541" s="45"/>
      <c r="AI541" s="76"/>
      <c r="AR541" s="73" t="s">
        <v>214</v>
      </c>
    </row>
    <row r="542" spans="1:44" ht="23.25" hidden="1" customHeight="1" outlineLevel="4" x14ac:dyDescent="0.2">
      <c r="A542" s="60" t="s">
        <v>618</v>
      </c>
      <c r="B542" s="45"/>
      <c r="C542" s="45"/>
      <c r="D542" s="46">
        <v>116525.19</v>
      </c>
      <c r="E542" s="45"/>
      <c r="F542" s="45"/>
      <c r="G542" s="45"/>
      <c r="AI542" s="76"/>
      <c r="AR542" s="73" t="s">
        <v>216</v>
      </c>
    </row>
    <row r="543" spans="1:44" ht="23.25" hidden="1" customHeight="1" outlineLevel="4" x14ac:dyDescent="0.2">
      <c r="A543" s="60" t="s">
        <v>695</v>
      </c>
      <c r="B543" s="45"/>
      <c r="C543" s="45"/>
      <c r="D543" s="46">
        <v>46789.01</v>
      </c>
      <c r="E543" s="45"/>
      <c r="F543" s="45"/>
      <c r="G543" s="45"/>
      <c r="AI543" s="76"/>
      <c r="AR543" s="73" t="s">
        <v>222</v>
      </c>
    </row>
    <row r="544" spans="1:44" ht="23.25" hidden="1" customHeight="1" outlineLevel="4" x14ac:dyDescent="0.2">
      <c r="A544" s="60" t="s">
        <v>688</v>
      </c>
      <c r="B544" s="45"/>
      <c r="C544" s="45"/>
      <c r="D544" s="46">
        <v>82277.11</v>
      </c>
      <c r="E544" s="45"/>
      <c r="F544" s="45"/>
      <c r="G544" s="45"/>
      <c r="AI544" s="76"/>
      <c r="AR544" s="73" t="s">
        <v>229</v>
      </c>
    </row>
    <row r="545" spans="1:44" ht="23.25" hidden="1" customHeight="1" outlineLevel="4" x14ac:dyDescent="0.2">
      <c r="A545" s="60" t="s">
        <v>687</v>
      </c>
      <c r="B545" s="45"/>
      <c r="C545" s="45"/>
      <c r="D545" s="46">
        <v>111077.73</v>
      </c>
      <c r="E545" s="45"/>
      <c r="F545" s="45"/>
      <c r="G545" s="45"/>
      <c r="AI545" s="76"/>
      <c r="AR545" s="73" t="s">
        <v>230</v>
      </c>
    </row>
    <row r="546" spans="1:44" ht="23.25" hidden="1" customHeight="1" outlineLevel="4" x14ac:dyDescent="0.2">
      <c r="A546" s="60" t="s">
        <v>686</v>
      </c>
      <c r="B546" s="45"/>
      <c r="C546" s="45"/>
      <c r="D546" s="46">
        <v>64571.66</v>
      </c>
      <c r="E546" s="45"/>
      <c r="F546" s="45"/>
      <c r="G546" s="45"/>
      <c r="AI546" s="76"/>
      <c r="AR546" s="73" t="s">
        <v>231</v>
      </c>
    </row>
    <row r="547" spans="1:44" ht="23.25" hidden="1" customHeight="1" outlineLevel="4" x14ac:dyDescent="0.2">
      <c r="A547" s="60" t="s">
        <v>685</v>
      </c>
      <c r="B547" s="45"/>
      <c r="C547" s="45"/>
      <c r="D547" s="46">
        <v>38269.51</v>
      </c>
      <c r="E547" s="45"/>
      <c r="F547" s="45"/>
      <c r="G547" s="45"/>
      <c r="AI547" s="76"/>
      <c r="AR547" s="73" t="s">
        <v>232</v>
      </c>
    </row>
    <row r="548" spans="1:44" ht="23.25" hidden="1" customHeight="1" outlineLevel="4" x14ac:dyDescent="0.2">
      <c r="A548" s="60" t="s">
        <v>684</v>
      </c>
      <c r="B548" s="45"/>
      <c r="C548" s="45"/>
      <c r="D548" s="46">
        <v>37969.86</v>
      </c>
      <c r="E548" s="45"/>
      <c r="F548" s="45"/>
      <c r="G548" s="45"/>
      <c r="AI548" s="76"/>
      <c r="AR548" s="73" t="s">
        <v>233</v>
      </c>
    </row>
    <row r="549" spans="1:44" ht="23.25" hidden="1" customHeight="1" outlineLevel="4" x14ac:dyDescent="0.2">
      <c r="A549" s="60" t="s">
        <v>683</v>
      </c>
      <c r="B549" s="45"/>
      <c r="C549" s="45"/>
      <c r="D549" s="46">
        <v>124862.29</v>
      </c>
      <c r="E549" s="45"/>
      <c r="F549" s="45"/>
      <c r="G549" s="45"/>
      <c r="AI549" s="76"/>
      <c r="AR549" s="73" t="s">
        <v>234</v>
      </c>
    </row>
    <row r="550" spans="1:44" ht="23.25" hidden="1" customHeight="1" outlineLevel="4" x14ac:dyDescent="0.2">
      <c r="A550" s="60" t="s">
        <v>682</v>
      </c>
      <c r="B550" s="45"/>
      <c r="C550" s="45"/>
      <c r="D550" s="46">
        <v>106510.64</v>
      </c>
      <c r="E550" s="45"/>
      <c r="F550" s="45"/>
      <c r="G550" s="45"/>
      <c r="AI550" s="76"/>
      <c r="AR550" s="73" t="s">
        <v>235</v>
      </c>
    </row>
    <row r="551" spans="1:44" ht="23.25" hidden="1" customHeight="1" outlineLevel="4" x14ac:dyDescent="0.2">
      <c r="A551" s="60" t="s">
        <v>681</v>
      </c>
      <c r="B551" s="45"/>
      <c r="C551" s="45"/>
      <c r="D551" s="46">
        <v>84409.09</v>
      </c>
      <c r="E551" s="45"/>
      <c r="F551" s="45"/>
      <c r="G551" s="45"/>
      <c r="AI551" s="76"/>
      <c r="AR551" s="73" t="s">
        <v>236</v>
      </c>
    </row>
    <row r="552" spans="1:44" ht="12" hidden="1" customHeight="1" outlineLevel="4" x14ac:dyDescent="0.2">
      <c r="A552" s="60" t="s">
        <v>598</v>
      </c>
      <c r="B552" s="45"/>
      <c r="C552" s="45"/>
      <c r="D552" s="46">
        <v>93328.75</v>
      </c>
      <c r="E552" s="45"/>
      <c r="F552" s="45"/>
      <c r="G552" s="45"/>
      <c r="AI552" s="76"/>
      <c r="AR552" s="73" t="s">
        <v>279</v>
      </c>
    </row>
    <row r="553" spans="1:44" ht="12" hidden="1" customHeight="1" outlineLevel="4" x14ac:dyDescent="0.2">
      <c r="A553" s="60" t="s">
        <v>597</v>
      </c>
      <c r="B553" s="45"/>
      <c r="C553" s="45"/>
      <c r="D553" s="46">
        <v>164863.74</v>
      </c>
      <c r="E553" s="45"/>
      <c r="F553" s="45"/>
      <c r="G553" s="45"/>
      <c r="AI553" s="76"/>
      <c r="AR553" s="73" t="s">
        <v>280</v>
      </c>
    </row>
    <row r="554" spans="1:44" ht="12" hidden="1" customHeight="1" outlineLevel="4" x14ac:dyDescent="0.2">
      <c r="A554" s="60" t="s">
        <v>596</v>
      </c>
      <c r="B554" s="45"/>
      <c r="C554" s="45"/>
      <c r="D554" s="46">
        <v>72843.13</v>
      </c>
      <c r="E554" s="45"/>
      <c r="F554" s="45"/>
      <c r="G554" s="45"/>
      <c r="AI554" s="76"/>
      <c r="AR554" s="73" t="s">
        <v>281</v>
      </c>
    </row>
    <row r="555" spans="1:44" ht="12" hidden="1" customHeight="1" outlineLevel="4" x14ac:dyDescent="0.2">
      <c r="A555" s="60" t="s">
        <v>595</v>
      </c>
      <c r="B555" s="45"/>
      <c r="C555" s="45"/>
      <c r="D555" s="46">
        <v>82683.19</v>
      </c>
      <c r="E555" s="45"/>
      <c r="F555" s="45"/>
      <c r="G555" s="45"/>
      <c r="AI555" s="76"/>
      <c r="AR555" s="73" t="s">
        <v>282</v>
      </c>
    </row>
    <row r="556" spans="1:44" ht="12" hidden="1" customHeight="1" outlineLevel="4" x14ac:dyDescent="0.2">
      <c r="A556" s="60" t="s">
        <v>594</v>
      </c>
      <c r="B556" s="45"/>
      <c r="C556" s="45"/>
      <c r="D556" s="46">
        <v>89715.09</v>
      </c>
      <c r="E556" s="45"/>
      <c r="F556" s="45"/>
      <c r="G556" s="45"/>
      <c r="AI556" s="76"/>
      <c r="AR556" s="73" t="s">
        <v>283</v>
      </c>
    </row>
    <row r="557" spans="1:44" ht="12" hidden="1" customHeight="1" outlineLevel="4" x14ac:dyDescent="0.2">
      <c r="A557" s="60" t="s">
        <v>593</v>
      </c>
      <c r="B557" s="45"/>
      <c r="C557" s="45"/>
      <c r="D557" s="46">
        <v>117495.07</v>
      </c>
      <c r="E557" s="45"/>
      <c r="F557" s="45"/>
      <c r="G557" s="45"/>
      <c r="AI557" s="76"/>
      <c r="AR557" s="73" t="s">
        <v>284</v>
      </c>
    </row>
    <row r="558" spans="1:44" ht="12" hidden="1" customHeight="1" outlineLevel="4" x14ac:dyDescent="0.2">
      <c r="A558" s="60" t="s">
        <v>592</v>
      </c>
      <c r="B558" s="45"/>
      <c r="C558" s="45"/>
      <c r="D558" s="46">
        <v>242719.68</v>
      </c>
      <c r="E558" s="45"/>
      <c r="F558" s="45"/>
      <c r="G558" s="45"/>
      <c r="AI558" s="76"/>
      <c r="AR558" s="73" t="s">
        <v>285</v>
      </c>
    </row>
    <row r="559" spans="1:44" ht="12" hidden="1" customHeight="1" outlineLevel="4" x14ac:dyDescent="0.2">
      <c r="A559" s="60" t="s">
        <v>589</v>
      </c>
      <c r="B559" s="45"/>
      <c r="C559" s="45"/>
      <c r="D559" s="46">
        <v>212965.82</v>
      </c>
      <c r="E559" s="45"/>
      <c r="F559" s="45"/>
      <c r="G559" s="45"/>
      <c r="AI559" s="76"/>
      <c r="AR559" s="73" t="s">
        <v>288</v>
      </c>
    </row>
    <row r="560" spans="1:44" ht="12" hidden="1" customHeight="1" outlineLevel="4" x14ac:dyDescent="0.2">
      <c r="A560" s="60" t="s">
        <v>519</v>
      </c>
      <c r="B560" s="45"/>
      <c r="C560" s="45"/>
      <c r="D560" s="46">
        <v>44735.37</v>
      </c>
      <c r="E560" s="45"/>
      <c r="F560" s="45"/>
      <c r="G560" s="45"/>
      <c r="AI560" s="76"/>
      <c r="AR560" s="73" t="s">
        <v>292</v>
      </c>
    </row>
    <row r="561" spans="1:45" ht="12" hidden="1" customHeight="1" outlineLevel="4" x14ac:dyDescent="0.2">
      <c r="A561" s="60" t="s">
        <v>517</v>
      </c>
      <c r="B561" s="45"/>
      <c r="C561" s="45"/>
      <c r="D561" s="46">
        <v>42278.48</v>
      </c>
      <c r="E561" s="45"/>
      <c r="F561" s="45"/>
      <c r="G561" s="45"/>
      <c r="AI561" s="76"/>
      <c r="AR561" s="73" t="s">
        <v>294</v>
      </c>
    </row>
    <row r="562" spans="1:45" ht="23.25" hidden="1" customHeight="1" outlineLevel="4" x14ac:dyDescent="0.2">
      <c r="A562" s="60" t="s">
        <v>516</v>
      </c>
      <c r="B562" s="45"/>
      <c r="C562" s="45"/>
      <c r="D562" s="46">
        <v>23215.97</v>
      </c>
      <c r="E562" s="45"/>
      <c r="F562" s="45"/>
      <c r="G562" s="45"/>
      <c r="AI562" s="76"/>
      <c r="AR562" s="73" t="s">
        <v>295</v>
      </c>
    </row>
    <row r="563" spans="1:45" ht="12" hidden="1" customHeight="1" outlineLevel="4" x14ac:dyDescent="0.2">
      <c r="A563" s="60" t="s">
        <v>515</v>
      </c>
      <c r="B563" s="45"/>
      <c r="C563" s="45"/>
      <c r="D563" s="46">
        <v>153644.20000000001</v>
      </c>
      <c r="E563" s="45"/>
      <c r="F563" s="45"/>
      <c r="G563" s="45"/>
      <c r="AI563" s="76"/>
      <c r="AR563" s="73" t="s">
        <v>296</v>
      </c>
    </row>
    <row r="564" spans="1:45" ht="12" hidden="1" customHeight="1" outlineLevel="4" x14ac:dyDescent="0.2">
      <c r="A564" s="60" t="s">
        <v>512</v>
      </c>
      <c r="B564" s="45"/>
      <c r="C564" s="45"/>
      <c r="D564" s="46">
        <v>2392.89</v>
      </c>
      <c r="E564" s="45"/>
      <c r="F564" s="45"/>
      <c r="G564" s="45"/>
      <c r="AI564" s="76"/>
      <c r="AR564" s="73" t="s">
        <v>303</v>
      </c>
    </row>
    <row r="565" spans="1:45" ht="12" hidden="1" customHeight="1" outlineLevel="4" x14ac:dyDescent="0.2">
      <c r="A565" s="60" t="s">
        <v>510</v>
      </c>
      <c r="B565" s="45"/>
      <c r="C565" s="45"/>
      <c r="D565" s="46">
        <v>61002.81</v>
      </c>
      <c r="E565" s="45"/>
      <c r="F565" s="45"/>
      <c r="G565" s="45"/>
      <c r="AI565" s="76"/>
      <c r="AR565" s="73" t="s">
        <v>305</v>
      </c>
    </row>
    <row r="566" spans="1:45" ht="12" hidden="1" customHeight="1" outlineLevel="4" x14ac:dyDescent="0.2">
      <c r="A566" s="60" t="s">
        <v>575</v>
      </c>
      <c r="B566" s="45"/>
      <c r="C566" s="45"/>
      <c r="D566" s="46">
        <v>63669.7</v>
      </c>
      <c r="E566" s="45"/>
      <c r="F566" s="45"/>
      <c r="G566" s="45"/>
      <c r="AI566" s="76"/>
      <c r="AR566" s="73" t="s">
        <v>322</v>
      </c>
    </row>
    <row r="567" spans="1:45" ht="12" hidden="1" customHeight="1" outlineLevel="4" x14ac:dyDescent="0.2">
      <c r="A567" s="60" t="s">
        <v>574</v>
      </c>
      <c r="B567" s="45"/>
      <c r="C567" s="45"/>
      <c r="D567" s="46">
        <v>38922.1</v>
      </c>
      <c r="E567" s="45"/>
      <c r="F567" s="45"/>
      <c r="G567" s="45"/>
      <c r="AI567" s="76"/>
      <c r="AR567" s="73" t="s">
        <v>323</v>
      </c>
    </row>
    <row r="568" spans="1:45" ht="12" hidden="1" customHeight="1" outlineLevel="4" x14ac:dyDescent="0.2">
      <c r="A568" s="60" t="s">
        <v>572</v>
      </c>
      <c r="B568" s="45"/>
      <c r="C568" s="45"/>
      <c r="D568" s="46">
        <v>76991.77</v>
      </c>
      <c r="E568" s="45"/>
      <c r="F568" s="45"/>
      <c r="G568" s="45"/>
      <c r="AI568" s="76"/>
      <c r="AR568" s="73" t="s">
        <v>325</v>
      </c>
    </row>
    <row r="569" spans="1:45" ht="12" hidden="1" customHeight="1" outlineLevel="4" x14ac:dyDescent="0.2">
      <c r="A569" s="60" t="s">
        <v>571</v>
      </c>
      <c r="B569" s="45"/>
      <c r="C569" s="45"/>
      <c r="D569" s="46">
        <v>27001.59</v>
      </c>
      <c r="E569" s="45"/>
      <c r="F569" s="45"/>
      <c r="G569" s="45"/>
      <c r="AI569" s="76"/>
      <c r="AR569" s="73" t="s">
        <v>317</v>
      </c>
    </row>
    <row r="570" spans="1:45" ht="12" hidden="1" customHeight="1" outlineLevel="4" x14ac:dyDescent="0.2">
      <c r="A570" s="60" t="s">
        <v>569</v>
      </c>
      <c r="B570" s="45"/>
      <c r="C570" s="45"/>
      <c r="D570" s="46">
        <v>49148.76</v>
      </c>
      <c r="E570" s="45"/>
      <c r="F570" s="45"/>
      <c r="G570" s="45"/>
      <c r="AI570" s="76"/>
      <c r="AR570" s="73" t="s">
        <v>319</v>
      </c>
    </row>
    <row r="571" spans="1:45" ht="12" hidden="1" customHeight="1" outlineLevel="4" x14ac:dyDescent="0.2">
      <c r="A571" s="60" t="s">
        <v>568</v>
      </c>
      <c r="B571" s="45"/>
      <c r="C571" s="45"/>
      <c r="D571" s="46">
        <v>2708.35</v>
      </c>
      <c r="E571" s="45"/>
      <c r="F571" s="45"/>
      <c r="G571" s="45"/>
      <c r="AI571" s="76"/>
      <c r="AR571" s="73" t="s">
        <v>320</v>
      </c>
    </row>
    <row r="572" spans="1:45" ht="12" hidden="1" customHeight="1" outlineLevel="4" x14ac:dyDescent="0.2">
      <c r="A572" s="60" t="s">
        <v>567</v>
      </c>
      <c r="B572" s="45"/>
      <c r="C572" s="45"/>
      <c r="D572" s="46">
        <v>2708.35</v>
      </c>
      <c r="E572" s="45"/>
      <c r="F572" s="45"/>
      <c r="G572" s="45"/>
      <c r="AI572" s="76"/>
      <c r="AR572" s="73" t="s">
        <v>326</v>
      </c>
    </row>
    <row r="573" spans="1:45" ht="23.25" hidden="1" customHeight="1" outlineLevel="3" collapsed="1" x14ac:dyDescent="0.2">
      <c r="A573" s="77" t="s">
        <v>776</v>
      </c>
      <c r="B573" s="45"/>
      <c r="C573" s="45"/>
      <c r="D573" s="46">
        <v>153350</v>
      </c>
      <c r="E573" s="45"/>
      <c r="F573" s="45"/>
      <c r="G573" s="45"/>
      <c r="AS573" s="72" t="s">
        <v>356</v>
      </c>
    </row>
    <row r="574" spans="1:45" ht="12" hidden="1" customHeight="1" outlineLevel="4" x14ac:dyDescent="0.2">
      <c r="A574" s="60" t="s">
        <v>495</v>
      </c>
      <c r="B574" s="45"/>
      <c r="C574" s="45"/>
      <c r="D574" s="46">
        <v>153350</v>
      </c>
      <c r="E574" s="45"/>
      <c r="F574" s="45"/>
      <c r="G574" s="45"/>
    </row>
    <row r="575" spans="1:45" ht="23.25" hidden="1" customHeight="1" outlineLevel="3" collapsed="1" x14ac:dyDescent="0.2">
      <c r="A575" s="77" t="s">
        <v>775</v>
      </c>
      <c r="B575" s="45"/>
      <c r="C575" s="45"/>
      <c r="D575" s="46">
        <v>148680</v>
      </c>
      <c r="E575" s="45"/>
      <c r="F575" s="45"/>
      <c r="G575" s="45"/>
      <c r="AS575" s="72" t="s">
        <v>356</v>
      </c>
    </row>
    <row r="576" spans="1:45" ht="12" hidden="1" customHeight="1" outlineLevel="4" x14ac:dyDescent="0.2">
      <c r="A576" s="60" t="s">
        <v>495</v>
      </c>
      <c r="B576" s="45"/>
      <c r="C576" s="45"/>
      <c r="D576" s="46">
        <v>148680</v>
      </c>
      <c r="E576" s="45"/>
      <c r="F576" s="45"/>
      <c r="G576" s="45"/>
    </row>
    <row r="577" spans="1:47" ht="12" hidden="1" customHeight="1" outlineLevel="3" x14ac:dyDescent="0.2">
      <c r="A577" s="77" t="s">
        <v>774</v>
      </c>
      <c r="B577" s="45"/>
      <c r="C577" s="45"/>
      <c r="D577" s="46">
        <v>97000</v>
      </c>
      <c r="E577" s="45"/>
      <c r="F577" s="45"/>
      <c r="G577" s="45"/>
    </row>
    <row r="578" spans="1:47" ht="23.25" hidden="1" customHeight="1" outlineLevel="4" x14ac:dyDescent="0.2">
      <c r="A578" s="60" t="s">
        <v>653</v>
      </c>
      <c r="B578" s="45"/>
      <c r="C578" s="45"/>
      <c r="D578" s="46">
        <v>54500</v>
      </c>
      <c r="E578" s="45"/>
      <c r="F578" s="45"/>
      <c r="G578" s="45"/>
      <c r="AU578" s="73" t="s">
        <v>159</v>
      </c>
    </row>
    <row r="579" spans="1:47" ht="12" hidden="1" customHeight="1" outlineLevel="4" x14ac:dyDescent="0.2">
      <c r="A579" s="60" t="s">
        <v>568</v>
      </c>
      <c r="B579" s="45"/>
      <c r="C579" s="45"/>
      <c r="D579" s="46">
        <v>42500</v>
      </c>
      <c r="E579" s="45"/>
      <c r="F579" s="45"/>
      <c r="G579" s="45"/>
      <c r="AU579" s="73" t="s">
        <v>320</v>
      </c>
    </row>
    <row r="580" spans="1:47" ht="23.25" hidden="1" customHeight="1" outlineLevel="3" x14ac:dyDescent="0.2">
      <c r="A580" s="80" t="s">
        <v>773</v>
      </c>
      <c r="B580" s="45"/>
      <c r="C580" s="45"/>
      <c r="D580" s="46">
        <v>206305.76</v>
      </c>
      <c r="E580" s="45"/>
      <c r="F580" s="45"/>
      <c r="G580" s="45"/>
    </row>
    <row r="581" spans="1:47" ht="23.25" hidden="1" customHeight="1" outlineLevel="4" x14ac:dyDescent="0.2">
      <c r="A581" s="60" t="s">
        <v>659</v>
      </c>
      <c r="B581" s="45"/>
      <c r="C581" s="45"/>
      <c r="D581" s="46">
        <v>59668.46</v>
      </c>
      <c r="E581" s="45"/>
      <c r="F581" s="45"/>
      <c r="G581" s="45"/>
      <c r="AN581" s="74" t="s">
        <v>152</v>
      </c>
    </row>
    <row r="582" spans="1:47" ht="12" hidden="1" customHeight="1" outlineLevel="4" x14ac:dyDescent="0.2">
      <c r="A582" s="60" t="s">
        <v>485</v>
      </c>
      <c r="B582" s="45"/>
      <c r="C582" s="45"/>
      <c r="D582" s="46">
        <v>37599.42</v>
      </c>
      <c r="E582" s="45"/>
      <c r="F582" s="45"/>
      <c r="G582" s="45"/>
      <c r="AN582" s="73" t="s">
        <v>181</v>
      </c>
    </row>
    <row r="583" spans="1:47" ht="12" hidden="1" customHeight="1" outlineLevel="4" x14ac:dyDescent="0.2">
      <c r="A583" s="60" t="s">
        <v>613</v>
      </c>
      <c r="B583" s="45"/>
      <c r="C583" s="45"/>
      <c r="D583" s="46">
        <v>84353.12</v>
      </c>
      <c r="E583" s="45"/>
      <c r="F583" s="45"/>
      <c r="G583" s="45"/>
      <c r="AN583" s="73" t="s">
        <v>263</v>
      </c>
    </row>
    <row r="584" spans="1:47" ht="12" hidden="1" customHeight="1" outlineLevel="4" x14ac:dyDescent="0.2">
      <c r="A584" s="60" t="s">
        <v>568</v>
      </c>
      <c r="B584" s="45"/>
      <c r="C584" s="45"/>
      <c r="D584" s="46">
        <v>24684.76</v>
      </c>
      <c r="E584" s="45"/>
      <c r="F584" s="45"/>
      <c r="G584" s="45"/>
      <c r="AN584" s="73" t="s">
        <v>320</v>
      </c>
    </row>
    <row r="585" spans="1:47" ht="12" hidden="1" customHeight="1" outlineLevel="3" x14ac:dyDescent="0.2">
      <c r="A585" s="77" t="s">
        <v>772</v>
      </c>
      <c r="B585" s="45"/>
      <c r="C585" s="45"/>
      <c r="D585" s="46">
        <v>39000</v>
      </c>
      <c r="E585" s="45"/>
      <c r="F585" s="45"/>
      <c r="G585" s="45"/>
    </row>
    <row r="586" spans="1:47" ht="12" hidden="1" customHeight="1" outlineLevel="4" x14ac:dyDescent="0.2">
      <c r="A586" s="60" t="s">
        <v>634</v>
      </c>
      <c r="B586" s="45"/>
      <c r="C586" s="45"/>
      <c r="D586" s="46">
        <v>13000</v>
      </c>
      <c r="E586" s="45"/>
      <c r="F586" s="45"/>
      <c r="G586" s="45"/>
      <c r="AT586" s="73" t="s">
        <v>198</v>
      </c>
    </row>
    <row r="587" spans="1:47" ht="23.25" hidden="1" customHeight="1" outlineLevel="4" x14ac:dyDescent="0.2">
      <c r="A587" s="60" t="s">
        <v>697</v>
      </c>
      <c r="B587" s="45"/>
      <c r="C587" s="45"/>
      <c r="D587" s="46">
        <v>16000</v>
      </c>
      <c r="E587" s="45"/>
      <c r="F587" s="45"/>
      <c r="G587" s="45"/>
      <c r="AT587" s="73" t="s">
        <v>220</v>
      </c>
    </row>
    <row r="588" spans="1:47" ht="23.25" hidden="1" customHeight="1" outlineLevel="4" x14ac:dyDescent="0.2">
      <c r="A588" s="60" t="s">
        <v>681</v>
      </c>
      <c r="B588" s="45"/>
      <c r="C588" s="45"/>
      <c r="D588" s="46">
        <v>10000</v>
      </c>
      <c r="E588" s="45"/>
      <c r="F588" s="45"/>
      <c r="G588" s="45"/>
      <c r="AT588" s="73" t="s">
        <v>236</v>
      </c>
    </row>
    <row r="589" spans="1:47" ht="12" hidden="1" customHeight="1" outlineLevel="3" x14ac:dyDescent="0.2">
      <c r="A589" s="80" t="s">
        <v>771</v>
      </c>
      <c r="B589" s="45"/>
      <c r="C589" s="45"/>
      <c r="D589" s="46">
        <v>6440.57</v>
      </c>
      <c r="E589" s="45"/>
      <c r="F589" s="45"/>
      <c r="G589" s="45"/>
    </row>
    <row r="590" spans="1:47" ht="23.25" hidden="1" customHeight="1" outlineLevel="4" x14ac:dyDescent="0.2">
      <c r="A590" s="60" t="s">
        <v>481</v>
      </c>
      <c r="B590" s="45"/>
      <c r="C590" s="45"/>
      <c r="D590" s="46">
        <v>6440.57</v>
      </c>
      <c r="E590" s="45"/>
      <c r="F590" s="45"/>
      <c r="G590" s="45"/>
      <c r="R590" s="73" t="s">
        <v>252</v>
      </c>
    </row>
    <row r="591" spans="1:47" ht="12" hidden="1" customHeight="1" outlineLevel="3" x14ac:dyDescent="0.2">
      <c r="A591" s="77" t="s">
        <v>385</v>
      </c>
      <c r="B591" s="45"/>
      <c r="C591" s="45"/>
      <c r="D591" s="46">
        <v>9854827.1999999993</v>
      </c>
      <c r="E591" s="45"/>
      <c r="F591" s="45"/>
      <c r="G591" s="45"/>
    </row>
    <row r="592" spans="1:47" ht="12" hidden="1" customHeight="1" outlineLevel="4" x14ac:dyDescent="0.2">
      <c r="A592" s="60" t="s">
        <v>740</v>
      </c>
      <c r="B592" s="45"/>
      <c r="C592" s="45"/>
      <c r="D592" s="46">
        <v>6552.39</v>
      </c>
      <c r="E592" s="45"/>
      <c r="F592" s="45"/>
      <c r="G592" s="45"/>
      <c r="AL592" s="73" t="s">
        <v>75</v>
      </c>
    </row>
    <row r="593" spans="1:38" ht="12" hidden="1" customHeight="1" outlineLevel="4" x14ac:dyDescent="0.2">
      <c r="A593" s="60" t="s">
        <v>672</v>
      </c>
      <c r="B593" s="45"/>
      <c r="C593" s="45"/>
      <c r="D593" s="46">
        <v>250375.85</v>
      </c>
      <c r="E593" s="45"/>
      <c r="F593" s="45"/>
      <c r="G593" s="45"/>
      <c r="AL593" s="73" t="s">
        <v>172</v>
      </c>
    </row>
    <row r="594" spans="1:38" ht="12" hidden="1" customHeight="1" outlineLevel="4" x14ac:dyDescent="0.2">
      <c r="A594" s="60" t="s">
        <v>670</v>
      </c>
      <c r="B594" s="45"/>
      <c r="C594" s="45"/>
      <c r="D594" s="46">
        <v>255866.34</v>
      </c>
      <c r="E594" s="45"/>
      <c r="F594" s="45"/>
      <c r="G594" s="45"/>
      <c r="AL594" s="73" t="s">
        <v>163</v>
      </c>
    </row>
    <row r="595" spans="1:38" ht="12" hidden="1" customHeight="1" outlineLevel="4" x14ac:dyDescent="0.2">
      <c r="A595" s="60" t="s">
        <v>490</v>
      </c>
      <c r="B595" s="45"/>
      <c r="C595" s="45"/>
      <c r="D595" s="46">
        <v>228421.61</v>
      </c>
      <c r="E595" s="45"/>
      <c r="F595" s="45"/>
      <c r="G595" s="45"/>
      <c r="AL595" s="73" t="s">
        <v>178</v>
      </c>
    </row>
    <row r="596" spans="1:38" ht="12" hidden="1" customHeight="1" outlineLevel="4" x14ac:dyDescent="0.2">
      <c r="A596" s="60" t="s">
        <v>663</v>
      </c>
      <c r="B596" s="45"/>
      <c r="C596" s="45"/>
      <c r="D596" s="46">
        <v>246437.55</v>
      </c>
      <c r="E596" s="45"/>
      <c r="F596" s="45"/>
      <c r="G596" s="45"/>
      <c r="AL596" s="73" t="s">
        <v>165</v>
      </c>
    </row>
    <row r="597" spans="1:38" ht="23.25" hidden="1" customHeight="1" outlineLevel="4" x14ac:dyDescent="0.2">
      <c r="A597" s="60" t="s">
        <v>654</v>
      </c>
      <c r="B597" s="45"/>
      <c r="C597" s="45"/>
      <c r="D597" s="46">
        <v>308093.62</v>
      </c>
      <c r="E597" s="45"/>
      <c r="F597" s="45"/>
      <c r="G597" s="45"/>
      <c r="AL597" s="73" t="s">
        <v>158</v>
      </c>
    </row>
    <row r="598" spans="1:38" ht="23.25" hidden="1" customHeight="1" outlineLevel="4" x14ac:dyDescent="0.2">
      <c r="A598" s="60" t="s">
        <v>651</v>
      </c>
      <c r="B598" s="45"/>
      <c r="C598" s="45"/>
      <c r="D598" s="46">
        <v>276298.95</v>
      </c>
      <c r="E598" s="45"/>
      <c r="F598" s="45"/>
      <c r="G598" s="45"/>
      <c r="AL598" s="73" t="s">
        <v>162</v>
      </c>
    </row>
    <row r="599" spans="1:38" ht="23.25" hidden="1" customHeight="1" outlineLevel="4" x14ac:dyDescent="0.2">
      <c r="A599" s="60" t="s">
        <v>647</v>
      </c>
      <c r="B599" s="45"/>
      <c r="C599" s="45"/>
      <c r="D599" s="46">
        <v>247672.6</v>
      </c>
      <c r="E599" s="45"/>
      <c r="F599" s="45"/>
      <c r="G599" s="45"/>
      <c r="AL599" s="73" t="s">
        <v>149</v>
      </c>
    </row>
    <row r="600" spans="1:38" ht="23.25" hidden="1" customHeight="1" outlineLevel="4" x14ac:dyDescent="0.2">
      <c r="A600" s="60" t="s">
        <v>646</v>
      </c>
      <c r="B600" s="45"/>
      <c r="C600" s="45"/>
      <c r="D600" s="46">
        <v>259699.14</v>
      </c>
      <c r="E600" s="45"/>
      <c r="F600" s="45"/>
      <c r="G600" s="45"/>
      <c r="AL600" s="74" t="s">
        <v>150</v>
      </c>
    </row>
    <row r="601" spans="1:38" ht="34.5" hidden="1" customHeight="1" outlineLevel="4" x14ac:dyDescent="0.2">
      <c r="A601" s="60" t="s">
        <v>545</v>
      </c>
      <c r="B601" s="45"/>
      <c r="C601" s="45"/>
      <c r="D601" s="46">
        <v>1806.79</v>
      </c>
      <c r="E601" s="45"/>
      <c r="F601" s="45"/>
      <c r="G601" s="45"/>
      <c r="AL601" s="73" t="s">
        <v>105</v>
      </c>
    </row>
    <row r="602" spans="1:38" ht="12" hidden="1" customHeight="1" outlineLevel="4" x14ac:dyDescent="0.2">
      <c r="A602" s="60" t="s">
        <v>726</v>
      </c>
      <c r="B602" s="45"/>
      <c r="C602" s="45"/>
      <c r="D602" s="46">
        <v>256242.49</v>
      </c>
      <c r="E602" s="45"/>
      <c r="F602" s="45"/>
      <c r="G602" s="45"/>
      <c r="AL602" s="73" t="s">
        <v>118</v>
      </c>
    </row>
    <row r="603" spans="1:38" ht="12" hidden="1" customHeight="1" outlineLevel="4" x14ac:dyDescent="0.2">
      <c r="A603" s="60" t="s">
        <v>564</v>
      </c>
      <c r="B603" s="45"/>
      <c r="C603" s="45"/>
      <c r="D603" s="46">
        <v>220168.83</v>
      </c>
      <c r="E603" s="45"/>
      <c r="F603" s="45"/>
      <c r="G603" s="45"/>
      <c r="AL603" s="73" t="s">
        <v>131</v>
      </c>
    </row>
    <row r="604" spans="1:38" ht="12" hidden="1" customHeight="1" outlineLevel="4" x14ac:dyDescent="0.2">
      <c r="A604" s="60" t="s">
        <v>563</v>
      </c>
      <c r="B604" s="45"/>
      <c r="C604" s="45"/>
      <c r="D604" s="46">
        <v>243924.19</v>
      </c>
      <c r="E604" s="45"/>
      <c r="F604" s="45"/>
      <c r="G604" s="45"/>
      <c r="AL604" s="73" t="s">
        <v>132</v>
      </c>
    </row>
    <row r="605" spans="1:38" ht="12" hidden="1" customHeight="1" outlineLevel="4" x14ac:dyDescent="0.2">
      <c r="A605" s="60" t="s">
        <v>643</v>
      </c>
      <c r="B605" s="45"/>
      <c r="C605" s="45"/>
      <c r="D605" s="46">
        <v>290761.75</v>
      </c>
      <c r="E605" s="45"/>
      <c r="F605" s="45"/>
      <c r="G605" s="45"/>
      <c r="AL605" s="73" t="s">
        <v>187</v>
      </c>
    </row>
    <row r="606" spans="1:38" ht="12" hidden="1" customHeight="1" outlineLevel="4" x14ac:dyDescent="0.2">
      <c r="A606" s="60" t="s">
        <v>633</v>
      </c>
      <c r="B606" s="45"/>
      <c r="C606" s="45"/>
      <c r="D606" s="46">
        <v>271463.23</v>
      </c>
      <c r="E606" s="45"/>
      <c r="F606" s="45"/>
      <c r="G606" s="45"/>
      <c r="AL606" s="73" t="s">
        <v>199</v>
      </c>
    </row>
    <row r="607" spans="1:38" ht="12" hidden="1" customHeight="1" outlineLevel="4" x14ac:dyDescent="0.2">
      <c r="A607" s="60" t="s">
        <v>632</v>
      </c>
      <c r="B607" s="45"/>
      <c r="C607" s="45"/>
      <c r="D607" s="46">
        <v>266414.62</v>
      </c>
      <c r="E607" s="45"/>
      <c r="F607" s="45"/>
      <c r="G607" s="45"/>
      <c r="AL607" s="73" t="s">
        <v>200</v>
      </c>
    </row>
    <row r="608" spans="1:38" ht="12" hidden="1" customHeight="1" outlineLevel="4" x14ac:dyDescent="0.2">
      <c r="A608" s="60" t="s">
        <v>631</v>
      </c>
      <c r="B608" s="45"/>
      <c r="C608" s="45"/>
      <c r="D608" s="46">
        <v>328852.31</v>
      </c>
      <c r="E608" s="45"/>
      <c r="F608" s="45"/>
      <c r="G608" s="45"/>
      <c r="AL608" s="73" t="s">
        <v>201</v>
      </c>
    </row>
    <row r="609" spans="1:38" ht="12" hidden="1" customHeight="1" outlineLevel="4" x14ac:dyDescent="0.2">
      <c r="A609" s="60" t="s">
        <v>627</v>
      </c>
      <c r="B609" s="45"/>
      <c r="C609" s="45"/>
      <c r="D609" s="46">
        <v>255361.02</v>
      </c>
      <c r="E609" s="45"/>
      <c r="F609" s="45"/>
      <c r="G609" s="45"/>
      <c r="AL609" s="73" t="s">
        <v>204</v>
      </c>
    </row>
    <row r="610" spans="1:38" ht="12" hidden="1" customHeight="1" outlineLevel="4" x14ac:dyDescent="0.2">
      <c r="A610" s="60" t="s">
        <v>626</v>
      </c>
      <c r="B610" s="45"/>
      <c r="C610" s="45"/>
      <c r="D610" s="46">
        <v>239612.99</v>
      </c>
      <c r="E610" s="45"/>
      <c r="F610" s="45"/>
      <c r="G610" s="45"/>
      <c r="AL610" s="73" t="s">
        <v>205</v>
      </c>
    </row>
    <row r="611" spans="1:38" ht="12" hidden="1" customHeight="1" outlineLevel="4" x14ac:dyDescent="0.2">
      <c r="A611" s="60" t="s">
        <v>624</v>
      </c>
      <c r="B611" s="45"/>
      <c r="C611" s="45"/>
      <c r="D611" s="46">
        <v>245719.83</v>
      </c>
      <c r="E611" s="45"/>
      <c r="F611" s="45"/>
      <c r="G611" s="45"/>
      <c r="AL611" s="74" t="s">
        <v>183</v>
      </c>
    </row>
    <row r="612" spans="1:38" ht="23.25" hidden="1" customHeight="1" outlineLevel="4" x14ac:dyDescent="0.2">
      <c r="A612" s="60" t="s">
        <v>711</v>
      </c>
      <c r="B612" s="45"/>
      <c r="C612" s="45"/>
      <c r="D612" s="46">
        <v>242247.84</v>
      </c>
      <c r="E612" s="45"/>
      <c r="F612" s="45"/>
      <c r="G612" s="45"/>
      <c r="AL612" s="73" t="s">
        <v>244</v>
      </c>
    </row>
    <row r="613" spans="1:38" ht="23.25" hidden="1" customHeight="1" outlineLevel="4" x14ac:dyDescent="0.2">
      <c r="A613" s="60" t="s">
        <v>708</v>
      </c>
      <c r="B613" s="45"/>
      <c r="C613" s="45"/>
      <c r="D613" s="46">
        <v>291894.23</v>
      </c>
      <c r="E613" s="45"/>
      <c r="F613" s="45"/>
      <c r="G613" s="45"/>
      <c r="AL613" s="73" t="s">
        <v>247</v>
      </c>
    </row>
    <row r="614" spans="1:38" ht="23.25" hidden="1" customHeight="1" outlineLevel="4" x14ac:dyDescent="0.2">
      <c r="A614" s="60" t="s">
        <v>700</v>
      </c>
      <c r="B614" s="45"/>
      <c r="C614" s="45"/>
      <c r="D614" s="46">
        <v>233357.17</v>
      </c>
      <c r="E614" s="45"/>
      <c r="F614" s="45"/>
      <c r="G614" s="45"/>
      <c r="AL614" s="73" t="s">
        <v>217</v>
      </c>
    </row>
    <row r="615" spans="1:38" ht="23.25" hidden="1" customHeight="1" outlineLevel="4" x14ac:dyDescent="0.2">
      <c r="A615" s="60" t="s">
        <v>696</v>
      </c>
      <c r="B615" s="45"/>
      <c r="C615" s="45"/>
      <c r="D615" s="46">
        <v>234873.75</v>
      </c>
      <c r="E615" s="45"/>
      <c r="F615" s="45"/>
      <c r="G615" s="45"/>
      <c r="AL615" s="73" t="s">
        <v>221</v>
      </c>
    </row>
    <row r="616" spans="1:38" ht="23.25" hidden="1" customHeight="1" outlineLevel="4" x14ac:dyDescent="0.2">
      <c r="A616" s="60" t="s">
        <v>687</v>
      </c>
      <c r="B616" s="45"/>
      <c r="C616" s="45"/>
      <c r="D616" s="46">
        <v>294870.27</v>
      </c>
      <c r="E616" s="45"/>
      <c r="F616" s="45"/>
      <c r="G616" s="45"/>
      <c r="AL616" s="73" t="s">
        <v>230</v>
      </c>
    </row>
    <row r="617" spans="1:38" ht="23.25" hidden="1" customHeight="1" outlineLevel="4" x14ac:dyDescent="0.2">
      <c r="A617" s="60" t="s">
        <v>686</v>
      </c>
      <c r="B617" s="45"/>
      <c r="C617" s="45"/>
      <c r="D617" s="46">
        <v>275946.65000000002</v>
      </c>
      <c r="E617" s="45"/>
      <c r="F617" s="45"/>
      <c r="G617" s="45"/>
      <c r="AL617" s="73" t="s">
        <v>231</v>
      </c>
    </row>
    <row r="618" spans="1:38" ht="23.25" hidden="1" customHeight="1" outlineLevel="4" x14ac:dyDescent="0.2">
      <c r="A618" s="60" t="s">
        <v>683</v>
      </c>
      <c r="B618" s="45"/>
      <c r="C618" s="45"/>
      <c r="D618" s="46">
        <v>265268.84999999998</v>
      </c>
      <c r="E618" s="45"/>
      <c r="F618" s="45"/>
      <c r="G618" s="45"/>
      <c r="AL618" s="73" t="s">
        <v>234</v>
      </c>
    </row>
    <row r="619" spans="1:38" ht="23.25" hidden="1" customHeight="1" outlineLevel="4" x14ac:dyDescent="0.2">
      <c r="A619" s="60" t="s">
        <v>682</v>
      </c>
      <c r="B619" s="45"/>
      <c r="C619" s="45"/>
      <c r="D619" s="46">
        <v>290595.59000000003</v>
      </c>
      <c r="E619" s="45"/>
      <c r="F619" s="45"/>
      <c r="G619" s="45"/>
      <c r="AL619" s="73" t="s">
        <v>235</v>
      </c>
    </row>
    <row r="620" spans="1:38" ht="12" hidden="1" customHeight="1" outlineLevel="4" x14ac:dyDescent="0.2">
      <c r="A620" s="60" t="s">
        <v>586</v>
      </c>
      <c r="B620" s="45"/>
      <c r="C620" s="45"/>
      <c r="D620" s="46">
        <v>265722.18</v>
      </c>
      <c r="E620" s="45"/>
      <c r="F620" s="45"/>
      <c r="G620" s="45"/>
      <c r="AL620" s="73" t="s">
        <v>262</v>
      </c>
    </row>
    <row r="621" spans="1:38" ht="12" hidden="1" customHeight="1" outlineLevel="4" x14ac:dyDescent="0.2">
      <c r="A621" s="60" t="s">
        <v>607</v>
      </c>
      <c r="B621" s="45"/>
      <c r="C621" s="45"/>
      <c r="D621" s="46">
        <v>552625.92000000004</v>
      </c>
      <c r="E621" s="45"/>
      <c r="F621" s="45"/>
      <c r="G621" s="45"/>
      <c r="AL621" s="73" t="s">
        <v>271</v>
      </c>
    </row>
    <row r="622" spans="1:38" ht="12" hidden="1" customHeight="1" outlineLevel="4" x14ac:dyDescent="0.2">
      <c r="A622" s="60" t="s">
        <v>597</v>
      </c>
      <c r="B622" s="45"/>
      <c r="C622" s="45"/>
      <c r="D622" s="46">
        <v>387719.72</v>
      </c>
      <c r="E622" s="45"/>
      <c r="F622" s="45"/>
      <c r="G622" s="45"/>
      <c r="AL622" s="73" t="s">
        <v>280</v>
      </c>
    </row>
    <row r="623" spans="1:38" ht="12" hidden="1" customHeight="1" outlineLevel="4" x14ac:dyDescent="0.2">
      <c r="A623" s="60" t="s">
        <v>592</v>
      </c>
      <c r="B623" s="45"/>
      <c r="C623" s="45"/>
      <c r="D623" s="46">
        <v>329127.38</v>
      </c>
      <c r="E623" s="45"/>
      <c r="F623" s="45"/>
      <c r="G623" s="45"/>
      <c r="AL623" s="73" t="s">
        <v>285</v>
      </c>
    </row>
    <row r="624" spans="1:38" ht="12" hidden="1" customHeight="1" outlineLevel="4" x14ac:dyDescent="0.2">
      <c r="A624" s="60" t="s">
        <v>591</v>
      </c>
      <c r="B624" s="45"/>
      <c r="C624" s="45"/>
      <c r="D624" s="46">
        <v>543476.51</v>
      </c>
      <c r="E624" s="45"/>
      <c r="F624" s="45"/>
      <c r="G624" s="45"/>
      <c r="AL624" s="73" t="s">
        <v>268</v>
      </c>
    </row>
    <row r="625" spans="1:38" ht="12" hidden="1" customHeight="1" outlineLevel="4" x14ac:dyDescent="0.2">
      <c r="A625" s="60" t="s">
        <v>589</v>
      </c>
      <c r="B625" s="45"/>
      <c r="C625" s="45"/>
      <c r="D625" s="46">
        <v>399418.68</v>
      </c>
      <c r="E625" s="45"/>
      <c r="F625" s="45"/>
      <c r="G625" s="45"/>
      <c r="AL625" s="73" t="s">
        <v>288</v>
      </c>
    </row>
    <row r="626" spans="1:38" ht="12" hidden="1" customHeight="1" outlineLevel="4" x14ac:dyDescent="0.2">
      <c r="A626" s="60" t="s">
        <v>519</v>
      </c>
      <c r="B626" s="45"/>
      <c r="C626" s="45"/>
      <c r="D626" s="46">
        <v>260265.73</v>
      </c>
      <c r="E626" s="45"/>
      <c r="F626" s="45"/>
      <c r="G626" s="45"/>
      <c r="AL626" s="73" t="s">
        <v>292</v>
      </c>
    </row>
    <row r="627" spans="1:38" ht="12" hidden="1" customHeight="1" outlineLevel="4" x14ac:dyDescent="0.2">
      <c r="A627" s="60" t="s">
        <v>551</v>
      </c>
      <c r="B627" s="45"/>
      <c r="C627" s="45"/>
      <c r="D627" s="46">
        <v>287670.63</v>
      </c>
      <c r="E627" s="45"/>
      <c r="F627" s="45"/>
      <c r="G627" s="45"/>
      <c r="AL627" s="73" t="s">
        <v>308</v>
      </c>
    </row>
    <row r="628" spans="1:38" ht="12" hidden="1" customHeight="1" outlineLevel="3" x14ac:dyDescent="0.2">
      <c r="A628" s="77" t="s">
        <v>384</v>
      </c>
      <c r="B628" s="45"/>
      <c r="C628" s="45"/>
      <c r="D628" s="46">
        <v>135236.84</v>
      </c>
      <c r="E628" s="45"/>
      <c r="F628" s="45"/>
      <c r="G628" s="45"/>
    </row>
    <row r="629" spans="1:38" ht="12" hidden="1" customHeight="1" outlineLevel="4" x14ac:dyDescent="0.2">
      <c r="A629" s="60" t="s">
        <v>671</v>
      </c>
      <c r="B629" s="45"/>
      <c r="C629" s="45"/>
      <c r="D629" s="46">
        <v>4117.2700000000004</v>
      </c>
      <c r="E629" s="45"/>
      <c r="F629" s="45"/>
      <c r="G629" s="45"/>
      <c r="AJ629" s="73" t="s">
        <v>173</v>
      </c>
    </row>
    <row r="630" spans="1:38" ht="12" hidden="1" customHeight="1" outlineLevel="4" x14ac:dyDescent="0.2">
      <c r="A630" s="60" t="s">
        <v>668</v>
      </c>
      <c r="B630" s="45"/>
      <c r="C630" s="45"/>
      <c r="D630" s="46">
        <v>7039.59</v>
      </c>
      <c r="E630" s="45"/>
      <c r="F630" s="45"/>
      <c r="G630" s="45"/>
      <c r="AJ630" s="73" t="s">
        <v>174</v>
      </c>
    </row>
    <row r="631" spans="1:38" ht="12" hidden="1" customHeight="1" outlineLevel="4" x14ac:dyDescent="0.2">
      <c r="A631" s="60" t="s">
        <v>488</v>
      </c>
      <c r="B631" s="45"/>
      <c r="C631" s="45"/>
      <c r="D631" s="46">
        <v>2520</v>
      </c>
      <c r="E631" s="45"/>
      <c r="F631" s="45"/>
      <c r="G631" s="45"/>
      <c r="AJ631" s="73" t="s">
        <v>180</v>
      </c>
    </row>
    <row r="632" spans="1:38" ht="23.25" hidden="1" customHeight="1" outlineLevel="4" x14ac:dyDescent="0.2">
      <c r="A632" s="60" t="s">
        <v>651</v>
      </c>
      <c r="B632" s="45"/>
      <c r="C632" s="45"/>
      <c r="D632" s="46">
        <v>2931.25</v>
      </c>
      <c r="E632" s="45"/>
      <c r="F632" s="45"/>
      <c r="G632" s="45"/>
      <c r="AJ632" s="73" t="s">
        <v>162</v>
      </c>
    </row>
    <row r="633" spans="1:38" ht="23.25" hidden="1" customHeight="1" outlineLevel="4" x14ac:dyDescent="0.2">
      <c r="A633" s="60" t="s">
        <v>546</v>
      </c>
      <c r="B633" s="45"/>
      <c r="C633" s="45"/>
      <c r="D633" s="46">
        <v>2806</v>
      </c>
      <c r="E633" s="45"/>
      <c r="F633" s="45"/>
      <c r="G633" s="45"/>
      <c r="AJ633" s="73" t="s">
        <v>103</v>
      </c>
    </row>
    <row r="634" spans="1:38" ht="23.25" hidden="1" customHeight="1" outlineLevel="4" x14ac:dyDescent="0.2">
      <c r="A634" s="60" t="s">
        <v>542</v>
      </c>
      <c r="B634" s="45"/>
      <c r="C634" s="45"/>
      <c r="D634" s="46">
        <v>11578.49</v>
      </c>
      <c r="E634" s="45"/>
      <c r="F634" s="45"/>
      <c r="G634" s="45"/>
      <c r="AJ634" s="73" t="s">
        <v>107</v>
      </c>
    </row>
    <row r="635" spans="1:38" ht="12" hidden="1" customHeight="1" outlineLevel="4" x14ac:dyDescent="0.2">
      <c r="A635" s="60" t="s">
        <v>535</v>
      </c>
      <c r="B635" s="45"/>
      <c r="C635" s="45"/>
      <c r="D635" s="46">
        <v>4464</v>
      </c>
      <c r="E635" s="45"/>
      <c r="F635" s="45"/>
      <c r="G635" s="45"/>
      <c r="AJ635" s="73" t="s">
        <v>127</v>
      </c>
    </row>
    <row r="636" spans="1:38" ht="12" hidden="1" customHeight="1" outlineLevel="4" x14ac:dyDescent="0.2">
      <c r="A636" s="60" t="s">
        <v>533</v>
      </c>
      <c r="B636" s="45"/>
      <c r="C636" s="45"/>
      <c r="D636" s="46">
        <v>4721</v>
      </c>
      <c r="E636" s="45"/>
      <c r="F636" s="45"/>
      <c r="G636" s="45"/>
      <c r="AJ636" s="73" t="s">
        <v>128</v>
      </c>
    </row>
    <row r="637" spans="1:38" ht="12" hidden="1" customHeight="1" outlineLevel="4" x14ac:dyDescent="0.2">
      <c r="A637" s="60" t="s">
        <v>486</v>
      </c>
      <c r="B637" s="45"/>
      <c r="C637" s="45"/>
      <c r="D637" s="46">
        <v>6409</v>
      </c>
      <c r="E637" s="45"/>
      <c r="F637" s="45"/>
      <c r="G637" s="45"/>
      <c r="AJ637" s="73" t="s">
        <v>124</v>
      </c>
    </row>
    <row r="638" spans="1:38" ht="23.25" hidden="1" customHeight="1" outlineLevel="4" x14ac:dyDescent="0.2">
      <c r="A638" s="60" t="s">
        <v>641</v>
      </c>
      <c r="B638" s="45"/>
      <c r="C638" s="45"/>
      <c r="D638" s="46">
        <v>3870.93</v>
      </c>
      <c r="E638" s="45"/>
      <c r="F638" s="45"/>
      <c r="G638" s="45"/>
      <c r="AJ638" s="73" t="s">
        <v>189</v>
      </c>
    </row>
    <row r="639" spans="1:38" ht="12" hidden="1" customHeight="1" outlineLevel="4" x14ac:dyDescent="0.2">
      <c r="A639" s="60" t="s">
        <v>631</v>
      </c>
      <c r="B639" s="45"/>
      <c r="C639" s="45"/>
      <c r="D639" s="46">
        <v>4464</v>
      </c>
      <c r="E639" s="45"/>
      <c r="F639" s="45"/>
      <c r="G639" s="45"/>
      <c r="AJ639" s="73" t="s">
        <v>201</v>
      </c>
    </row>
    <row r="640" spans="1:38" ht="23.25" hidden="1" customHeight="1" outlineLevel="4" x14ac:dyDescent="0.2">
      <c r="A640" s="60" t="s">
        <v>709</v>
      </c>
      <c r="B640" s="45"/>
      <c r="C640" s="45"/>
      <c r="D640" s="46">
        <v>3251.43</v>
      </c>
      <c r="E640" s="45"/>
      <c r="F640" s="45"/>
      <c r="G640" s="45"/>
      <c r="AJ640" s="73" t="s">
        <v>246</v>
      </c>
    </row>
    <row r="641" spans="1:36" ht="23.25" hidden="1" customHeight="1" outlineLevel="4" x14ac:dyDescent="0.2">
      <c r="A641" s="60" t="s">
        <v>702</v>
      </c>
      <c r="B641" s="45"/>
      <c r="C641" s="45"/>
      <c r="D641" s="46">
        <v>6460.75</v>
      </c>
      <c r="E641" s="45"/>
      <c r="F641" s="45"/>
      <c r="G641" s="45"/>
      <c r="AJ641" s="73" t="s">
        <v>214</v>
      </c>
    </row>
    <row r="642" spans="1:36" ht="23.25" hidden="1" customHeight="1" outlineLevel="4" x14ac:dyDescent="0.2">
      <c r="A642" s="60" t="s">
        <v>684</v>
      </c>
      <c r="B642" s="45"/>
      <c r="C642" s="45"/>
      <c r="D642" s="46">
        <v>10685.3</v>
      </c>
      <c r="E642" s="45"/>
      <c r="F642" s="45"/>
      <c r="G642" s="45"/>
      <c r="AJ642" s="73" t="s">
        <v>233</v>
      </c>
    </row>
    <row r="643" spans="1:36" ht="23.25" hidden="1" customHeight="1" outlineLevel="4" x14ac:dyDescent="0.2">
      <c r="A643" s="60" t="s">
        <v>683</v>
      </c>
      <c r="B643" s="45"/>
      <c r="C643" s="45"/>
      <c r="D643" s="46">
        <v>5109.8900000000003</v>
      </c>
      <c r="E643" s="45"/>
      <c r="F643" s="45"/>
      <c r="G643" s="45"/>
      <c r="AJ643" s="73" t="s">
        <v>234</v>
      </c>
    </row>
    <row r="644" spans="1:36" ht="12" hidden="1" customHeight="1" outlineLevel="4" x14ac:dyDescent="0.2">
      <c r="A644" s="60" t="s">
        <v>598</v>
      </c>
      <c r="B644" s="45"/>
      <c r="C644" s="45"/>
      <c r="D644" s="46">
        <v>3313.21</v>
      </c>
      <c r="E644" s="45"/>
      <c r="F644" s="45"/>
      <c r="G644" s="45"/>
      <c r="AJ644" s="73" t="s">
        <v>279</v>
      </c>
    </row>
    <row r="645" spans="1:36" ht="12" hidden="1" customHeight="1" outlineLevel="4" x14ac:dyDescent="0.2">
      <c r="A645" s="60" t="s">
        <v>593</v>
      </c>
      <c r="B645" s="45"/>
      <c r="C645" s="45"/>
      <c r="D645" s="46">
        <v>6164.18</v>
      </c>
      <c r="E645" s="45"/>
      <c r="F645" s="45"/>
      <c r="G645" s="45"/>
      <c r="AJ645" s="73" t="s">
        <v>284</v>
      </c>
    </row>
    <row r="646" spans="1:36" ht="12" hidden="1" customHeight="1" outlineLevel="4" x14ac:dyDescent="0.2">
      <c r="A646" s="60" t="s">
        <v>592</v>
      </c>
      <c r="B646" s="45"/>
      <c r="C646" s="45"/>
      <c r="D646" s="46">
        <v>20967.41</v>
      </c>
      <c r="E646" s="45"/>
      <c r="F646" s="45"/>
      <c r="G646" s="45"/>
      <c r="AJ646" s="73" t="s">
        <v>285</v>
      </c>
    </row>
    <row r="647" spans="1:36" ht="12" hidden="1" customHeight="1" outlineLevel="4" x14ac:dyDescent="0.2">
      <c r="A647" s="60" t="s">
        <v>589</v>
      </c>
      <c r="B647" s="45"/>
      <c r="C647" s="45"/>
      <c r="D647" s="46">
        <v>2931.25</v>
      </c>
      <c r="E647" s="45"/>
      <c r="F647" s="45"/>
      <c r="G647" s="45"/>
      <c r="AJ647" s="73" t="s">
        <v>288</v>
      </c>
    </row>
    <row r="648" spans="1:36" ht="12" hidden="1" customHeight="1" outlineLevel="4" x14ac:dyDescent="0.2">
      <c r="A648" s="60" t="s">
        <v>519</v>
      </c>
      <c r="B648" s="45"/>
      <c r="C648" s="45"/>
      <c r="D648" s="46">
        <v>16555.97</v>
      </c>
      <c r="E648" s="45"/>
      <c r="F648" s="45"/>
      <c r="G648" s="45"/>
      <c r="AJ648" s="73" t="s">
        <v>292</v>
      </c>
    </row>
    <row r="649" spans="1:36" ht="12" hidden="1" customHeight="1" outlineLevel="4" x14ac:dyDescent="0.2">
      <c r="A649" s="60" t="s">
        <v>515</v>
      </c>
      <c r="B649" s="45"/>
      <c r="C649" s="45"/>
      <c r="D649" s="46">
        <v>2638.04</v>
      </c>
      <c r="E649" s="45"/>
      <c r="F649" s="45"/>
      <c r="G649" s="45"/>
      <c r="AJ649" s="73" t="s">
        <v>296</v>
      </c>
    </row>
    <row r="650" spans="1:36" ht="12" hidden="1" customHeight="1" outlineLevel="4" x14ac:dyDescent="0.2">
      <c r="A650" s="60" t="s">
        <v>510</v>
      </c>
      <c r="B650" s="45"/>
      <c r="C650" s="45"/>
      <c r="D650" s="46">
        <v>2237.88</v>
      </c>
      <c r="E650" s="45"/>
      <c r="F650" s="45"/>
      <c r="G650" s="45"/>
      <c r="AJ650" s="73" t="s">
        <v>305</v>
      </c>
    </row>
    <row r="651" spans="1:36" ht="12" hidden="1" customHeight="1" outlineLevel="3" x14ac:dyDescent="0.2">
      <c r="A651" s="77" t="s">
        <v>346</v>
      </c>
      <c r="B651" s="45"/>
      <c r="C651" s="45"/>
      <c r="D651" s="46">
        <v>1312493.54</v>
      </c>
      <c r="E651" s="45"/>
      <c r="F651" s="45"/>
      <c r="G651" s="45"/>
    </row>
    <row r="652" spans="1:36" ht="12" hidden="1" customHeight="1" outlineLevel="4" x14ac:dyDescent="0.2">
      <c r="A652" s="60" t="s">
        <v>669</v>
      </c>
      <c r="B652" s="45"/>
      <c r="C652" s="45"/>
      <c r="D652" s="46">
        <v>79318.19</v>
      </c>
      <c r="E652" s="45"/>
      <c r="F652" s="45"/>
      <c r="G652" s="45"/>
      <c r="U652" s="73" t="s">
        <v>164</v>
      </c>
    </row>
    <row r="653" spans="1:36" ht="12" hidden="1" customHeight="1" outlineLevel="4" x14ac:dyDescent="0.2">
      <c r="A653" s="60" t="s">
        <v>491</v>
      </c>
      <c r="B653" s="45"/>
      <c r="C653" s="45"/>
      <c r="D653" s="46">
        <v>78844.36</v>
      </c>
      <c r="E653" s="45"/>
      <c r="F653" s="45"/>
      <c r="G653" s="45"/>
      <c r="U653" s="73" t="s">
        <v>176</v>
      </c>
    </row>
    <row r="654" spans="1:36" ht="12" hidden="1" customHeight="1" outlineLevel="4" x14ac:dyDescent="0.2">
      <c r="A654" s="60" t="s">
        <v>661</v>
      </c>
      <c r="B654" s="45"/>
      <c r="C654" s="45"/>
      <c r="D654" s="46">
        <v>119390.63</v>
      </c>
      <c r="E654" s="45"/>
      <c r="F654" s="45"/>
      <c r="G654" s="45"/>
      <c r="U654" s="73" t="s">
        <v>167</v>
      </c>
    </row>
    <row r="655" spans="1:36" ht="23.25" hidden="1" customHeight="1" outlineLevel="4" x14ac:dyDescent="0.2">
      <c r="A655" s="60" t="s">
        <v>648</v>
      </c>
      <c r="B655" s="45"/>
      <c r="C655" s="45"/>
      <c r="D655" s="46">
        <v>67785.69</v>
      </c>
      <c r="E655" s="45"/>
      <c r="F655" s="45"/>
      <c r="G655" s="45"/>
      <c r="U655" s="73" t="s">
        <v>147</v>
      </c>
    </row>
    <row r="656" spans="1:36" ht="12" hidden="1" customHeight="1" outlineLevel="4" x14ac:dyDescent="0.2">
      <c r="A656" s="60" t="s">
        <v>566</v>
      </c>
      <c r="B656" s="45"/>
      <c r="C656" s="45"/>
      <c r="D656" s="46">
        <v>232919.58</v>
      </c>
      <c r="E656" s="45"/>
      <c r="F656" s="45"/>
      <c r="G656" s="45"/>
      <c r="U656" s="73" t="s">
        <v>133</v>
      </c>
    </row>
    <row r="657" spans="1:21" ht="12" hidden="1" customHeight="1" outlineLevel="4" x14ac:dyDescent="0.2">
      <c r="A657" s="60" t="s">
        <v>645</v>
      </c>
      <c r="B657" s="45"/>
      <c r="C657" s="45"/>
      <c r="D657" s="46">
        <v>42127</v>
      </c>
      <c r="E657" s="45"/>
      <c r="F657" s="45"/>
      <c r="G657" s="45"/>
      <c r="U657" s="73" t="s">
        <v>185</v>
      </c>
    </row>
    <row r="658" spans="1:21" ht="23.25" hidden="1" customHeight="1" outlineLevel="4" x14ac:dyDescent="0.2">
      <c r="A658" s="60" t="s">
        <v>692</v>
      </c>
      <c r="B658" s="45"/>
      <c r="C658" s="45"/>
      <c r="D658" s="46">
        <v>341171.20000000001</v>
      </c>
      <c r="E658" s="45"/>
      <c r="F658" s="45"/>
      <c r="G658" s="45"/>
      <c r="U658" s="73" t="s">
        <v>225</v>
      </c>
    </row>
    <row r="659" spans="1:21" ht="23.25" hidden="1" customHeight="1" outlineLevel="4" x14ac:dyDescent="0.2">
      <c r="A659" s="60" t="s">
        <v>684</v>
      </c>
      <c r="B659" s="45"/>
      <c r="C659" s="45"/>
      <c r="D659" s="46">
        <v>114139.09</v>
      </c>
      <c r="E659" s="45"/>
      <c r="F659" s="45"/>
      <c r="G659" s="45"/>
      <c r="U659" s="73" t="s">
        <v>233</v>
      </c>
    </row>
    <row r="660" spans="1:21" ht="12" hidden="1" customHeight="1" outlineLevel="4" x14ac:dyDescent="0.2">
      <c r="A660" s="60" t="s">
        <v>613</v>
      </c>
      <c r="B660" s="45"/>
      <c r="C660" s="45"/>
      <c r="D660" s="46">
        <v>65497</v>
      </c>
      <c r="E660" s="45"/>
      <c r="F660" s="45"/>
      <c r="G660" s="45"/>
      <c r="U660" s="73" t="s">
        <v>263</v>
      </c>
    </row>
    <row r="661" spans="1:21" ht="12" hidden="1" customHeight="1" outlineLevel="4" x14ac:dyDescent="0.2">
      <c r="A661" s="60" t="s">
        <v>600</v>
      </c>
      <c r="B661" s="45"/>
      <c r="C661" s="45"/>
      <c r="D661" s="46">
        <v>171300.8</v>
      </c>
      <c r="E661" s="45"/>
      <c r="F661" s="45"/>
      <c r="G661" s="45"/>
      <c r="U661" s="73" t="s">
        <v>278</v>
      </c>
    </row>
    <row r="662" spans="1:21" ht="12" hidden="1" customHeight="1" outlineLevel="3" x14ac:dyDescent="0.2">
      <c r="A662" s="77" t="s">
        <v>770</v>
      </c>
      <c r="B662" s="45"/>
      <c r="C662" s="45"/>
      <c r="D662" s="46">
        <v>606314.73</v>
      </c>
      <c r="E662" s="45"/>
      <c r="F662" s="45"/>
      <c r="G662" s="45"/>
    </row>
    <row r="663" spans="1:21" ht="12" hidden="1" customHeight="1" outlineLevel="4" x14ac:dyDescent="0.2">
      <c r="A663" s="60" t="s">
        <v>735</v>
      </c>
      <c r="B663" s="45"/>
      <c r="C663" s="45"/>
      <c r="D663" s="46">
        <v>6840</v>
      </c>
      <c r="E663" s="45"/>
      <c r="F663" s="45"/>
      <c r="G663" s="45"/>
      <c r="T663" s="73" t="s">
        <v>80</v>
      </c>
    </row>
    <row r="664" spans="1:21" ht="12" hidden="1" customHeight="1" outlineLevel="4" x14ac:dyDescent="0.2">
      <c r="A664" s="60" t="s">
        <v>672</v>
      </c>
      <c r="B664" s="45"/>
      <c r="C664" s="45"/>
      <c r="D664" s="46">
        <v>16958.77</v>
      </c>
      <c r="E664" s="45"/>
      <c r="F664" s="45"/>
      <c r="G664" s="45"/>
      <c r="T664" s="73" t="s">
        <v>172</v>
      </c>
    </row>
    <row r="665" spans="1:21" ht="23.25" hidden="1" customHeight="1" outlineLevel="4" x14ac:dyDescent="0.2">
      <c r="A665" s="60" t="s">
        <v>654</v>
      </c>
      <c r="B665" s="45"/>
      <c r="C665" s="45"/>
      <c r="D665" s="46">
        <v>51210.62</v>
      </c>
      <c r="E665" s="45"/>
      <c r="F665" s="45"/>
      <c r="G665" s="45"/>
      <c r="T665" s="73" t="s">
        <v>158</v>
      </c>
    </row>
    <row r="666" spans="1:21" ht="12" hidden="1" customHeight="1" outlineLevel="4" x14ac:dyDescent="0.2">
      <c r="A666" s="60" t="s">
        <v>726</v>
      </c>
      <c r="B666" s="45"/>
      <c r="C666" s="45"/>
      <c r="D666" s="46">
        <v>48653.4</v>
      </c>
      <c r="E666" s="45"/>
      <c r="F666" s="45"/>
      <c r="G666" s="45"/>
      <c r="T666" s="73" t="s">
        <v>118</v>
      </c>
    </row>
    <row r="667" spans="1:21" ht="12" hidden="1" customHeight="1" outlineLevel="4" x14ac:dyDescent="0.2">
      <c r="A667" s="60" t="s">
        <v>720</v>
      </c>
      <c r="B667" s="45"/>
      <c r="C667" s="45"/>
      <c r="D667" s="46">
        <v>69540.289999999994</v>
      </c>
      <c r="E667" s="45"/>
      <c r="F667" s="45"/>
      <c r="G667" s="45"/>
      <c r="T667" s="73" t="s">
        <v>117</v>
      </c>
    </row>
    <row r="668" spans="1:21" ht="12" hidden="1" customHeight="1" outlineLevel="4" x14ac:dyDescent="0.2">
      <c r="A668" s="60" t="s">
        <v>644</v>
      </c>
      <c r="B668" s="45"/>
      <c r="C668" s="45"/>
      <c r="D668" s="46">
        <v>28255.31</v>
      </c>
      <c r="E668" s="45"/>
      <c r="F668" s="45"/>
      <c r="G668" s="45"/>
      <c r="T668" s="73" t="s">
        <v>186</v>
      </c>
    </row>
    <row r="669" spans="1:21" ht="12" hidden="1" customHeight="1" outlineLevel="4" x14ac:dyDescent="0.2">
      <c r="A669" s="60" t="s">
        <v>559</v>
      </c>
      <c r="B669" s="45"/>
      <c r="C669" s="45"/>
      <c r="D669" s="46">
        <v>25830.31</v>
      </c>
      <c r="E669" s="45"/>
      <c r="F669" s="45"/>
      <c r="G669" s="45"/>
      <c r="T669" s="73" t="s">
        <v>99</v>
      </c>
    </row>
    <row r="670" spans="1:21" ht="23.25" hidden="1" customHeight="1" outlineLevel="4" x14ac:dyDescent="0.2">
      <c r="A670" s="60" t="s">
        <v>684</v>
      </c>
      <c r="B670" s="45"/>
      <c r="C670" s="45"/>
      <c r="D670" s="46">
        <v>7501.75</v>
      </c>
      <c r="E670" s="45"/>
      <c r="F670" s="45"/>
      <c r="G670" s="45"/>
      <c r="T670" s="73" t="s">
        <v>233</v>
      </c>
    </row>
    <row r="671" spans="1:21" ht="12" hidden="1" customHeight="1" outlineLevel="4" x14ac:dyDescent="0.2">
      <c r="A671" s="60" t="s">
        <v>596</v>
      </c>
      <c r="B671" s="45"/>
      <c r="C671" s="45"/>
      <c r="D671" s="46">
        <v>31097.41</v>
      </c>
      <c r="E671" s="45"/>
      <c r="F671" s="45"/>
      <c r="G671" s="45"/>
      <c r="T671" s="73" t="s">
        <v>281</v>
      </c>
    </row>
    <row r="672" spans="1:21" ht="12" hidden="1" customHeight="1" outlineLevel="4" x14ac:dyDescent="0.2">
      <c r="A672" s="60" t="s">
        <v>595</v>
      </c>
      <c r="B672" s="45"/>
      <c r="C672" s="45"/>
      <c r="D672" s="46">
        <v>31312.51</v>
      </c>
      <c r="E672" s="45"/>
      <c r="F672" s="45"/>
      <c r="G672" s="45"/>
      <c r="T672" s="73" t="s">
        <v>282</v>
      </c>
    </row>
    <row r="673" spans="1:20" ht="12" hidden="1" customHeight="1" outlineLevel="4" x14ac:dyDescent="0.2">
      <c r="A673" s="60" t="s">
        <v>594</v>
      </c>
      <c r="B673" s="45"/>
      <c r="C673" s="45"/>
      <c r="D673" s="46">
        <v>7089.3</v>
      </c>
      <c r="E673" s="45"/>
      <c r="F673" s="45"/>
      <c r="G673" s="45"/>
      <c r="T673" s="73" t="s">
        <v>283</v>
      </c>
    </row>
    <row r="674" spans="1:20" ht="12" hidden="1" customHeight="1" outlineLevel="4" x14ac:dyDescent="0.2">
      <c r="A674" s="60" t="s">
        <v>511</v>
      </c>
      <c r="B674" s="45"/>
      <c r="C674" s="45"/>
      <c r="D674" s="46">
        <v>282025.06</v>
      </c>
      <c r="E674" s="45"/>
      <c r="F674" s="45"/>
      <c r="G674" s="45"/>
      <c r="T674" s="73" t="s">
        <v>304</v>
      </c>
    </row>
    <row r="675" spans="1:20" ht="12" hidden="1" customHeight="1" outlineLevel="3" x14ac:dyDescent="0.2">
      <c r="A675" s="77" t="s">
        <v>769</v>
      </c>
      <c r="B675" s="45"/>
      <c r="C675" s="45"/>
      <c r="D675" s="46">
        <v>4932799.71</v>
      </c>
      <c r="E675" s="45"/>
      <c r="F675" s="45"/>
      <c r="G675" s="45"/>
    </row>
    <row r="676" spans="1:20" ht="12" hidden="1" customHeight="1" outlineLevel="4" x14ac:dyDescent="0.2">
      <c r="A676" s="60" t="s">
        <v>738</v>
      </c>
      <c r="B676" s="45"/>
      <c r="C676" s="45"/>
      <c r="D676" s="46">
        <v>7895</v>
      </c>
      <c r="E676" s="45"/>
      <c r="F676" s="45"/>
      <c r="G676" s="45"/>
      <c r="S676" s="73" t="s">
        <v>77</v>
      </c>
    </row>
    <row r="677" spans="1:20" ht="12" hidden="1" customHeight="1" outlineLevel="4" x14ac:dyDescent="0.2">
      <c r="A677" s="60" t="s">
        <v>737</v>
      </c>
      <c r="B677" s="45"/>
      <c r="C677" s="45"/>
      <c r="D677" s="46">
        <v>9273</v>
      </c>
      <c r="E677" s="45"/>
      <c r="F677" s="45"/>
      <c r="G677" s="45"/>
      <c r="S677" s="73" t="s">
        <v>78</v>
      </c>
    </row>
    <row r="678" spans="1:20" ht="12" hidden="1" customHeight="1" outlineLevel="4" x14ac:dyDescent="0.2">
      <c r="A678" s="60" t="s">
        <v>736</v>
      </c>
      <c r="B678" s="45"/>
      <c r="C678" s="45"/>
      <c r="D678" s="46">
        <v>13664.64</v>
      </c>
      <c r="E678" s="45"/>
      <c r="F678" s="45"/>
      <c r="G678" s="45"/>
      <c r="S678" s="73" t="s">
        <v>79</v>
      </c>
    </row>
    <row r="679" spans="1:20" ht="12" hidden="1" customHeight="1" outlineLevel="4" x14ac:dyDescent="0.2">
      <c r="A679" s="60" t="s">
        <v>735</v>
      </c>
      <c r="B679" s="45"/>
      <c r="C679" s="45"/>
      <c r="D679" s="46">
        <v>25058.84</v>
      </c>
      <c r="E679" s="45"/>
      <c r="F679" s="45"/>
      <c r="G679" s="45"/>
      <c r="S679" s="73" t="s">
        <v>80</v>
      </c>
    </row>
    <row r="680" spans="1:20" ht="12" hidden="1" customHeight="1" outlineLevel="4" x14ac:dyDescent="0.2">
      <c r="A680" s="60" t="s">
        <v>672</v>
      </c>
      <c r="B680" s="45"/>
      <c r="C680" s="45"/>
      <c r="D680" s="46">
        <v>36885</v>
      </c>
      <c r="E680" s="45"/>
      <c r="F680" s="45"/>
      <c r="G680" s="45"/>
      <c r="S680" s="73" t="s">
        <v>172</v>
      </c>
    </row>
    <row r="681" spans="1:20" ht="12" hidden="1" customHeight="1" outlineLevel="4" x14ac:dyDescent="0.2">
      <c r="A681" s="60" t="s">
        <v>671</v>
      </c>
      <c r="B681" s="45"/>
      <c r="C681" s="45"/>
      <c r="D681" s="46">
        <v>43280.13</v>
      </c>
      <c r="E681" s="45"/>
      <c r="F681" s="45"/>
      <c r="G681" s="45"/>
      <c r="S681" s="73" t="s">
        <v>173</v>
      </c>
    </row>
    <row r="682" spans="1:20" ht="12" hidden="1" customHeight="1" outlineLevel="4" x14ac:dyDescent="0.2">
      <c r="A682" s="60" t="s">
        <v>668</v>
      </c>
      <c r="B682" s="45"/>
      <c r="C682" s="45"/>
      <c r="D682" s="46">
        <v>94624.33</v>
      </c>
      <c r="E682" s="45"/>
      <c r="F682" s="45"/>
      <c r="G682" s="45"/>
      <c r="S682" s="73" t="s">
        <v>174</v>
      </c>
    </row>
    <row r="683" spans="1:20" ht="12" hidden="1" customHeight="1" outlineLevel="4" x14ac:dyDescent="0.2">
      <c r="A683" s="60" t="s">
        <v>490</v>
      </c>
      <c r="B683" s="45"/>
      <c r="C683" s="45"/>
      <c r="D683" s="46">
        <v>30611</v>
      </c>
      <c r="E683" s="45"/>
      <c r="F683" s="45"/>
      <c r="G683" s="45"/>
      <c r="S683" s="73" t="s">
        <v>178</v>
      </c>
    </row>
    <row r="684" spans="1:20" ht="12" hidden="1" customHeight="1" outlineLevel="4" x14ac:dyDescent="0.2">
      <c r="A684" s="60" t="s">
        <v>664</v>
      </c>
      <c r="B684" s="45"/>
      <c r="C684" s="45"/>
      <c r="D684" s="46">
        <v>60338.38</v>
      </c>
      <c r="E684" s="45"/>
      <c r="F684" s="45"/>
      <c r="G684" s="45"/>
      <c r="S684" s="73" t="s">
        <v>178</v>
      </c>
    </row>
    <row r="685" spans="1:20" ht="12" hidden="1" customHeight="1" outlineLevel="4" x14ac:dyDescent="0.2">
      <c r="A685" s="60" t="s">
        <v>663</v>
      </c>
      <c r="B685" s="45"/>
      <c r="C685" s="45"/>
      <c r="D685" s="46">
        <v>41293</v>
      </c>
      <c r="E685" s="45"/>
      <c r="F685" s="45"/>
      <c r="G685" s="45"/>
      <c r="S685" s="73" t="s">
        <v>165</v>
      </c>
    </row>
    <row r="686" spans="1:20" ht="12" hidden="1" customHeight="1" outlineLevel="4" x14ac:dyDescent="0.2">
      <c r="A686" s="60" t="s">
        <v>661</v>
      </c>
      <c r="B686" s="45"/>
      <c r="C686" s="45"/>
      <c r="D686" s="46">
        <v>97993.01</v>
      </c>
      <c r="E686" s="45"/>
      <c r="F686" s="45"/>
      <c r="G686" s="45"/>
      <c r="S686" s="73" t="s">
        <v>167</v>
      </c>
    </row>
    <row r="687" spans="1:20" ht="23.25" hidden="1" customHeight="1" outlineLevel="4" x14ac:dyDescent="0.2">
      <c r="A687" s="60" t="s">
        <v>658</v>
      </c>
      <c r="B687" s="45"/>
      <c r="C687" s="45"/>
      <c r="D687" s="46">
        <v>80295</v>
      </c>
      <c r="E687" s="45"/>
      <c r="F687" s="45"/>
      <c r="G687" s="45"/>
      <c r="S687" s="73" t="s">
        <v>152</v>
      </c>
    </row>
    <row r="688" spans="1:20" ht="23.25" hidden="1" customHeight="1" outlineLevel="4" x14ac:dyDescent="0.2">
      <c r="A688" s="60" t="s">
        <v>651</v>
      </c>
      <c r="B688" s="45"/>
      <c r="C688" s="45"/>
      <c r="D688" s="46">
        <v>167442.85999999999</v>
      </c>
      <c r="E688" s="45"/>
      <c r="F688" s="45"/>
      <c r="G688" s="45"/>
      <c r="S688" s="73" t="s">
        <v>162</v>
      </c>
    </row>
    <row r="689" spans="1:19" ht="23.25" hidden="1" customHeight="1" outlineLevel="4" x14ac:dyDescent="0.2">
      <c r="A689" s="60" t="s">
        <v>546</v>
      </c>
      <c r="B689" s="45"/>
      <c r="C689" s="45"/>
      <c r="D689" s="46">
        <v>29659.86</v>
      </c>
      <c r="E689" s="45"/>
      <c r="F689" s="45"/>
      <c r="G689" s="45"/>
      <c r="S689" s="74" t="s">
        <v>101</v>
      </c>
    </row>
    <row r="690" spans="1:19" ht="34.5" hidden="1" customHeight="1" outlineLevel="4" x14ac:dyDescent="0.2">
      <c r="A690" s="60" t="s">
        <v>545</v>
      </c>
      <c r="B690" s="45"/>
      <c r="C690" s="45"/>
      <c r="D690" s="46">
        <v>28632.94</v>
      </c>
      <c r="E690" s="45"/>
      <c r="F690" s="45"/>
      <c r="G690" s="45"/>
      <c r="S690" s="73" t="s">
        <v>105</v>
      </c>
    </row>
    <row r="691" spans="1:19" ht="23.25" hidden="1" customHeight="1" outlineLevel="4" x14ac:dyDescent="0.2">
      <c r="A691" s="60" t="s">
        <v>542</v>
      </c>
      <c r="B691" s="45"/>
      <c r="C691" s="45"/>
      <c r="D691" s="46">
        <v>5712.44</v>
      </c>
      <c r="E691" s="45"/>
      <c r="F691" s="45"/>
      <c r="G691" s="45"/>
      <c r="S691" s="73" t="s">
        <v>107</v>
      </c>
    </row>
    <row r="692" spans="1:19" ht="23.25" hidden="1" customHeight="1" outlineLevel="4" x14ac:dyDescent="0.2">
      <c r="A692" s="60" t="s">
        <v>540</v>
      </c>
      <c r="B692" s="45"/>
      <c r="C692" s="45"/>
      <c r="D692" s="46">
        <v>74968.570000000007</v>
      </c>
      <c r="E692" s="45"/>
      <c r="F692" s="45"/>
      <c r="G692" s="45"/>
      <c r="S692" s="73" t="s">
        <v>109</v>
      </c>
    </row>
    <row r="693" spans="1:19" ht="23.25" hidden="1" customHeight="1" outlineLevel="4" x14ac:dyDescent="0.2">
      <c r="A693" s="60" t="s">
        <v>539</v>
      </c>
      <c r="B693" s="45"/>
      <c r="C693" s="45"/>
      <c r="D693" s="46">
        <v>12899.12</v>
      </c>
      <c r="E693" s="45"/>
      <c r="F693" s="45"/>
      <c r="G693" s="45"/>
      <c r="S693" s="73" t="s">
        <v>110</v>
      </c>
    </row>
    <row r="694" spans="1:19" ht="12" hidden="1" customHeight="1" outlineLevel="4" x14ac:dyDescent="0.2">
      <c r="A694" s="60" t="s">
        <v>726</v>
      </c>
      <c r="B694" s="45"/>
      <c r="C694" s="45"/>
      <c r="D694" s="46">
        <v>56746</v>
      </c>
      <c r="E694" s="45"/>
      <c r="F694" s="45"/>
      <c r="G694" s="45"/>
      <c r="S694" s="73" t="s">
        <v>118</v>
      </c>
    </row>
    <row r="695" spans="1:19" ht="12" hidden="1" customHeight="1" outlineLevel="4" x14ac:dyDescent="0.2">
      <c r="A695" s="60" t="s">
        <v>725</v>
      </c>
      <c r="B695" s="45"/>
      <c r="C695" s="45"/>
      <c r="D695" s="46">
        <v>27919.69</v>
      </c>
      <c r="E695" s="45"/>
      <c r="F695" s="45"/>
      <c r="G695" s="45"/>
      <c r="S695" s="73" t="s">
        <v>119</v>
      </c>
    </row>
    <row r="696" spans="1:19" ht="12" hidden="1" customHeight="1" outlineLevel="4" x14ac:dyDescent="0.2">
      <c r="A696" s="60" t="s">
        <v>724</v>
      </c>
      <c r="B696" s="45"/>
      <c r="C696" s="45"/>
      <c r="D696" s="46">
        <v>47887.62</v>
      </c>
      <c r="E696" s="45"/>
      <c r="F696" s="45"/>
      <c r="G696" s="45"/>
      <c r="S696" s="73" t="s">
        <v>120</v>
      </c>
    </row>
    <row r="697" spans="1:19" ht="12" hidden="1" customHeight="1" outlineLevel="4" x14ac:dyDescent="0.2">
      <c r="A697" s="60" t="s">
        <v>723</v>
      </c>
      <c r="B697" s="45"/>
      <c r="C697" s="45"/>
      <c r="D697" s="46">
        <v>179545.47</v>
      </c>
      <c r="E697" s="45"/>
      <c r="F697" s="45"/>
      <c r="G697" s="45"/>
      <c r="S697" s="73" t="s">
        <v>121</v>
      </c>
    </row>
    <row r="698" spans="1:19" ht="12" hidden="1" customHeight="1" outlineLevel="4" x14ac:dyDescent="0.2">
      <c r="A698" s="60" t="s">
        <v>720</v>
      </c>
      <c r="B698" s="45"/>
      <c r="C698" s="45"/>
      <c r="D698" s="46">
        <v>202102.54</v>
      </c>
      <c r="E698" s="45"/>
      <c r="F698" s="45"/>
      <c r="G698" s="45"/>
      <c r="S698" s="73" t="s">
        <v>117</v>
      </c>
    </row>
    <row r="699" spans="1:19" ht="12" hidden="1" customHeight="1" outlineLevel="4" x14ac:dyDescent="0.2">
      <c r="A699" s="60" t="s">
        <v>534</v>
      </c>
      <c r="B699" s="45"/>
      <c r="C699" s="45"/>
      <c r="D699" s="46">
        <v>4725</v>
      </c>
      <c r="E699" s="45"/>
      <c r="F699" s="45"/>
      <c r="G699" s="45"/>
      <c r="S699" s="73" t="s">
        <v>123</v>
      </c>
    </row>
    <row r="700" spans="1:19" ht="12" hidden="1" customHeight="1" outlineLevel="4" x14ac:dyDescent="0.2">
      <c r="A700" s="60" t="s">
        <v>531</v>
      </c>
      <c r="B700" s="45"/>
      <c r="C700" s="45"/>
      <c r="D700" s="46">
        <v>3819</v>
      </c>
      <c r="E700" s="45"/>
      <c r="F700" s="45"/>
      <c r="G700" s="45"/>
      <c r="S700" s="73" t="s">
        <v>130</v>
      </c>
    </row>
    <row r="701" spans="1:19" ht="12" hidden="1" customHeight="1" outlineLevel="4" x14ac:dyDescent="0.2">
      <c r="A701" s="60" t="s">
        <v>563</v>
      </c>
      <c r="B701" s="45"/>
      <c r="C701" s="45"/>
      <c r="D701" s="46">
        <v>169711.63</v>
      </c>
      <c r="E701" s="45"/>
      <c r="F701" s="45"/>
      <c r="G701" s="45"/>
      <c r="S701" s="73" t="s">
        <v>132</v>
      </c>
    </row>
    <row r="702" spans="1:19" ht="12" hidden="1" customHeight="1" outlineLevel="4" x14ac:dyDescent="0.2">
      <c r="A702" s="60" t="s">
        <v>645</v>
      </c>
      <c r="B702" s="45"/>
      <c r="C702" s="45"/>
      <c r="D702" s="46">
        <v>143270.85999999999</v>
      </c>
      <c r="E702" s="45"/>
      <c r="F702" s="45"/>
      <c r="G702" s="45"/>
      <c r="S702" s="73" t="s">
        <v>185</v>
      </c>
    </row>
    <row r="703" spans="1:19" ht="12" hidden="1" customHeight="1" outlineLevel="4" x14ac:dyDescent="0.2">
      <c r="A703" s="60" t="s">
        <v>639</v>
      </c>
      <c r="B703" s="45"/>
      <c r="C703" s="45"/>
      <c r="D703" s="46">
        <v>51325</v>
      </c>
      <c r="E703" s="45"/>
      <c r="F703" s="45"/>
      <c r="G703" s="45"/>
      <c r="S703" s="73" t="s">
        <v>191</v>
      </c>
    </row>
    <row r="704" spans="1:19" ht="12" hidden="1" customHeight="1" outlineLevel="4" x14ac:dyDescent="0.2">
      <c r="A704" s="60" t="s">
        <v>637</v>
      </c>
      <c r="B704" s="45"/>
      <c r="C704" s="45"/>
      <c r="D704" s="46">
        <v>50732</v>
      </c>
      <c r="E704" s="45"/>
      <c r="F704" s="45"/>
      <c r="G704" s="45"/>
      <c r="S704" s="73" t="s">
        <v>193</v>
      </c>
    </row>
    <row r="705" spans="1:19" ht="12" hidden="1" customHeight="1" outlineLevel="4" x14ac:dyDescent="0.2">
      <c r="A705" s="60" t="s">
        <v>634</v>
      </c>
      <c r="B705" s="45"/>
      <c r="C705" s="45"/>
      <c r="D705" s="46">
        <v>47036.36</v>
      </c>
      <c r="E705" s="45"/>
      <c r="F705" s="45"/>
      <c r="G705" s="45"/>
      <c r="S705" s="73" t="s">
        <v>198</v>
      </c>
    </row>
    <row r="706" spans="1:19" ht="12" hidden="1" customHeight="1" outlineLevel="4" x14ac:dyDescent="0.2">
      <c r="A706" s="60" t="s">
        <v>633</v>
      </c>
      <c r="B706" s="45"/>
      <c r="C706" s="45"/>
      <c r="D706" s="46">
        <v>166546.91</v>
      </c>
      <c r="E706" s="45"/>
      <c r="F706" s="45"/>
      <c r="G706" s="45"/>
      <c r="S706" s="73" t="s">
        <v>199</v>
      </c>
    </row>
    <row r="707" spans="1:19" ht="12" hidden="1" customHeight="1" outlineLevel="4" x14ac:dyDescent="0.2">
      <c r="A707" s="60" t="s">
        <v>629</v>
      </c>
      <c r="B707" s="45"/>
      <c r="C707" s="45"/>
      <c r="D707" s="46">
        <v>89988.88</v>
      </c>
      <c r="E707" s="45"/>
      <c r="F707" s="45"/>
      <c r="G707" s="45"/>
      <c r="S707" s="73" t="s">
        <v>202</v>
      </c>
    </row>
    <row r="708" spans="1:19" ht="12" hidden="1" customHeight="1" outlineLevel="4" x14ac:dyDescent="0.2">
      <c r="A708" s="60" t="s">
        <v>628</v>
      </c>
      <c r="B708" s="45"/>
      <c r="C708" s="45"/>
      <c r="D708" s="46">
        <v>77797</v>
      </c>
      <c r="E708" s="45"/>
      <c r="F708" s="45"/>
      <c r="G708" s="45"/>
      <c r="S708" s="73" t="s">
        <v>203</v>
      </c>
    </row>
    <row r="709" spans="1:19" ht="12" hidden="1" customHeight="1" outlineLevel="4" x14ac:dyDescent="0.2">
      <c r="A709" s="60" t="s">
        <v>627</v>
      </c>
      <c r="B709" s="45"/>
      <c r="C709" s="45"/>
      <c r="D709" s="46">
        <v>126036</v>
      </c>
      <c r="E709" s="45"/>
      <c r="F709" s="45"/>
      <c r="G709" s="45"/>
      <c r="S709" s="73" t="s">
        <v>204</v>
      </c>
    </row>
    <row r="710" spans="1:19" ht="12" hidden="1" customHeight="1" outlineLevel="4" x14ac:dyDescent="0.2">
      <c r="A710" s="60" t="s">
        <v>626</v>
      </c>
      <c r="B710" s="45"/>
      <c r="C710" s="45"/>
      <c r="D710" s="46">
        <v>45330.42</v>
      </c>
      <c r="E710" s="45"/>
      <c r="F710" s="45"/>
      <c r="G710" s="45"/>
      <c r="S710" s="73" t="s">
        <v>205</v>
      </c>
    </row>
    <row r="711" spans="1:19" ht="12" hidden="1" customHeight="1" outlineLevel="4" x14ac:dyDescent="0.2">
      <c r="A711" s="60" t="s">
        <v>529</v>
      </c>
      <c r="B711" s="45"/>
      <c r="C711" s="45"/>
      <c r="D711" s="46">
        <v>59513</v>
      </c>
      <c r="E711" s="45"/>
      <c r="F711" s="45"/>
      <c r="G711" s="45"/>
      <c r="S711" s="73" t="s">
        <v>136</v>
      </c>
    </row>
    <row r="712" spans="1:19" ht="23.25" hidden="1" customHeight="1" outlineLevel="4" x14ac:dyDescent="0.2">
      <c r="A712" s="60" t="s">
        <v>562</v>
      </c>
      <c r="B712" s="45"/>
      <c r="C712" s="45"/>
      <c r="D712" s="46">
        <v>152571.21</v>
      </c>
      <c r="E712" s="45"/>
      <c r="F712" s="45"/>
      <c r="G712" s="45"/>
      <c r="S712" s="73" t="s">
        <v>141</v>
      </c>
    </row>
    <row r="713" spans="1:19" ht="23.25" hidden="1" customHeight="1" outlineLevel="4" x14ac:dyDescent="0.2">
      <c r="A713" s="60" t="s">
        <v>719</v>
      </c>
      <c r="B713" s="45"/>
      <c r="C713" s="45"/>
      <c r="D713" s="46">
        <v>56950.15</v>
      </c>
      <c r="E713" s="45"/>
      <c r="F713" s="45"/>
      <c r="G713" s="45"/>
      <c r="S713" s="73" t="s">
        <v>237</v>
      </c>
    </row>
    <row r="714" spans="1:19" ht="23.25" hidden="1" customHeight="1" outlineLevel="4" x14ac:dyDescent="0.2">
      <c r="A714" s="60" t="s">
        <v>718</v>
      </c>
      <c r="B714" s="45"/>
      <c r="C714" s="45"/>
      <c r="D714" s="46">
        <v>32740</v>
      </c>
      <c r="E714" s="45"/>
      <c r="F714" s="45"/>
      <c r="G714" s="45"/>
      <c r="S714" s="73" t="s">
        <v>238</v>
      </c>
    </row>
    <row r="715" spans="1:19" ht="23.25" hidden="1" customHeight="1" outlineLevel="4" x14ac:dyDescent="0.2">
      <c r="A715" s="60" t="s">
        <v>716</v>
      </c>
      <c r="B715" s="45"/>
      <c r="C715" s="45"/>
      <c r="D715" s="46">
        <v>170111.58</v>
      </c>
      <c r="E715" s="45"/>
      <c r="F715" s="45"/>
      <c r="G715" s="45"/>
      <c r="S715" s="73" t="s">
        <v>240</v>
      </c>
    </row>
    <row r="716" spans="1:19" ht="23.25" hidden="1" customHeight="1" outlineLevel="4" x14ac:dyDescent="0.2">
      <c r="A716" s="60" t="s">
        <v>714</v>
      </c>
      <c r="B716" s="45"/>
      <c r="C716" s="45"/>
      <c r="D716" s="46">
        <v>158197.09</v>
      </c>
      <c r="E716" s="45"/>
      <c r="F716" s="45"/>
      <c r="G716" s="45"/>
      <c r="S716" s="73" t="s">
        <v>242</v>
      </c>
    </row>
    <row r="717" spans="1:19" ht="23.25" hidden="1" customHeight="1" outlineLevel="4" x14ac:dyDescent="0.2">
      <c r="A717" s="60" t="s">
        <v>713</v>
      </c>
      <c r="B717" s="45"/>
      <c r="C717" s="45"/>
      <c r="D717" s="46">
        <v>94943.9</v>
      </c>
      <c r="E717" s="45"/>
      <c r="F717" s="45"/>
      <c r="G717" s="45"/>
      <c r="S717" s="73" t="s">
        <v>243</v>
      </c>
    </row>
    <row r="718" spans="1:19" ht="23.25" hidden="1" customHeight="1" outlineLevel="4" x14ac:dyDescent="0.2">
      <c r="A718" s="60" t="s">
        <v>707</v>
      </c>
      <c r="B718" s="45"/>
      <c r="C718" s="45"/>
      <c r="D718" s="46">
        <v>47872</v>
      </c>
      <c r="E718" s="45"/>
      <c r="F718" s="45"/>
      <c r="G718" s="45"/>
      <c r="S718" s="73" t="s">
        <v>251</v>
      </c>
    </row>
    <row r="719" spans="1:19" ht="23.25" hidden="1" customHeight="1" outlineLevel="4" x14ac:dyDescent="0.2">
      <c r="A719" s="60" t="s">
        <v>619</v>
      </c>
      <c r="B719" s="45"/>
      <c r="C719" s="45"/>
      <c r="D719" s="46">
        <v>6282.69</v>
      </c>
      <c r="E719" s="45"/>
      <c r="F719" s="45"/>
      <c r="G719" s="45"/>
      <c r="S719" s="73" t="s">
        <v>209</v>
      </c>
    </row>
    <row r="720" spans="1:19" ht="23.25" hidden="1" customHeight="1" outlineLevel="4" x14ac:dyDescent="0.2">
      <c r="A720" s="60" t="s">
        <v>706</v>
      </c>
      <c r="B720" s="45"/>
      <c r="C720" s="45"/>
      <c r="D720" s="46">
        <v>142647</v>
      </c>
      <c r="E720" s="45"/>
      <c r="F720" s="45"/>
      <c r="G720" s="45"/>
      <c r="S720" s="73" t="s">
        <v>210</v>
      </c>
    </row>
    <row r="721" spans="1:19" ht="23.25" hidden="1" customHeight="1" outlineLevel="4" x14ac:dyDescent="0.2">
      <c r="A721" s="60" t="s">
        <v>705</v>
      </c>
      <c r="B721" s="45"/>
      <c r="C721" s="45"/>
      <c r="D721" s="46">
        <v>169327</v>
      </c>
      <c r="E721" s="45"/>
      <c r="F721" s="45"/>
      <c r="G721" s="45"/>
      <c r="S721" s="73" t="s">
        <v>211</v>
      </c>
    </row>
    <row r="722" spans="1:19" ht="23.25" hidden="1" customHeight="1" outlineLevel="4" x14ac:dyDescent="0.2">
      <c r="A722" s="60" t="s">
        <v>702</v>
      </c>
      <c r="B722" s="45"/>
      <c r="C722" s="45"/>
      <c r="D722" s="46">
        <v>87524.04</v>
      </c>
      <c r="E722" s="45"/>
      <c r="F722" s="45"/>
      <c r="G722" s="45"/>
      <c r="S722" s="73" t="s">
        <v>214</v>
      </c>
    </row>
    <row r="723" spans="1:19" ht="23.25" hidden="1" customHeight="1" outlineLevel="4" x14ac:dyDescent="0.2">
      <c r="A723" s="60" t="s">
        <v>699</v>
      </c>
      <c r="B723" s="45"/>
      <c r="C723" s="45"/>
      <c r="D723" s="46">
        <v>58140.77</v>
      </c>
      <c r="E723" s="45"/>
      <c r="F723" s="45"/>
      <c r="G723" s="45"/>
      <c r="S723" s="73" t="s">
        <v>218</v>
      </c>
    </row>
    <row r="724" spans="1:19" ht="23.25" hidden="1" customHeight="1" outlineLevel="4" x14ac:dyDescent="0.2">
      <c r="A724" s="60" t="s">
        <v>693</v>
      </c>
      <c r="B724" s="45"/>
      <c r="C724" s="45"/>
      <c r="D724" s="46">
        <v>64565.41</v>
      </c>
      <c r="E724" s="45"/>
      <c r="F724" s="45"/>
      <c r="G724" s="45"/>
      <c r="S724" s="73" t="s">
        <v>224</v>
      </c>
    </row>
    <row r="725" spans="1:19" ht="23.25" hidden="1" customHeight="1" outlineLevel="4" x14ac:dyDescent="0.2">
      <c r="A725" s="60" t="s">
        <v>685</v>
      </c>
      <c r="B725" s="45"/>
      <c r="C725" s="45"/>
      <c r="D725" s="46">
        <v>104519</v>
      </c>
      <c r="E725" s="45"/>
      <c r="F725" s="45"/>
      <c r="G725" s="45"/>
      <c r="S725" s="73" t="s">
        <v>232</v>
      </c>
    </row>
    <row r="726" spans="1:19" ht="23.25" hidden="1" customHeight="1" outlineLevel="4" x14ac:dyDescent="0.2">
      <c r="A726" s="60" t="s">
        <v>684</v>
      </c>
      <c r="B726" s="45"/>
      <c r="C726" s="45"/>
      <c r="D726" s="46">
        <v>101193.3</v>
      </c>
      <c r="E726" s="45"/>
      <c r="F726" s="45"/>
      <c r="G726" s="45"/>
      <c r="S726" s="73" t="s">
        <v>233</v>
      </c>
    </row>
    <row r="727" spans="1:19" ht="23.25" hidden="1" customHeight="1" outlineLevel="4" x14ac:dyDescent="0.2">
      <c r="A727" s="60" t="s">
        <v>683</v>
      </c>
      <c r="B727" s="45"/>
      <c r="C727" s="45"/>
      <c r="D727" s="46">
        <v>312129.76</v>
      </c>
      <c r="E727" s="45"/>
      <c r="F727" s="45"/>
      <c r="G727" s="45"/>
      <c r="S727" s="73" t="s">
        <v>234</v>
      </c>
    </row>
    <row r="728" spans="1:19" ht="12" hidden="1" customHeight="1" outlineLevel="4" x14ac:dyDescent="0.2">
      <c r="A728" s="60" t="s">
        <v>615</v>
      </c>
      <c r="B728" s="45"/>
      <c r="C728" s="45"/>
      <c r="D728" s="46">
        <v>51662.720000000001</v>
      </c>
      <c r="E728" s="45"/>
      <c r="F728" s="45"/>
      <c r="G728" s="45"/>
      <c r="S728" s="73" t="s">
        <v>255</v>
      </c>
    </row>
    <row r="729" spans="1:19" ht="12" hidden="1" customHeight="1" outlineLevel="4" x14ac:dyDescent="0.2">
      <c r="A729" s="60" t="s">
        <v>614</v>
      </c>
      <c r="B729" s="45"/>
      <c r="C729" s="45"/>
      <c r="D729" s="46">
        <v>33415.160000000003</v>
      </c>
      <c r="E729" s="45"/>
      <c r="F729" s="45"/>
      <c r="G729" s="45"/>
      <c r="S729" s="73" t="s">
        <v>256</v>
      </c>
    </row>
    <row r="730" spans="1:19" ht="23.25" hidden="1" customHeight="1" outlineLevel="4" x14ac:dyDescent="0.2">
      <c r="A730" s="60" t="s">
        <v>557</v>
      </c>
      <c r="B730" s="45"/>
      <c r="C730" s="45"/>
      <c r="D730" s="46">
        <v>8844</v>
      </c>
      <c r="E730" s="45"/>
      <c r="F730" s="45"/>
      <c r="G730" s="45"/>
      <c r="S730" s="73" t="s">
        <v>258</v>
      </c>
    </row>
    <row r="731" spans="1:19" ht="12" hidden="1" customHeight="1" outlineLevel="4" x14ac:dyDescent="0.2">
      <c r="A731" s="60" t="s">
        <v>613</v>
      </c>
      <c r="B731" s="45"/>
      <c r="C731" s="45"/>
      <c r="D731" s="46">
        <v>39501.800000000003</v>
      </c>
      <c r="E731" s="45"/>
      <c r="F731" s="45"/>
      <c r="G731" s="45"/>
      <c r="S731" s="73" t="s">
        <v>263</v>
      </c>
    </row>
    <row r="732" spans="1:19" ht="12" hidden="1" customHeight="1" outlineLevel="4" x14ac:dyDescent="0.2">
      <c r="A732" s="60" t="s">
        <v>609</v>
      </c>
      <c r="B732" s="45"/>
      <c r="C732" s="45"/>
      <c r="D732" s="46">
        <v>66164.11</v>
      </c>
      <c r="E732" s="45"/>
      <c r="F732" s="45"/>
      <c r="G732" s="45"/>
      <c r="S732" s="73" t="s">
        <v>266</v>
      </c>
    </row>
    <row r="733" spans="1:19" ht="12" hidden="1" customHeight="1" outlineLevel="4" x14ac:dyDescent="0.2">
      <c r="A733" s="60" t="s">
        <v>607</v>
      </c>
      <c r="B733" s="45"/>
      <c r="C733" s="45"/>
      <c r="D733" s="46">
        <v>18851.11</v>
      </c>
      <c r="E733" s="45"/>
      <c r="F733" s="45"/>
      <c r="G733" s="45"/>
      <c r="S733" s="73" t="s">
        <v>271</v>
      </c>
    </row>
    <row r="734" spans="1:19" ht="12" hidden="1" customHeight="1" outlineLevel="4" x14ac:dyDescent="0.2">
      <c r="A734" s="60" t="s">
        <v>599</v>
      </c>
      <c r="B734" s="45"/>
      <c r="C734" s="45"/>
      <c r="D734" s="46">
        <v>86842.67</v>
      </c>
      <c r="E734" s="45"/>
      <c r="F734" s="45"/>
      <c r="G734" s="45"/>
      <c r="S734" s="73" t="s">
        <v>267</v>
      </c>
    </row>
    <row r="735" spans="1:19" ht="12" hidden="1" customHeight="1" outlineLevel="4" x14ac:dyDescent="0.2">
      <c r="A735" s="60" t="s">
        <v>596</v>
      </c>
      <c r="B735" s="45"/>
      <c r="C735" s="45"/>
      <c r="D735" s="46">
        <v>31685</v>
      </c>
      <c r="E735" s="45"/>
      <c r="F735" s="45"/>
      <c r="G735" s="45"/>
      <c r="S735" s="73" t="s">
        <v>281</v>
      </c>
    </row>
    <row r="736" spans="1:19" ht="12" hidden="1" customHeight="1" outlineLevel="4" x14ac:dyDescent="0.2">
      <c r="A736" s="60" t="s">
        <v>593</v>
      </c>
      <c r="B736" s="45"/>
      <c r="C736" s="45"/>
      <c r="D736" s="46">
        <v>52287.89</v>
      </c>
      <c r="E736" s="45"/>
      <c r="F736" s="45"/>
      <c r="G736" s="45"/>
      <c r="S736" s="73" t="s">
        <v>284</v>
      </c>
    </row>
    <row r="737" spans="1:22" ht="12" hidden="1" customHeight="1" outlineLevel="4" x14ac:dyDescent="0.2">
      <c r="A737" s="60" t="s">
        <v>591</v>
      </c>
      <c r="B737" s="45"/>
      <c r="C737" s="45"/>
      <c r="D737" s="46">
        <v>96953.56</v>
      </c>
      <c r="E737" s="45"/>
      <c r="F737" s="45"/>
      <c r="G737" s="45"/>
      <c r="S737" s="73" t="s">
        <v>268</v>
      </c>
    </row>
    <row r="738" spans="1:22" ht="12" hidden="1" customHeight="1" outlineLevel="4" x14ac:dyDescent="0.2">
      <c r="A738" s="60" t="s">
        <v>590</v>
      </c>
      <c r="B738" s="45"/>
      <c r="C738" s="45"/>
      <c r="D738" s="46">
        <v>163263.14000000001</v>
      </c>
      <c r="E738" s="45"/>
      <c r="F738" s="45"/>
      <c r="G738" s="45"/>
      <c r="S738" s="74" t="s">
        <v>286</v>
      </c>
    </row>
    <row r="739" spans="1:22" ht="12" hidden="1" customHeight="1" outlineLevel="4" x14ac:dyDescent="0.2">
      <c r="A739" s="60" t="s">
        <v>589</v>
      </c>
      <c r="B739" s="45"/>
      <c r="C739" s="45"/>
      <c r="D739" s="46">
        <v>39197</v>
      </c>
      <c r="E739" s="45"/>
      <c r="F739" s="45"/>
      <c r="G739" s="45"/>
      <c r="S739" s="73" t="s">
        <v>288</v>
      </c>
    </row>
    <row r="740" spans="1:22" ht="23.25" hidden="1" customHeight="1" outlineLevel="4" x14ac:dyDescent="0.2">
      <c r="A740" s="60" t="s">
        <v>520</v>
      </c>
      <c r="B740" s="45"/>
      <c r="C740" s="45"/>
      <c r="D740" s="46">
        <v>50063.73</v>
      </c>
      <c r="E740" s="45"/>
      <c r="F740" s="45"/>
      <c r="G740" s="45"/>
      <c r="S740" s="73" t="s">
        <v>290</v>
      </c>
    </row>
    <row r="741" spans="1:22" ht="12" hidden="1" customHeight="1" outlineLevel="4" x14ac:dyDescent="0.2">
      <c r="A741" s="60" t="s">
        <v>514</v>
      </c>
      <c r="B741" s="45"/>
      <c r="C741" s="45"/>
      <c r="D741" s="46">
        <v>7173.19</v>
      </c>
      <c r="E741" s="45"/>
      <c r="F741" s="45"/>
      <c r="G741" s="45"/>
      <c r="S741" s="73" t="s">
        <v>300</v>
      </c>
    </row>
    <row r="742" spans="1:22" ht="12" hidden="1" customHeight="1" outlineLevel="4" x14ac:dyDescent="0.2">
      <c r="A742" s="60" t="s">
        <v>511</v>
      </c>
      <c r="B742" s="45"/>
      <c r="C742" s="45"/>
      <c r="D742" s="46">
        <v>6743.63</v>
      </c>
      <c r="E742" s="45"/>
      <c r="F742" s="45"/>
      <c r="G742" s="45"/>
      <c r="S742" s="73" t="s">
        <v>304</v>
      </c>
    </row>
    <row r="743" spans="1:22" ht="12" hidden="1" customHeight="1" outlineLevel="4" x14ac:dyDescent="0.2">
      <c r="A743" s="60" t="s">
        <v>576</v>
      </c>
      <c r="B743" s="45"/>
      <c r="C743" s="45"/>
      <c r="D743" s="46">
        <v>9875.6</v>
      </c>
      <c r="E743" s="45"/>
      <c r="F743" s="45"/>
      <c r="G743" s="45"/>
      <c r="S743" s="73" t="s">
        <v>315</v>
      </c>
    </row>
    <row r="744" spans="1:22" ht="23.25" hidden="1" customHeight="1" outlineLevel="3" x14ac:dyDescent="0.2">
      <c r="A744" s="80" t="s">
        <v>768</v>
      </c>
      <c r="B744" s="45"/>
      <c r="C744" s="45"/>
      <c r="D744" s="46">
        <v>18565</v>
      </c>
      <c r="E744" s="45"/>
      <c r="F744" s="45"/>
      <c r="G744" s="45"/>
    </row>
    <row r="745" spans="1:22" ht="23.25" hidden="1" customHeight="1" outlineLevel="4" x14ac:dyDescent="0.2">
      <c r="A745" s="60" t="s">
        <v>704</v>
      </c>
      <c r="B745" s="45"/>
      <c r="C745" s="45"/>
      <c r="D745" s="46">
        <v>10670</v>
      </c>
      <c r="E745" s="45"/>
      <c r="F745" s="45"/>
      <c r="G745" s="45"/>
      <c r="S745" s="73" t="s">
        <v>212</v>
      </c>
    </row>
    <row r="746" spans="1:22" ht="23.25" hidden="1" customHeight="1" outlineLevel="4" x14ac:dyDescent="0.2">
      <c r="A746" s="60" t="s">
        <v>556</v>
      </c>
      <c r="B746" s="45"/>
      <c r="C746" s="45"/>
      <c r="D746" s="46">
        <v>7895</v>
      </c>
      <c r="E746" s="45"/>
      <c r="F746" s="45"/>
      <c r="G746" s="45"/>
      <c r="S746" s="73" t="s">
        <v>259</v>
      </c>
    </row>
    <row r="747" spans="1:22" ht="12" hidden="1" customHeight="1" outlineLevel="3" x14ac:dyDescent="0.2">
      <c r="A747" s="80" t="s">
        <v>767</v>
      </c>
      <c r="B747" s="45"/>
      <c r="C747" s="45"/>
      <c r="D747" s="46">
        <v>8370.01</v>
      </c>
      <c r="E747" s="45"/>
      <c r="F747" s="45"/>
      <c r="G747" s="45"/>
    </row>
    <row r="748" spans="1:22" ht="12" hidden="1" customHeight="1" outlineLevel="4" x14ac:dyDescent="0.2">
      <c r="A748" s="60" t="s">
        <v>529</v>
      </c>
      <c r="B748" s="45"/>
      <c r="C748" s="45"/>
      <c r="D748" s="46">
        <v>8370.01</v>
      </c>
      <c r="E748" s="45"/>
      <c r="F748" s="45"/>
      <c r="G748" s="45"/>
      <c r="S748" s="73" t="s">
        <v>136</v>
      </c>
    </row>
    <row r="749" spans="1:22" ht="12" hidden="1" customHeight="1" outlineLevel="3" x14ac:dyDescent="0.2">
      <c r="A749" s="80" t="s">
        <v>377</v>
      </c>
      <c r="B749" s="45"/>
      <c r="C749" s="45"/>
      <c r="D749" s="46">
        <v>1774.02</v>
      </c>
      <c r="E749" s="45"/>
      <c r="F749" s="45"/>
      <c r="G749" s="45"/>
    </row>
    <row r="750" spans="1:22" ht="12" hidden="1" customHeight="1" outlineLevel="4" x14ac:dyDescent="0.2">
      <c r="A750" s="60" t="s">
        <v>669</v>
      </c>
      <c r="B750" s="45"/>
      <c r="C750" s="45"/>
      <c r="D750" s="46">
        <v>1774.02</v>
      </c>
      <c r="E750" s="45"/>
      <c r="F750" s="45"/>
      <c r="G750" s="45"/>
      <c r="T750" s="73" t="s">
        <v>164</v>
      </c>
    </row>
    <row r="751" spans="1:22" ht="12" hidden="1" customHeight="1" outlineLevel="3" x14ac:dyDescent="0.2">
      <c r="A751" s="77" t="s">
        <v>766</v>
      </c>
      <c r="B751" s="45"/>
      <c r="C751" s="45"/>
      <c r="D751" s="46">
        <v>51766</v>
      </c>
      <c r="E751" s="45"/>
      <c r="F751" s="45"/>
      <c r="G751" s="45"/>
    </row>
    <row r="752" spans="1:22" ht="23.25" hidden="1" customHeight="1" outlineLevel="4" x14ac:dyDescent="0.2">
      <c r="A752" s="60" t="s">
        <v>647</v>
      </c>
      <c r="B752" s="45"/>
      <c r="C752" s="45"/>
      <c r="D752" s="46">
        <v>51766</v>
      </c>
      <c r="E752" s="45"/>
      <c r="F752" s="45"/>
      <c r="G752" s="45"/>
      <c r="V752" s="73" t="s">
        <v>149</v>
      </c>
    </row>
    <row r="753" spans="1:34" ht="12" hidden="1" customHeight="1" outlineLevel="3" x14ac:dyDescent="0.2">
      <c r="A753" s="77" t="s">
        <v>348</v>
      </c>
      <c r="B753" s="45"/>
      <c r="C753" s="45"/>
      <c r="D753" s="46">
        <v>908894.54</v>
      </c>
      <c r="E753" s="45"/>
      <c r="F753" s="45"/>
      <c r="G753" s="45"/>
    </row>
    <row r="754" spans="1:34" ht="23.25" hidden="1" customHeight="1" outlineLevel="4" x14ac:dyDescent="0.2">
      <c r="A754" s="60" t="s">
        <v>655</v>
      </c>
      <c r="B754" s="45"/>
      <c r="C754" s="45"/>
      <c r="D754" s="46">
        <v>134501.79999999999</v>
      </c>
      <c r="E754" s="45"/>
      <c r="F754" s="45"/>
      <c r="G754" s="45"/>
      <c r="Y754" s="74" t="s">
        <v>156</v>
      </c>
    </row>
    <row r="755" spans="1:34" ht="23.25" hidden="1" customHeight="1" outlineLevel="4" x14ac:dyDescent="0.2">
      <c r="A755" s="60" t="s">
        <v>653</v>
      </c>
      <c r="B755" s="45"/>
      <c r="C755" s="45"/>
      <c r="D755" s="46">
        <v>145727.78</v>
      </c>
      <c r="E755" s="45"/>
      <c r="F755" s="45"/>
      <c r="G755" s="45"/>
      <c r="Y755" s="73" t="s">
        <v>159</v>
      </c>
    </row>
    <row r="756" spans="1:34" ht="23.25" hidden="1" customHeight="1" outlineLevel="4" x14ac:dyDescent="0.2">
      <c r="A756" s="60" t="s">
        <v>650</v>
      </c>
      <c r="B756" s="45"/>
      <c r="C756" s="45"/>
      <c r="D756" s="46">
        <v>169361</v>
      </c>
      <c r="E756" s="45"/>
      <c r="F756" s="45"/>
      <c r="G756" s="45"/>
      <c r="Y756" s="74" t="s">
        <v>144</v>
      </c>
    </row>
    <row r="757" spans="1:34" ht="23.25" hidden="1" customHeight="1" outlineLevel="4" x14ac:dyDescent="0.2">
      <c r="A757" s="60" t="s">
        <v>540</v>
      </c>
      <c r="B757" s="45"/>
      <c r="C757" s="45"/>
      <c r="D757" s="46">
        <v>41462.839999999997</v>
      </c>
      <c r="E757" s="45"/>
      <c r="F757" s="45"/>
      <c r="G757" s="45"/>
      <c r="Y757" s="73" t="s">
        <v>109</v>
      </c>
    </row>
    <row r="758" spans="1:34" ht="12" hidden="1" customHeight="1" outlineLevel="4" x14ac:dyDescent="0.2">
      <c r="A758" s="60" t="s">
        <v>613</v>
      </c>
      <c r="B758" s="45"/>
      <c r="C758" s="45"/>
      <c r="D758" s="46">
        <v>249569.15</v>
      </c>
      <c r="E758" s="45"/>
      <c r="F758" s="45"/>
      <c r="G758" s="45"/>
      <c r="Y758" s="73" t="s">
        <v>263</v>
      </c>
    </row>
    <row r="759" spans="1:34" ht="12" hidden="1" customHeight="1" outlineLevel="4" x14ac:dyDescent="0.2">
      <c r="A759" s="60" t="s">
        <v>568</v>
      </c>
      <c r="B759" s="45"/>
      <c r="C759" s="45"/>
      <c r="D759" s="46">
        <v>168271.97</v>
      </c>
      <c r="E759" s="45"/>
      <c r="F759" s="45"/>
      <c r="G759" s="45"/>
      <c r="Y759" s="73" t="s">
        <v>320</v>
      </c>
    </row>
    <row r="760" spans="1:34" ht="12" hidden="1" customHeight="1" outlineLevel="3" x14ac:dyDescent="0.2">
      <c r="A760" s="77" t="s">
        <v>350</v>
      </c>
      <c r="B760" s="45"/>
      <c r="C760" s="45"/>
      <c r="D760" s="46">
        <v>81978.880000000005</v>
      </c>
      <c r="E760" s="45"/>
      <c r="F760" s="45"/>
      <c r="G760" s="45"/>
    </row>
    <row r="761" spans="1:34" ht="12" hidden="1" customHeight="1" outlineLevel="4" x14ac:dyDescent="0.2">
      <c r="A761" s="60" t="s">
        <v>492</v>
      </c>
      <c r="B761" s="45"/>
      <c r="C761" s="45"/>
      <c r="D761" s="46">
        <v>15949.92</v>
      </c>
      <c r="E761" s="45"/>
      <c r="F761" s="45"/>
      <c r="G761" s="45"/>
      <c r="AG761" s="73" t="s">
        <v>175</v>
      </c>
    </row>
    <row r="762" spans="1:34" ht="12" hidden="1" customHeight="1" outlineLevel="4" x14ac:dyDescent="0.2">
      <c r="A762" s="60" t="s">
        <v>491</v>
      </c>
      <c r="B762" s="45"/>
      <c r="C762" s="45"/>
      <c r="D762" s="46">
        <v>15949.92</v>
      </c>
      <c r="E762" s="45"/>
      <c r="F762" s="45"/>
      <c r="G762" s="45"/>
      <c r="AG762" s="73" t="s">
        <v>176</v>
      </c>
    </row>
    <row r="763" spans="1:34" ht="12" hidden="1" customHeight="1" outlineLevel="4" x14ac:dyDescent="0.2">
      <c r="A763" s="60" t="s">
        <v>630</v>
      </c>
      <c r="B763" s="45"/>
      <c r="C763" s="45"/>
      <c r="D763" s="46">
        <v>37291.449999999997</v>
      </c>
      <c r="E763" s="45"/>
      <c r="F763" s="45"/>
      <c r="G763" s="45"/>
      <c r="AG763" s="73" t="s">
        <v>182</v>
      </c>
    </row>
    <row r="764" spans="1:34" ht="12" hidden="1" customHeight="1" outlineLevel="4" x14ac:dyDescent="0.2">
      <c r="A764" s="60" t="s">
        <v>595</v>
      </c>
      <c r="B764" s="45"/>
      <c r="C764" s="45"/>
      <c r="D764" s="46">
        <v>12787.59</v>
      </c>
      <c r="E764" s="45"/>
      <c r="F764" s="45"/>
      <c r="G764" s="45"/>
      <c r="AG764" s="73" t="s">
        <v>282</v>
      </c>
    </row>
    <row r="765" spans="1:34" ht="12" hidden="1" customHeight="1" outlineLevel="3" x14ac:dyDescent="0.2">
      <c r="A765" s="77" t="s">
        <v>765</v>
      </c>
      <c r="B765" s="45"/>
      <c r="C765" s="45"/>
      <c r="D765" s="46">
        <v>1258267.6000000001</v>
      </c>
      <c r="E765" s="45"/>
      <c r="F765" s="45"/>
      <c r="G765" s="45"/>
    </row>
    <row r="766" spans="1:34" ht="23.25" hidden="1" customHeight="1" outlineLevel="4" x14ac:dyDescent="0.2">
      <c r="A766" s="60" t="s">
        <v>653</v>
      </c>
      <c r="B766" s="45"/>
      <c r="C766" s="45"/>
      <c r="D766" s="46">
        <v>902059.4</v>
      </c>
      <c r="E766" s="45"/>
      <c r="F766" s="45"/>
      <c r="G766" s="45"/>
      <c r="AH766" s="73" t="s">
        <v>159</v>
      </c>
    </row>
    <row r="767" spans="1:34" ht="12" hidden="1" customHeight="1" outlineLevel="4" x14ac:dyDescent="0.2">
      <c r="A767" s="60" t="s">
        <v>643</v>
      </c>
      <c r="B767" s="45"/>
      <c r="C767" s="45"/>
      <c r="D767" s="46">
        <v>100836</v>
      </c>
      <c r="E767" s="45"/>
      <c r="F767" s="45"/>
      <c r="G767" s="45"/>
      <c r="AH767" s="73" t="s">
        <v>187</v>
      </c>
    </row>
    <row r="768" spans="1:34" ht="23.25" hidden="1" customHeight="1" outlineLevel="4" x14ac:dyDescent="0.2">
      <c r="A768" s="60" t="s">
        <v>558</v>
      </c>
      <c r="B768" s="45"/>
      <c r="C768" s="45"/>
      <c r="D768" s="46">
        <v>255372.2</v>
      </c>
      <c r="E768" s="45"/>
      <c r="F768" s="45"/>
      <c r="G768" s="45"/>
      <c r="AH768" s="73" t="s">
        <v>257</v>
      </c>
    </row>
    <row r="769" spans="1:28" ht="12" hidden="1" customHeight="1" outlineLevel="3" x14ac:dyDescent="0.2">
      <c r="A769" s="77" t="s">
        <v>764</v>
      </c>
      <c r="B769" s="45"/>
      <c r="C769" s="45"/>
      <c r="D769" s="46">
        <v>141739.72</v>
      </c>
      <c r="E769" s="45"/>
      <c r="F769" s="45"/>
      <c r="G769" s="45"/>
    </row>
    <row r="770" spans="1:28" ht="12" hidden="1" customHeight="1" outlineLevel="4" x14ac:dyDescent="0.2">
      <c r="A770" s="60" t="s">
        <v>669</v>
      </c>
      <c r="B770" s="45"/>
      <c r="C770" s="45"/>
      <c r="D770" s="46">
        <v>141739.72</v>
      </c>
      <c r="E770" s="45"/>
      <c r="F770" s="45"/>
      <c r="G770" s="45"/>
      <c r="AB770" s="73" t="s">
        <v>164</v>
      </c>
    </row>
    <row r="771" spans="1:28" ht="12" hidden="1" customHeight="1" outlineLevel="3" x14ac:dyDescent="0.2">
      <c r="A771" s="77" t="s">
        <v>763</v>
      </c>
      <c r="B771" s="45"/>
      <c r="C771" s="45"/>
      <c r="D771" s="46">
        <v>19146939.100000001</v>
      </c>
      <c r="E771" s="45"/>
      <c r="F771" s="45"/>
      <c r="G771" s="45"/>
    </row>
    <row r="772" spans="1:28" ht="12" hidden="1" customHeight="1" outlineLevel="4" x14ac:dyDescent="0.2">
      <c r="A772" s="60" t="s">
        <v>674</v>
      </c>
      <c r="B772" s="45"/>
      <c r="C772" s="45"/>
      <c r="D772" s="46">
        <v>133262.41</v>
      </c>
      <c r="E772" s="45"/>
      <c r="F772" s="45"/>
      <c r="G772" s="45"/>
      <c r="Z772" s="73" t="s">
        <v>170</v>
      </c>
    </row>
    <row r="773" spans="1:28" ht="12" hidden="1" customHeight="1" outlineLevel="4" x14ac:dyDescent="0.2">
      <c r="A773" s="60" t="s">
        <v>671</v>
      </c>
      <c r="B773" s="45"/>
      <c r="C773" s="45"/>
      <c r="D773" s="46">
        <v>94578.84</v>
      </c>
      <c r="E773" s="45"/>
      <c r="F773" s="45"/>
      <c r="G773" s="45"/>
      <c r="Z773" s="73" t="s">
        <v>173</v>
      </c>
    </row>
    <row r="774" spans="1:28" ht="12" hidden="1" customHeight="1" outlineLevel="4" x14ac:dyDescent="0.2">
      <c r="A774" s="60" t="s">
        <v>669</v>
      </c>
      <c r="B774" s="45"/>
      <c r="C774" s="45"/>
      <c r="D774" s="46">
        <v>340410.02</v>
      </c>
      <c r="E774" s="45"/>
      <c r="F774" s="45"/>
      <c r="G774" s="45"/>
      <c r="Z774" s="73" t="s">
        <v>164</v>
      </c>
    </row>
    <row r="775" spans="1:28" ht="12" hidden="1" customHeight="1" outlineLevel="4" x14ac:dyDescent="0.2">
      <c r="A775" s="60" t="s">
        <v>489</v>
      </c>
      <c r="B775" s="45"/>
      <c r="C775" s="45"/>
      <c r="D775" s="46">
        <v>232007</v>
      </c>
      <c r="E775" s="45"/>
      <c r="F775" s="45"/>
      <c r="G775" s="45"/>
      <c r="Z775" s="74" t="s">
        <v>179</v>
      </c>
    </row>
    <row r="776" spans="1:28" ht="23.25" hidden="1" customHeight="1" outlineLevel="4" x14ac:dyDescent="0.2">
      <c r="A776" s="60" t="s">
        <v>547</v>
      </c>
      <c r="B776" s="45"/>
      <c r="C776" s="45"/>
      <c r="D776" s="46">
        <v>1108298.73</v>
      </c>
      <c r="E776" s="45"/>
      <c r="F776" s="45"/>
      <c r="G776" s="45"/>
      <c r="Z776" s="73" t="s">
        <v>101</v>
      </c>
    </row>
    <row r="777" spans="1:28" ht="23.25" hidden="1" customHeight="1" outlineLevel="4" x14ac:dyDescent="0.2">
      <c r="A777" s="60" t="s">
        <v>546</v>
      </c>
      <c r="B777" s="45"/>
      <c r="C777" s="45"/>
      <c r="D777" s="46">
        <v>1004096.4</v>
      </c>
      <c r="E777" s="45"/>
      <c r="F777" s="45"/>
      <c r="G777" s="45"/>
      <c r="Z777" s="73" t="s">
        <v>103</v>
      </c>
    </row>
    <row r="778" spans="1:28" ht="23.25" hidden="1" customHeight="1" outlineLevel="4" x14ac:dyDescent="0.2">
      <c r="A778" s="60" t="s">
        <v>543</v>
      </c>
      <c r="B778" s="45"/>
      <c r="C778" s="45"/>
      <c r="D778" s="46">
        <v>1157923.03</v>
      </c>
      <c r="E778" s="45"/>
      <c r="F778" s="45"/>
      <c r="G778" s="45"/>
      <c r="Z778" s="73" t="s">
        <v>104</v>
      </c>
    </row>
    <row r="779" spans="1:28" ht="12" hidden="1" customHeight="1" outlineLevel="4" x14ac:dyDescent="0.2">
      <c r="A779" s="60" t="s">
        <v>724</v>
      </c>
      <c r="B779" s="45"/>
      <c r="C779" s="45"/>
      <c r="D779" s="46">
        <v>139452</v>
      </c>
      <c r="E779" s="45"/>
      <c r="F779" s="45"/>
      <c r="G779" s="45"/>
      <c r="Z779" s="73" t="s">
        <v>120</v>
      </c>
    </row>
    <row r="780" spans="1:28" ht="12" hidden="1" customHeight="1" outlineLevel="4" x14ac:dyDescent="0.2">
      <c r="A780" s="60" t="s">
        <v>533</v>
      </c>
      <c r="B780" s="45"/>
      <c r="C780" s="45"/>
      <c r="D780" s="46">
        <v>171124.3</v>
      </c>
      <c r="E780" s="45"/>
      <c r="F780" s="45"/>
      <c r="G780" s="45"/>
      <c r="Z780" s="73" t="s">
        <v>128</v>
      </c>
    </row>
    <row r="781" spans="1:28" ht="12" hidden="1" customHeight="1" outlineLevel="4" x14ac:dyDescent="0.2">
      <c r="A781" s="60" t="s">
        <v>486</v>
      </c>
      <c r="B781" s="45"/>
      <c r="C781" s="45"/>
      <c r="D781" s="46">
        <v>310091.93</v>
      </c>
      <c r="E781" s="45"/>
      <c r="F781" s="45"/>
      <c r="G781" s="45"/>
      <c r="Z781" s="73" t="s">
        <v>124</v>
      </c>
    </row>
    <row r="782" spans="1:28" ht="12" hidden="1" customHeight="1" outlineLevel="4" x14ac:dyDescent="0.2">
      <c r="A782" s="60" t="s">
        <v>643</v>
      </c>
      <c r="B782" s="45"/>
      <c r="C782" s="45"/>
      <c r="D782" s="46">
        <v>2451482.0299999998</v>
      </c>
      <c r="E782" s="45"/>
      <c r="F782" s="45"/>
      <c r="G782" s="45"/>
      <c r="Z782" s="73" t="s">
        <v>187</v>
      </c>
    </row>
    <row r="783" spans="1:28" ht="12" hidden="1" customHeight="1" outlineLevel="4" x14ac:dyDescent="0.2">
      <c r="A783" s="60" t="s">
        <v>636</v>
      </c>
      <c r="B783" s="45"/>
      <c r="C783" s="45"/>
      <c r="D783" s="46">
        <v>107834</v>
      </c>
      <c r="E783" s="45"/>
      <c r="F783" s="45"/>
      <c r="G783" s="45"/>
      <c r="Z783" s="74" t="s">
        <v>194</v>
      </c>
    </row>
    <row r="784" spans="1:28" ht="12" hidden="1" customHeight="1" outlineLevel="4" x14ac:dyDescent="0.2">
      <c r="A784" s="60" t="s">
        <v>634</v>
      </c>
      <c r="B784" s="45"/>
      <c r="C784" s="45"/>
      <c r="D784" s="46">
        <v>2074053.07</v>
      </c>
      <c r="E784" s="45"/>
      <c r="F784" s="45"/>
      <c r="G784" s="45"/>
      <c r="Z784" s="73" t="s">
        <v>198</v>
      </c>
    </row>
    <row r="785" spans="1:29" ht="12" hidden="1" customHeight="1" outlineLevel="4" x14ac:dyDescent="0.2">
      <c r="A785" s="60" t="s">
        <v>630</v>
      </c>
      <c r="B785" s="45"/>
      <c r="C785" s="45"/>
      <c r="D785" s="46">
        <v>342862.31</v>
      </c>
      <c r="E785" s="45"/>
      <c r="F785" s="45"/>
      <c r="G785" s="45"/>
      <c r="Z785" s="73" t="s">
        <v>182</v>
      </c>
    </row>
    <row r="786" spans="1:29" ht="12" hidden="1" customHeight="1" outlineLevel="4" x14ac:dyDescent="0.2">
      <c r="A786" s="60" t="s">
        <v>625</v>
      </c>
      <c r="B786" s="45"/>
      <c r="C786" s="45"/>
      <c r="D786" s="46">
        <v>1952764.04</v>
      </c>
      <c r="E786" s="45"/>
      <c r="F786" s="45"/>
      <c r="G786" s="45"/>
      <c r="Z786" s="73" t="s">
        <v>206</v>
      </c>
    </row>
    <row r="787" spans="1:29" ht="12" hidden="1" customHeight="1" outlineLevel="4" x14ac:dyDescent="0.2">
      <c r="A787" s="60" t="s">
        <v>527</v>
      </c>
      <c r="B787" s="45"/>
      <c r="C787" s="45"/>
      <c r="D787" s="46">
        <v>2177860.2599999998</v>
      </c>
      <c r="E787" s="45"/>
      <c r="F787" s="45"/>
      <c r="G787" s="45"/>
      <c r="Z787" s="73" t="s">
        <v>138</v>
      </c>
    </row>
    <row r="788" spans="1:29" ht="23.25" hidden="1" customHeight="1" outlineLevel="4" x14ac:dyDescent="0.2">
      <c r="A788" s="60" t="s">
        <v>711</v>
      </c>
      <c r="B788" s="45"/>
      <c r="C788" s="45"/>
      <c r="D788" s="46">
        <v>87706</v>
      </c>
      <c r="E788" s="45"/>
      <c r="F788" s="45"/>
      <c r="G788" s="45"/>
      <c r="Z788" s="73" t="s">
        <v>244</v>
      </c>
    </row>
    <row r="789" spans="1:29" ht="23.25" hidden="1" customHeight="1" outlineLevel="4" x14ac:dyDescent="0.2">
      <c r="A789" s="60" t="s">
        <v>707</v>
      </c>
      <c r="B789" s="45"/>
      <c r="C789" s="45"/>
      <c r="D789" s="46">
        <v>1290265.04</v>
      </c>
      <c r="E789" s="45"/>
      <c r="F789" s="45"/>
      <c r="G789" s="45"/>
      <c r="Z789" s="73" t="s">
        <v>251</v>
      </c>
    </row>
    <row r="790" spans="1:29" ht="23.25" hidden="1" customHeight="1" outlineLevel="4" x14ac:dyDescent="0.2">
      <c r="A790" s="60" t="s">
        <v>481</v>
      </c>
      <c r="B790" s="45"/>
      <c r="C790" s="45"/>
      <c r="D790" s="46">
        <v>559878.40000000002</v>
      </c>
      <c r="E790" s="45"/>
      <c r="F790" s="45"/>
      <c r="G790" s="45"/>
      <c r="Z790" s="73" t="s">
        <v>252</v>
      </c>
    </row>
    <row r="791" spans="1:29" ht="23.25" hidden="1" customHeight="1" outlineLevel="4" x14ac:dyDescent="0.2">
      <c r="A791" s="60" t="s">
        <v>700</v>
      </c>
      <c r="B791" s="45"/>
      <c r="C791" s="45"/>
      <c r="D791" s="46">
        <v>1637706.57</v>
      </c>
      <c r="E791" s="45"/>
      <c r="F791" s="45"/>
      <c r="G791" s="45"/>
      <c r="Z791" s="73" t="s">
        <v>217</v>
      </c>
    </row>
    <row r="792" spans="1:29" ht="23.25" hidden="1" customHeight="1" outlineLevel="4" x14ac:dyDescent="0.2">
      <c r="A792" s="60" t="s">
        <v>699</v>
      </c>
      <c r="B792" s="45"/>
      <c r="C792" s="45"/>
      <c r="D792" s="46">
        <v>119938</v>
      </c>
      <c r="E792" s="45"/>
      <c r="F792" s="45"/>
      <c r="G792" s="45"/>
      <c r="Z792" s="73" t="s">
        <v>218</v>
      </c>
    </row>
    <row r="793" spans="1:29" ht="23.25" hidden="1" customHeight="1" outlineLevel="4" x14ac:dyDescent="0.2">
      <c r="A793" s="60" t="s">
        <v>687</v>
      </c>
      <c r="B793" s="45"/>
      <c r="C793" s="45"/>
      <c r="D793" s="46">
        <v>468822.67</v>
      </c>
      <c r="E793" s="45"/>
      <c r="F793" s="45"/>
      <c r="G793" s="45"/>
      <c r="Z793" s="73" t="s">
        <v>230</v>
      </c>
    </row>
    <row r="794" spans="1:29" ht="12" hidden="1" customHeight="1" outlineLevel="4" x14ac:dyDescent="0.2">
      <c r="A794" s="60" t="s">
        <v>598</v>
      </c>
      <c r="B794" s="45"/>
      <c r="C794" s="45"/>
      <c r="D794" s="46">
        <v>1068642.33</v>
      </c>
      <c r="E794" s="45"/>
      <c r="F794" s="45"/>
      <c r="G794" s="45"/>
      <c r="Z794" s="73" t="s">
        <v>279</v>
      </c>
    </row>
    <row r="795" spans="1:29" ht="12" hidden="1" customHeight="1" outlineLevel="4" x14ac:dyDescent="0.2">
      <c r="A795" s="60" t="s">
        <v>589</v>
      </c>
      <c r="B795" s="45"/>
      <c r="C795" s="45"/>
      <c r="D795" s="46">
        <v>115879.72</v>
      </c>
      <c r="E795" s="45"/>
      <c r="F795" s="45"/>
      <c r="G795" s="45"/>
      <c r="Z795" s="73" t="s">
        <v>288</v>
      </c>
    </row>
    <row r="796" spans="1:29" ht="12" hidden="1" customHeight="1" outlineLevel="3" x14ac:dyDescent="0.2">
      <c r="A796" s="77" t="s">
        <v>381</v>
      </c>
      <c r="B796" s="45"/>
      <c r="C796" s="45"/>
      <c r="D796" s="46">
        <v>111895.49</v>
      </c>
      <c r="E796" s="45"/>
      <c r="F796" s="45"/>
      <c r="G796" s="45"/>
    </row>
    <row r="797" spans="1:29" ht="12" hidden="1" customHeight="1" outlineLevel="4" x14ac:dyDescent="0.2">
      <c r="A797" s="60" t="s">
        <v>616</v>
      </c>
      <c r="B797" s="45"/>
      <c r="C797" s="45"/>
      <c r="D797" s="46">
        <v>111895.49</v>
      </c>
      <c r="E797" s="45"/>
      <c r="F797" s="45"/>
      <c r="G797" s="45"/>
      <c r="AC797" s="73" t="s">
        <v>254</v>
      </c>
    </row>
    <row r="798" spans="1:29" ht="12" hidden="1" customHeight="1" outlineLevel="3" x14ac:dyDescent="0.2">
      <c r="A798" s="140" t="s">
        <v>762</v>
      </c>
      <c r="B798" s="45"/>
      <c r="C798" s="45"/>
      <c r="D798" s="46">
        <v>5976382.8300000001</v>
      </c>
      <c r="E798" s="45"/>
      <c r="F798" s="45"/>
      <c r="G798" s="45"/>
    </row>
    <row r="799" spans="1:29" ht="12" hidden="1" customHeight="1" outlineLevel="4" x14ac:dyDescent="0.2">
      <c r="A799" s="139" t="s">
        <v>726</v>
      </c>
      <c r="B799" s="45"/>
      <c r="C799" s="45"/>
      <c r="D799" s="46">
        <v>44711</v>
      </c>
      <c r="E799" s="45"/>
      <c r="F799" s="45"/>
      <c r="G799" s="45"/>
      <c r="AA799" s="73" t="s">
        <v>118</v>
      </c>
    </row>
    <row r="800" spans="1:29" ht="23.25" hidden="1" customHeight="1" outlineLevel="4" x14ac:dyDescent="0.2">
      <c r="A800" s="60" t="s">
        <v>558</v>
      </c>
      <c r="B800" s="45"/>
      <c r="C800" s="45"/>
      <c r="D800" s="71">
        <v>5931671.8300000001</v>
      </c>
      <c r="E800" s="45"/>
      <c r="F800" s="45"/>
      <c r="G800" s="45"/>
      <c r="AA800" s="73"/>
    </row>
    <row r="801" spans="1:52" ht="12" hidden="1" customHeight="1" outlineLevel="3" x14ac:dyDescent="0.2">
      <c r="A801" s="77" t="s">
        <v>344</v>
      </c>
      <c r="B801" s="45"/>
      <c r="C801" s="45"/>
      <c r="D801" s="46">
        <v>187643.79</v>
      </c>
      <c r="E801" s="45"/>
      <c r="F801" s="45"/>
      <c r="G801" s="45"/>
    </row>
    <row r="802" spans="1:52" ht="12" hidden="1" customHeight="1" outlineLevel="4" x14ac:dyDescent="0.2">
      <c r="A802" s="60" t="s">
        <v>493</v>
      </c>
      <c r="B802" s="45"/>
      <c r="C802" s="45"/>
      <c r="D802" s="46">
        <v>62482</v>
      </c>
      <c r="E802" s="45"/>
      <c r="F802" s="45"/>
      <c r="G802" s="45"/>
      <c r="Q802" s="73" t="s">
        <v>90</v>
      </c>
    </row>
    <row r="803" spans="1:52" ht="23.25" hidden="1" customHeight="1" outlineLevel="4" x14ac:dyDescent="0.2">
      <c r="A803" s="60" t="s">
        <v>650</v>
      </c>
      <c r="B803" s="45"/>
      <c r="C803" s="45"/>
      <c r="D803" s="46">
        <v>17019</v>
      </c>
      <c r="E803" s="45"/>
      <c r="F803" s="45"/>
      <c r="G803" s="45"/>
      <c r="Q803" s="74" t="s">
        <v>144</v>
      </c>
    </row>
    <row r="804" spans="1:52" ht="23.25" hidden="1" customHeight="1" outlineLevel="4" x14ac:dyDescent="0.2">
      <c r="A804" s="60" t="s">
        <v>649</v>
      </c>
      <c r="B804" s="45"/>
      <c r="C804" s="45"/>
      <c r="D804" s="46">
        <v>23507</v>
      </c>
      <c r="E804" s="45"/>
      <c r="F804" s="45"/>
      <c r="G804" s="45"/>
      <c r="Q804" s="73" t="s">
        <v>146</v>
      </c>
    </row>
    <row r="805" spans="1:52" ht="12" hidden="1" customHeight="1" outlineLevel="4" x14ac:dyDescent="0.2">
      <c r="A805" s="60" t="s">
        <v>487</v>
      </c>
      <c r="B805" s="45"/>
      <c r="C805" s="45"/>
      <c r="D805" s="46">
        <v>17866</v>
      </c>
      <c r="E805" s="45"/>
      <c r="F805" s="45"/>
      <c r="G805" s="45"/>
      <c r="Q805" s="73" t="s">
        <v>125</v>
      </c>
    </row>
    <row r="806" spans="1:52" ht="12" hidden="1" customHeight="1" outlineLevel="4" x14ac:dyDescent="0.2">
      <c r="A806" s="60" t="s">
        <v>536</v>
      </c>
      <c r="B806" s="45"/>
      <c r="C806" s="45"/>
      <c r="D806" s="46">
        <v>29018</v>
      </c>
      <c r="E806" s="45"/>
      <c r="F806" s="45"/>
      <c r="G806" s="45"/>
      <c r="Q806" s="73" t="s">
        <v>126</v>
      </c>
    </row>
    <row r="807" spans="1:52" ht="12" hidden="1" customHeight="1" outlineLevel="4" x14ac:dyDescent="0.2">
      <c r="A807" s="60" t="s">
        <v>566</v>
      </c>
      <c r="B807" s="45"/>
      <c r="C807" s="45"/>
      <c r="D807" s="46">
        <v>9041.4699999999993</v>
      </c>
      <c r="E807" s="45"/>
      <c r="F807" s="45"/>
      <c r="G807" s="45"/>
      <c r="Q807" s="73" t="s">
        <v>133</v>
      </c>
    </row>
    <row r="808" spans="1:52" ht="12" hidden="1" customHeight="1" outlineLevel="4" x14ac:dyDescent="0.2">
      <c r="A808" s="60" t="s">
        <v>644</v>
      </c>
      <c r="B808" s="45"/>
      <c r="C808" s="45"/>
      <c r="D808" s="46">
        <v>6904.51</v>
      </c>
      <c r="E808" s="45"/>
      <c r="F808" s="45"/>
      <c r="G808" s="45"/>
      <c r="Q808" s="73" t="s">
        <v>186</v>
      </c>
    </row>
    <row r="809" spans="1:52" ht="12" hidden="1" customHeight="1" outlineLevel="4" x14ac:dyDescent="0.2">
      <c r="A809" s="60" t="s">
        <v>635</v>
      </c>
      <c r="B809" s="45"/>
      <c r="C809" s="45"/>
      <c r="D809" s="46">
        <v>7317.13</v>
      </c>
      <c r="E809" s="45"/>
      <c r="F809" s="45"/>
      <c r="G809" s="45"/>
      <c r="Q809" s="74" t="s">
        <v>196</v>
      </c>
    </row>
    <row r="810" spans="1:52" ht="12" hidden="1" customHeight="1" outlineLevel="4" x14ac:dyDescent="0.2">
      <c r="A810" s="60" t="s">
        <v>527</v>
      </c>
      <c r="B810" s="45"/>
      <c r="C810" s="45"/>
      <c r="D810" s="46">
        <v>5920.34</v>
      </c>
      <c r="E810" s="45"/>
      <c r="F810" s="45"/>
      <c r="G810" s="45"/>
      <c r="Q810" s="73" t="s">
        <v>138</v>
      </c>
    </row>
    <row r="811" spans="1:52" ht="12" hidden="1" customHeight="1" outlineLevel="4" x14ac:dyDescent="0.2">
      <c r="A811" s="60" t="s">
        <v>515</v>
      </c>
      <c r="B811" s="45"/>
      <c r="C811" s="45"/>
      <c r="D811" s="46">
        <v>8568.34</v>
      </c>
      <c r="E811" s="45"/>
      <c r="F811" s="45"/>
      <c r="G811" s="45"/>
      <c r="Q811" s="73" t="s">
        <v>296</v>
      </c>
    </row>
    <row r="812" spans="1:52" ht="12" hidden="1" customHeight="1" outlineLevel="3" x14ac:dyDescent="0.2">
      <c r="A812" s="77" t="s">
        <v>379</v>
      </c>
      <c r="B812" s="45"/>
      <c r="C812" s="45"/>
      <c r="D812" s="46">
        <v>337964.67</v>
      </c>
      <c r="E812" s="45"/>
      <c r="F812" s="45"/>
      <c r="G812" s="45"/>
    </row>
    <row r="813" spans="1:52" ht="23.25" hidden="1" customHeight="1" outlineLevel="4" x14ac:dyDescent="0.2">
      <c r="A813" s="60" t="s">
        <v>542</v>
      </c>
      <c r="B813" s="45"/>
      <c r="C813" s="45"/>
      <c r="D813" s="46">
        <v>38868</v>
      </c>
      <c r="E813" s="45"/>
      <c r="F813" s="45"/>
      <c r="G813" s="45"/>
      <c r="P813" s="73"/>
      <c r="W813" s="73" t="s">
        <v>107</v>
      </c>
      <c r="X813" s="73"/>
      <c r="AD813" s="73"/>
      <c r="AK813" s="73"/>
      <c r="AM813" s="73"/>
    </row>
    <row r="814" spans="1:52" ht="23.25" hidden="1" customHeight="1" outlineLevel="4" x14ac:dyDescent="0.2">
      <c r="A814" s="60" t="s">
        <v>686</v>
      </c>
      <c r="B814" s="45"/>
      <c r="C814" s="45"/>
      <c r="D814" s="46">
        <v>129582</v>
      </c>
      <c r="E814" s="45"/>
      <c r="F814" s="45"/>
      <c r="G814" s="45"/>
      <c r="P814" s="73"/>
      <c r="W814" s="73" t="s">
        <v>231</v>
      </c>
      <c r="X814" s="73"/>
      <c r="AD814" s="73"/>
      <c r="AK814" s="73"/>
      <c r="AM814" s="73"/>
    </row>
    <row r="815" spans="1:52" ht="12" hidden="1" customHeight="1" outlineLevel="4" x14ac:dyDescent="0.2">
      <c r="A815" s="60" t="s">
        <v>575</v>
      </c>
      <c r="B815" s="45"/>
      <c r="C815" s="45"/>
      <c r="D815" s="46">
        <v>169514.67</v>
      </c>
      <c r="E815" s="45"/>
      <c r="F815" s="45"/>
      <c r="G815" s="45"/>
      <c r="P815" s="73"/>
      <c r="W815" s="73" t="s">
        <v>322</v>
      </c>
      <c r="X815" s="73"/>
      <c r="AD815" s="73"/>
      <c r="AK815" s="73"/>
      <c r="AM815" s="73"/>
    </row>
    <row r="816" spans="1:52" ht="45.75" hidden="1" customHeight="1" outlineLevel="3" x14ac:dyDescent="0.2">
      <c r="A816" s="77" t="s">
        <v>761</v>
      </c>
      <c r="B816" s="45"/>
      <c r="C816" s="45"/>
      <c r="D816" s="46">
        <v>92262756.879999995</v>
      </c>
      <c r="E816" s="45"/>
      <c r="F816" s="45"/>
      <c r="G816" s="45"/>
      <c r="AZ816" s="41" t="s">
        <v>338</v>
      </c>
    </row>
    <row r="817" spans="1:56" ht="12" hidden="1" customHeight="1" outlineLevel="4" x14ac:dyDescent="0.2">
      <c r="A817" s="60" t="s">
        <v>495</v>
      </c>
      <c r="B817" s="45"/>
      <c r="C817" s="45"/>
      <c r="D817" s="46">
        <v>92262756.879999995</v>
      </c>
      <c r="E817" s="45"/>
      <c r="F817" s="45"/>
      <c r="G817" s="45"/>
    </row>
    <row r="818" spans="1:56" ht="12" hidden="1" customHeight="1" outlineLevel="3" x14ac:dyDescent="0.2">
      <c r="A818" s="77" t="s">
        <v>760</v>
      </c>
      <c r="B818" s="45"/>
      <c r="C818" s="45"/>
      <c r="D818" s="46">
        <v>13938386.1</v>
      </c>
      <c r="E818" s="45"/>
      <c r="F818" s="45"/>
      <c r="G818" s="45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 t="s">
        <v>337</v>
      </c>
      <c r="AZ818" s="78"/>
      <c r="BA818" s="78"/>
      <c r="BB818" s="78"/>
      <c r="BC818" s="78"/>
      <c r="BD818" s="78"/>
    </row>
    <row r="819" spans="1:56" ht="12" hidden="1" customHeight="1" outlineLevel="4" x14ac:dyDescent="0.2">
      <c r="A819" s="60" t="s">
        <v>495</v>
      </c>
      <c r="B819" s="45"/>
      <c r="C819" s="45"/>
      <c r="D819" s="46">
        <v>13938386.1</v>
      </c>
      <c r="E819" s="45"/>
      <c r="F819" s="45"/>
      <c r="G819" s="45"/>
    </row>
    <row r="820" spans="1:56" ht="34.5" hidden="1" customHeight="1" outlineLevel="3" x14ac:dyDescent="0.2">
      <c r="A820" s="80" t="s">
        <v>759</v>
      </c>
      <c r="B820" s="45"/>
      <c r="C820" s="45"/>
      <c r="D820" s="46">
        <v>138000</v>
      </c>
      <c r="E820" s="45"/>
      <c r="F820" s="45"/>
      <c r="G820" s="45"/>
    </row>
    <row r="821" spans="1:56" ht="12" hidden="1" customHeight="1" outlineLevel="4" x14ac:dyDescent="0.2">
      <c r="A821" s="60" t="s">
        <v>669</v>
      </c>
      <c r="B821" s="45"/>
      <c r="C821" s="45"/>
      <c r="D821" s="46">
        <v>106000</v>
      </c>
      <c r="E821" s="45"/>
      <c r="F821" s="45"/>
      <c r="G821" s="45"/>
      <c r="AW821" s="73" t="s">
        <v>164</v>
      </c>
    </row>
    <row r="822" spans="1:56" ht="23.25" hidden="1" customHeight="1" outlineLevel="4" x14ac:dyDescent="0.2">
      <c r="A822" s="60" t="s">
        <v>653</v>
      </c>
      <c r="B822" s="45"/>
      <c r="C822" s="45"/>
      <c r="D822" s="46">
        <v>2000</v>
      </c>
      <c r="E822" s="45"/>
      <c r="F822" s="45"/>
      <c r="G822" s="45"/>
      <c r="AW822" s="73" t="s">
        <v>159</v>
      </c>
    </row>
    <row r="823" spans="1:56" ht="23.25" hidden="1" customHeight="1" outlineLevel="4" x14ac:dyDescent="0.2">
      <c r="A823" s="60" t="s">
        <v>647</v>
      </c>
      <c r="B823" s="45"/>
      <c r="C823" s="45"/>
      <c r="D823" s="46">
        <v>4000</v>
      </c>
      <c r="E823" s="45"/>
      <c r="F823" s="45"/>
      <c r="G823" s="45"/>
      <c r="AW823" s="73" t="s">
        <v>149</v>
      </c>
    </row>
    <row r="824" spans="1:56" ht="12" hidden="1" customHeight="1" outlineLevel="4" x14ac:dyDescent="0.2">
      <c r="A824" s="60" t="s">
        <v>586</v>
      </c>
      <c r="B824" s="45"/>
      <c r="C824" s="45"/>
      <c r="D824" s="46">
        <v>6000</v>
      </c>
      <c r="E824" s="45"/>
      <c r="F824" s="45"/>
      <c r="G824" s="45"/>
      <c r="AW824" s="73" t="s">
        <v>262</v>
      </c>
    </row>
    <row r="825" spans="1:56" ht="12" hidden="1" customHeight="1" outlineLevel="4" x14ac:dyDescent="0.2">
      <c r="A825" s="60" t="s">
        <v>613</v>
      </c>
      <c r="B825" s="45"/>
      <c r="C825" s="45"/>
      <c r="D825" s="46">
        <v>6000</v>
      </c>
      <c r="E825" s="45"/>
      <c r="F825" s="45"/>
      <c r="G825" s="45"/>
      <c r="AW825" s="73" t="s">
        <v>263</v>
      </c>
    </row>
    <row r="826" spans="1:56" ht="12" hidden="1" customHeight="1" outlineLevel="4" x14ac:dyDescent="0.2">
      <c r="A826" s="60" t="s">
        <v>600</v>
      </c>
      <c r="B826" s="45"/>
      <c r="C826" s="45"/>
      <c r="D826" s="46">
        <v>6000</v>
      </c>
      <c r="E826" s="45"/>
      <c r="F826" s="45"/>
      <c r="G826" s="45"/>
      <c r="AW826" s="73" t="s">
        <v>278</v>
      </c>
    </row>
    <row r="827" spans="1:56" ht="12" hidden="1" customHeight="1" outlineLevel="4" x14ac:dyDescent="0.2">
      <c r="A827" s="60" t="s">
        <v>506</v>
      </c>
      <c r="B827" s="45"/>
      <c r="C827" s="45"/>
      <c r="D827" s="46">
        <v>8000</v>
      </c>
      <c r="E827" s="45"/>
      <c r="F827" s="45"/>
      <c r="G827" s="45"/>
      <c r="AW827" s="73" t="s">
        <v>302</v>
      </c>
    </row>
    <row r="828" spans="1:56" ht="45.75" hidden="1" customHeight="1" outlineLevel="3" x14ac:dyDescent="0.2">
      <c r="A828" s="80" t="s">
        <v>359</v>
      </c>
      <c r="B828" s="45"/>
      <c r="C828" s="45"/>
      <c r="D828" s="46">
        <v>8500</v>
      </c>
      <c r="E828" s="45"/>
      <c r="F828" s="45"/>
      <c r="G828" s="45"/>
    </row>
    <row r="829" spans="1:56" ht="23.25" hidden="1" customHeight="1" outlineLevel="4" x14ac:dyDescent="0.2">
      <c r="A829" s="60" t="s">
        <v>556</v>
      </c>
      <c r="B829" s="45"/>
      <c r="C829" s="45"/>
      <c r="D829" s="46">
        <v>8500</v>
      </c>
      <c r="E829" s="45"/>
      <c r="F829" s="45"/>
      <c r="G829" s="45"/>
      <c r="AP829" s="73"/>
      <c r="AV829" s="73" t="s">
        <v>259</v>
      </c>
      <c r="AX829" s="73"/>
    </row>
    <row r="830" spans="1:56" ht="12" hidden="1" customHeight="1" outlineLevel="3" x14ac:dyDescent="0.2">
      <c r="A830" s="80" t="s">
        <v>758</v>
      </c>
      <c r="B830" s="45"/>
      <c r="C830" s="45"/>
      <c r="D830" s="46">
        <v>5391784.9400000004</v>
      </c>
      <c r="E830" s="45"/>
      <c r="F830" s="45"/>
      <c r="G830" s="45"/>
    </row>
    <row r="831" spans="1:56" ht="23.25" hidden="1" customHeight="1" outlineLevel="4" x14ac:dyDescent="0.2">
      <c r="A831" s="60" t="s">
        <v>585</v>
      </c>
      <c r="B831" s="45"/>
      <c r="C831" s="45"/>
      <c r="D831" s="66">
        <v>632.16999999999996</v>
      </c>
      <c r="E831" s="45"/>
      <c r="F831" s="45"/>
      <c r="G831" s="45"/>
      <c r="BD831" s="73" t="s">
        <v>96</v>
      </c>
    </row>
    <row r="832" spans="1:56" ht="23.25" hidden="1" customHeight="1" outlineLevel="4" x14ac:dyDescent="0.2">
      <c r="A832" s="60" t="s">
        <v>583</v>
      </c>
      <c r="B832" s="45"/>
      <c r="C832" s="45"/>
      <c r="D832" s="66">
        <v>632.16999999999996</v>
      </c>
      <c r="E832" s="45"/>
      <c r="F832" s="45"/>
      <c r="G832" s="45"/>
      <c r="BD832" s="73" t="s">
        <v>94</v>
      </c>
    </row>
    <row r="833" spans="1:56" ht="12" hidden="1" customHeight="1" outlineLevel="4" x14ac:dyDescent="0.2">
      <c r="A833" s="60" t="s">
        <v>749</v>
      </c>
      <c r="B833" s="45"/>
      <c r="C833" s="45"/>
      <c r="D833" s="66">
        <v>632.16999999999996</v>
      </c>
      <c r="E833" s="45"/>
      <c r="F833" s="45"/>
      <c r="G833" s="45"/>
      <c r="BD833" s="73" t="s">
        <v>86</v>
      </c>
    </row>
    <row r="834" spans="1:56" ht="12" hidden="1" customHeight="1" outlineLevel="4" x14ac:dyDescent="0.2">
      <c r="A834" s="60" t="s">
        <v>748</v>
      </c>
      <c r="B834" s="45"/>
      <c r="C834" s="45"/>
      <c r="D834" s="66">
        <v>632.16999999999996</v>
      </c>
      <c r="E834" s="45"/>
      <c r="F834" s="45"/>
      <c r="G834" s="45"/>
      <c r="BD834" s="73" t="s">
        <v>88</v>
      </c>
    </row>
    <row r="835" spans="1:56" ht="12" hidden="1" customHeight="1" outlineLevel="4" x14ac:dyDescent="0.2">
      <c r="A835" s="60" t="s">
        <v>747</v>
      </c>
      <c r="B835" s="45"/>
      <c r="C835" s="45"/>
      <c r="D835" s="46">
        <v>1264.33</v>
      </c>
      <c r="E835" s="45"/>
      <c r="F835" s="45"/>
      <c r="G835" s="45"/>
      <c r="BD835" s="73" t="s">
        <v>89</v>
      </c>
    </row>
    <row r="836" spans="1:56" ht="12" hidden="1" customHeight="1" outlineLevel="4" x14ac:dyDescent="0.2">
      <c r="A836" s="60" t="s">
        <v>493</v>
      </c>
      <c r="B836" s="45"/>
      <c r="C836" s="45"/>
      <c r="D836" s="46">
        <v>1264.33</v>
      </c>
      <c r="E836" s="45"/>
      <c r="F836" s="45"/>
      <c r="G836" s="45"/>
      <c r="BD836" s="73" t="s">
        <v>90</v>
      </c>
    </row>
    <row r="837" spans="1:56" ht="12" hidden="1" customHeight="1" outlineLevel="4" x14ac:dyDescent="0.2">
      <c r="A837" s="60" t="s">
        <v>746</v>
      </c>
      <c r="B837" s="45"/>
      <c r="C837" s="45"/>
      <c r="D837" s="46">
        <v>1264.33</v>
      </c>
      <c r="E837" s="45"/>
      <c r="F837" s="45"/>
      <c r="G837" s="45"/>
      <c r="BD837" s="73" t="s">
        <v>91</v>
      </c>
    </row>
    <row r="838" spans="1:56" ht="12" hidden="1" customHeight="1" outlineLevel="4" x14ac:dyDescent="0.2">
      <c r="A838" s="60" t="s">
        <v>745</v>
      </c>
      <c r="B838" s="45"/>
      <c r="C838" s="45"/>
      <c r="D838" s="46">
        <v>1264.33</v>
      </c>
      <c r="E838" s="45"/>
      <c r="F838" s="45"/>
      <c r="G838" s="45"/>
      <c r="BD838" s="73" t="s">
        <v>92</v>
      </c>
    </row>
    <row r="839" spans="1:56" ht="12" hidden="1" customHeight="1" outlineLevel="4" x14ac:dyDescent="0.2">
      <c r="A839" s="60" t="s">
        <v>744</v>
      </c>
      <c r="B839" s="45"/>
      <c r="C839" s="45"/>
      <c r="D839" s="66">
        <v>948.25</v>
      </c>
      <c r="E839" s="45"/>
      <c r="F839" s="45"/>
      <c r="G839" s="45"/>
      <c r="BD839" s="73" t="s">
        <v>93</v>
      </c>
    </row>
    <row r="840" spans="1:56" ht="12" hidden="1" customHeight="1" outlineLevel="4" x14ac:dyDescent="0.2">
      <c r="A840" s="60" t="s">
        <v>580</v>
      </c>
      <c r="B840" s="45"/>
      <c r="C840" s="45"/>
      <c r="D840" s="66">
        <v>632.16999999999996</v>
      </c>
      <c r="E840" s="45"/>
      <c r="F840" s="45"/>
      <c r="G840" s="45"/>
      <c r="BD840" s="73" t="s">
        <v>327</v>
      </c>
    </row>
    <row r="841" spans="1:56" ht="12" hidden="1" customHeight="1" outlineLevel="4" x14ac:dyDescent="0.2">
      <c r="A841" s="60" t="s">
        <v>757</v>
      </c>
      <c r="B841" s="45"/>
      <c r="C841" s="45"/>
      <c r="D841" s="66">
        <v>316.08</v>
      </c>
      <c r="E841" s="45"/>
      <c r="F841" s="45"/>
      <c r="G841" s="45"/>
      <c r="BD841" s="82" t="s">
        <v>330</v>
      </c>
    </row>
    <row r="842" spans="1:56" ht="12" hidden="1" customHeight="1" outlineLevel="4" x14ac:dyDescent="0.2">
      <c r="A842" s="60" t="s">
        <v>578</v>
      </c>
      <c r="B842" s="45"/>
      <c r="C842" s="45"/>
      <c r="D842" s="46">
        <v>1975.52</v>
      </c>
      <c r="E842" s="45"/>
      <c r="F842" s="45"/>
      <c r="G842" s="45"/>
      <c r="BD842" s="73" t="s">
        <v>309</v>
      </c>
    </row>
    <row r="843" spans="1:56" ht="12" hidden="1" customHeight="1" outlineLevel="4" x14ac:dyDescent="0.2">
      <c r="A843" s="60" t="s">
        <v>577</v>
      </c>
      <c r="B843" s="45"/>
      <c r="C843" s="45"/>
      <c r="D843" s="46">
        <v>6321.68</v>
      </c>
      <c r="E843" s="45"/>
      <c r="F843" s="45"/>
      <c r="G843" s="45"/>
      <c r="BD843" s="73" t="s">
        <v>314</v>
      </c>
    </row>
    <row r="844" spans="1:56" ht="12" hidden="1" customHeight="1" outlineLevel="4" x14ac:dyDescent="0.2">
      <c r="A844" s="60" t="s">
        <v>495</v>
      </c>
      <c r="B844" s="45"/>
      <c r="C844" s="45"/>
      <c r="D844" s="71">
        <v>4128500</v>
      </c>
      <c r="E844" s="45"/>
      <c r="F844" s="45"/>
      <c r="G844" s="45"/>
      <c r="BD844" s="69"/>
    </row>
    <row r="845" spans="1:56" ht="12" hidden="1" customHeight="1" outlineLevel="4" x14ac:dyDescent="0.2">
      <c r="A845" s="60" t="s">
        <v>742</v>
      </c>
      <c r="B845" s="45"/>
      <c r="C845" s="45"/>
      <c r="D845" s="46">
        <v>1264.33</v>
      </c>
      <c r="E845" s="45"/>
      <c r="F845" s="45"/>
      <c r="G845" s="45"/>
      <c r="BD845" s="73" t="s">
        <v>70</v>
      </c>
    </row>
    <row r="846" spans="1:56" ht="12" hidden="1" customHeight="1" outlineLevel="4" x14ac:dyDescent="0.2">
      <c r="A846" s="60" t="s">
        <v>741</v>
      </c>
      <c r="B846" s="45"/>
      <c r="C846" s="45"/>
      <c r="D846" s="66">
        <v>632.16999999999996</v>
      </c>
      <c r="E846" s="45"/>
      <c r="F846" s="45"/>
      <c r="G846" s="45"/>
      <c r="BD846" s="73" t="s">
        <v>74</v>
      </c>
    </row>
    <row r="847" spans="1:56" ht="12" hidden="1" customHeight="1" outlineLevel="4" x14ac:dyDescent="0.2">
      <c r="A847" s="60" t="s">
        <v>740</v>
      </c>
      <c r="B847" s="45"/>
      <c r="C847" s="45"/>
      <c r="D847" s="66">
        <v>632.16999999999996</v>
      </c>
      <c r="E847" s="45"/>
      <c r="F847" s="45"/>
      <c r="G847" s="45"/>
      <c r="BD847" s="73" t="s">
        <v>75</v>
      </c>
    </row>
    <row r="848" spans="1:56" ht="12" hidden="1" customHeight="1" outlineLevel="4" x14ac:dyDescent="0.2">
      <c r="A848" s="60" t="s">
        <v>739</v>
      </c>
      <c r="B848" s="45"/>
      <c r="C848" s="45"/>
      <c r="D848" s="46">
        <v>1580.42</v>
      </c>
      <c r="E848" s="45"/>
      <c r="F848" s="45"/>
      <c r="G848" s="45"/>
      <c r="BD848" s="73" t="s">
        <v>76</v>
      </c>
    </row>
    <row r="849" spans="1:56" ht="12" hidden="1" customHeight="1" outlineLevel="4" x14ac:dyDescent="0.2">
      <c r="A849" s="60" t="s">
        <v>738</v>
      </c>
      <c r="B849" s="45"/>
      <c r="C849" s="45"/>
      <c r="D849" s="66">
        <v>948.25</v>
      </c>
      <c r="E849" s="45"/>
      <c r="F849" s="45"/>
      <c r="G849" s="45"/>
      <c r="BD849" s="73" t="s">
        <v>77</v>
      </c>
    </row>
    <row r="850" spans="1:56" ht="12" hidden="1" customHeight="1" outlineLevel="4" x14ac:dyDescent="0.2">
      <c r="A850" s="60" t="s">
        <v>737</v>
      </c>
      <c r="B850" s="45"/>
      <c r="C850" s="45"/>
      <c r="D850" s="66">
        <v>948.25</v>
      </c>
      <c r="E850" s="45"/>
      <c r="F850" s="45"/>
      <c r="G850" s="45"/>
      <c r="BD850" s="73" t="s">
        <v>78</v>
      </c>
    </row>
    <row r="851" spans="1:56" ht="12" hidden="1" customHeight="1" outlineLevel="4" x14ac:dyDescent="0.2">
      <c r="A851" s="60" t="s">
        <v>736</v>
      </c>
      <c r="B851" s="45"/>
      <c r="C851" s="45"/>
      <c r="D851" s="46">
        <v>1422.37</v>
      </c>
      <c r="E851" s="45"/>
      <c r="F851" s="45"/>
      <c r="G851" s="45"/>
      <c r="BD851" s="73" t="s">
        <v>79</v>
      </c>
    </row>
    <row r="852" spans="1:56" ht="12" hidden="1" customHeight="1" outlineLevel="4" x14ac:dyDescent="0.2">
      <c r="A852" s="60" t="s">
        <v>735</v>
      </c>
      <c r="B852" s="45"/>
      <c r="C852" s="45"/>
      <c r="D852" s="66">
        <v>948.25</v>
      </c>
      <c r="E852" s="45"/>
      <c r="F852" s="45"/>
      <c r="G852" s="45"/>
      <c r="BD852" s="73" t="s">
        <v>80</v>
      </c>
    </row>
    <row r="853" spans="1:56" ht="12" hidden="1" customHeight="1" outlineLevel="4" x14ac:dyDescent="0.2">
      <c r="A853" s="60" t="s">
        <v>734</v>
      </c>
      <c r="B853" s="45"/>
      <c r="C853" s="45"/>
      <c r="D853" s="46">
        <v>2133.5700000000002</v>
      </c>
      <c r="E853" s="45"/>
      <c r="F853" s="45"/>
      <c r="G853" s="45"/>
      <c r="BD853" s="73" t="s">
        <v>81</v>
      </c>
    </row>
    <row r="854" spans="1:56" ht="12" hidden="1" customHeight="1" outlineLevel="4" x14ac:dyDescent="0.2">
      <c r="A854" s="60" t="s">
        <v>733</v>
      </c>
      <c r="B854" s="45"/>
      <c r="C854" s="45"/>
      <c r="D854" s="46">
        <v>4267.13</v>
      </c>
      <c r="E854" s="45"/>
      <c r="F854" s="45"/>
      <c r="G854" s="45"/>
      <c r="BD854" s="73" t="s">
        <v>82</v>
      </c>
    </row>
    <row r="855" spans="1:56" ht="12" hidden="1" customHeight="1" outlineLevel="4" x14ac:dyDescent="0.2">
      <c r="A855" s="60" t="s">
        <v>732</v>
      </c>
      <c r="B855" s="45"/>
      <c r="C855" s="45"/>
      <c r="D855" s="46">
        <v>4267.13</v>
      </c>
      <c r="E855" s="45"/>
      <c r="F855" s="45"/>
      <c r="G855" s="45"/>
      <c r="BD855" s="73" t="s">
        <v>84</v>
      </c>
    </row>
    <row r="856" spans="1:56" ht="12" hidden="1" customHeight="1" outlineLevel="4" x14ac:dyDescent="0.2">
      <c r="A856" s="60" t="s">
        <v>731</v>
      </c>
      <c r="B856" s="45"/>
      <c r="C856" s="45"/>
      <c r="D856" s="46">
        <v>4267.13</v>
      </c>
      <c r="E856" s="45"/>
      <c r="F856" s="45"/>
      <c r="G856" s="45"/>
      <c r="BD856" s="73" t="s">
        <v>85</v>
      </c>
    </row>
    <row r="857" spans="1:56" ht="12" hidden="1" customHeight="1" outlineLevel="4" x14ac:dyDescent="0.2">
      <c r="A857" s="60" t="s">
        <v>675</v>
      </c>
      <c r="B857" s="45"/>
      <c r="C857" s="45"/>
      <c r="D857" s="46">
        <v>11379.03</v>
      </c>
      <c r="E857" s="45"/>
      <c r="F857" s="45"/>
      <c r="G857" s="45"/>
      <c r="BD857" s="74" t="s">
        <v>168</v>
      </c>
    </row>
    <row r="858" spans="1:56" ht="12" hidden="1" customHeight="1" outlineLevel="4" x14ac:dyDescent="0.2">
      <c r="A858" s="60" t="s">
        <v>674</v>
      </c>
      <c r="B858" s="45"/>
      <c r="C858" s="45"/>
      <c r="D858" s="46">
        <v>15646.17</v>
      </c>
      <c r="E858" s="45"/>
      <c r="F858" s="45"/>
      <c r="G858" s="45"/>
      <c r="BD858" s="73" t="s">
        <v>170</v>
      </c>
    </row>
    <row r="859" spans="1:56" ht="12" hidden="1" customHeight="1" outlineLevel="4" x14ac:dyDescent="0.2">
      <c r="A859" s="60" t="s">
        <v>673</v>
      </c>
      <c r="B859" s="45"/>
      <c r="C859" s="45"/>
      <c r="D859" s="46">
        <v>6321.68</v>
      </c>
      <c r="E859" s="45"/>
      <c r="F859" s="45"/>
      <c r="G859" s="45"/>
      <c r="BD859" s="73" t="s">
        <v>171</v>
      </c>
    </row>
    <row r="860" spans="1:56" ht="12" hidden="1" customHeight="1" outlineLevel="4" x14ac:dyDescent="0.2">
      <c r="A860" s="60" t="s">
        <v>672</v>
      </c>
      <c r="B860" s="45"/>
      <c r="C860" s="45"/>
      <c r="D860" s="46">
        <v>6321.68</v>
      </c>
      <c r="E860" s="45"/>
      <c r="F860" s="45"/>
      <c r="G860" s="45"/>
      <c r="BD860" s="73" t="s">
        <v>172</v>
      </c>
    </row>
    <row r="861" spans="1:56" ht="12" hidden="1" customHeight="1" outlineLevel="4" x14ac:dyDescent="0.2">
      <c r="A861" s="60" t="s">
        <v>671</v>
      </c>
      <c r="B861" s="45"/>
      <c r="C861" s="45"/>
      <c r="D861" s="46">
        <v>6321.68</v>
      </c>
      <c r="E861" s="45"/>
      <c r="F861" s="45"/>
      <c r="G861" s="45"/>
      <c r="BD861" s="73" t="s">
        <v>173</v>
      </c>
    </row>
    <row r="862" spans="1:56" ht="12" hidden="1" customHeight="1" outlineLevel="4" x14ac:dyDescent="0.2">
      <c r="A862" s="60" t="s">
        <v>670</v>
      </c>
      <c r="B862" s="45"/>
      <c r="C862" s="45"/>
      <c r="D862" s="46">
        <v>13828.68</v>
      </c>
      <c r="E862" s="45"/>
      <c r="F862" s="45"/>
      <c r="G862" s="45"/>
      <c r="BD862" s="73" t="s">
        <v>163</v>
      </c>
    </row>
    <row r="863" spans="1:56" ht="12" hidden="1" customHeight="1" outlineLevel="4" x14ac:dyDescent="0.2">
      <c r="A863" s="60" t="s">
        <v>668</v>
      </c>
      <c r="B863" s="45"/>
      <c r="C863" s="45"/>
      <c r="D863" s="46">
        <v>5373.43</v>
      </c>
      <c r="E863" s="45"/>
      <c r="F863" s="45"/>
      <c r="G863" s="45"/>
      <c r="BD863" s="73" t="s">
        <v>174</v>
      </c>
    </row>
    <row r="864" spans="1:56" ht="12" hidden="1" customHeight="1" outlineLevel="4" x14ac:dyDescent="0.2">
      <c r="A864" s="60" t="s">
        <v>492</v>
      </c>
      <c r="B864" s="45"/>
      <c r="C864" s="45"/>
      <c r="D864" s="46">
        <v>6637.77</v>
      </c>
      <c r="E864" s="45"/>
      <c r="F864" s="45"/>
      <c r="G864" s="45"/>
      <c r="BD864" s="73" t="s">
        <v>175</v>
      </c>
    </row>
    <row r="865" spans="1:56" ht="12" hidden="1" customHeight="1" outlineLevel="4" x14ac:dyDescent="0.2">
      <c r="A865" s="60" t="s">
        <v>491</v>
      </c>
      <c r="B865" s="45"/>
      <c r="C865" s="45"/>
      <c r="D865" s="46">
        <v>6637.77</v>
      </c>
      <c r="E865" s="45"/>
      <c r="F865" s="45"/>
      <c r="G865" s="45"/>
      <c r="BD865" s="73" t="s">
        <v>176</v>
      </c>
    </row>
    <row r="866" spans="1:56" ht="12" hidden="1" customHeight="1" outlineLevel="4" x14ac:dyDescent="0.2">
      <c r="A866" s="60" t="s">
        <v>666</v>
      </c>
      <c r="B866" s="45"/>
      <c r="C866" s="45"/>
      <c r="D866" s="46">
        <v>15646.17</v>
      </c>
      <c r="E866" s="45"/>
      <c r="F866" s="45"/>
      <c r="G866" s="45"/>
      <c r="BD866" s="73" t="s">
        <v>177</v>
      </c>
    </row>
    <row r="867" spans="1:56" ht="12" hidden="1" customHeight="1" outlineLevel="4" x14ac:dyDescent="0.2">
      <c r="A867" s="60" t="s">
        <v>490</v>
      </c>
      <c r="B867" s="45"/>
      <c r="C867" s="45"/>
      <c r="D867" s="46">
        <v>12643.39</v>
      </c>
      <c r="E867" s="45"/>
      <c r="F867" s="45"/>
      <c r="G867" s="45"/>
      <c r="BD867" s="73" t="s">
        <v>178</v>
      </c>
    </row>
    <row r="868" spans="1:56" ht="12" hidden="1" customHeight="1" outlineLevel="4" x14ac:dyDescent="0.2">
      <c r="A868" s="60" t="s">
        <v>489</v>
      </c>
      <c r="B868" s="45"/>
      <c r="C868" s="45"/>
      <c r="D868" s="46">
        <v>7902.11</v>
      </c>
      <c r="E868" s="45"/>
      <c r="F868" s="45"/>
      <c r="G868" s="45"/>
      <c r="BD868" s="73" t="s">
        <v>179</v>
      </c>
    </row>
    <row r="869" spans="1:56" ht="12" hidden="1" customHeight="1" outlineLevel="4" x14ac:dyDescent="0.2">
      <c r="A869" s="60" t="s">
        <v>488</v>
      </c>
      <c r="B869" s="45"/>
      <c r="C869" s="45"/>
      <c r="D869" s="46">
        <v>8218.19</v>
      </c>
      <c r="E869" s="45"/>
      <c r="F869" s="45"/>
      <c r="G869" s="45"/>
      <c r="BD869" s="73" t="s">
        <v>180</v>
      </c>
    </row>
    <row r="870" spans="1:56" ht="12" hidden="1" customHeight="1" outlineLevel="4" x14ac:dyDescent="0.2">
      <c r="A870" s="60" t="s">
        <v>663</v>
      </c>
      <c r="B870" s="45"/>
      <c r="C870" s="45"/>
      <c r="D870" s="46">
        <v>6321.68</v>
      </c>
      <c r="E870" s="45"/>
      <c r="F870" s="45"/>
      <c r="G870" s="45"/>
      <c r="BD870" s="73" t="s">
        <v>165</v>
      </c>
    </row>
    <row r="871" spans="1:56" ht="12" hidden="1" customHeight="1" outlineLevel="4" x14ac:dyDescent="0.2">
      <c r="A871" s="60" t="s">
        <v>662</v>
      </c>
      <c r="B871" s="45"/>
      <c r="C871" s="45"/>
      <c r="D871" s="46">
        <v>6321.68</v>
      </c>
      <c r="E871" s="45"/>
      <c r="F871" s="45"/>
      <c r="G871" s="45"/>
      <c r="BD871" s="73" t="s">
        <v>166</v>
      </c>
    </row>
    <row r="872" spans="1:56" ht="12" hidden="1" customHeight="1" outlineLevel="4" x14ac:dyDescent="0.2">
      <c r="A872" s="60" t="s">
        <v>661</v>
      </c>
      <c r="B872" s="45"/>
      <c r="C872" s="45"/>
      <c r="D872" s="46">
        <v>6321.68</v>
      </c>
      <c r="E872" s="45"/>
      <c r="F872" s="45"/>
      <c r="G872" s="45"/>
      <c r="BD872" s="73" t="s">
        <v>167</v>
      </c>
    </row>
    <row r="873" spans="1:56" ht="23.25" hidden="1" customHeight="1" outlineLevel="4" x14ac:dyDescent="0.2">
      <c r="A873" s="60" t="s">
        <v>660</v>
      </c>
      <c r="B873" s="45"/>
      <c r="C873" s="45"/>
      <c r="D873" s="46">
        <v>11379.02</v>
      </c>
      <c r="E873" s="45"/>
      <c r="F873" s="45"/>
      <c r="G873" s="45"/>
      <c r="BD873" s="73" t="s">
        <v>142</v>
      </c>
    </row>
    <row r="874" spans="1:56" ht="23.25" hidden="1" customHeight="1" outlineLevel="4" x14ac:dyDescent="0.2">
      <c r="A874" s="60" t="s">
        <v>658</v>
      </c>
      <c r="B874" s="45"/>
      <c r="C874" s="45"/>
      <c r="D874" s="46">
        <v>5689.52</v>
      </c>
      <c r="E874" s="45"/>
      <c r="F874" s="45"/>
      <c r="G874" s="45"/>
      <c r="BD874" s="73" t="s">
        <v>152</v>
      </c>
    </row>
    <row r="875" spans="1:56" ht="23.25" hidden="1" customHeight="1" outlineLevel="4" x14ac:dyDescent="0.2">
      <c r="A875" s="60" t="s">
        <v>657</v>
      </c>
      <c r="B875" s="45"/>
      <c r="C875" s="45"/>
      <c r="D875" s="46">
        <v>5689.52</v>
      </c>
      <c r="E875" s="45"/>
      <c r="F875" s="45"/>
      <c r="G875" s="45"/>
      <c r="BD875" s="73" t="s">
        <v>154</v>
      </c>
    </row>
    <row r="876" spans="1:56" ht="23.25" hidden="1" customHeight="1" outlineLevel="4" x14ac:dyDescent="0.2">
      <c r="A876" s="60" t="s">
        <v>656</v>
      </c>
      <c r="B876" s="45"/>
      <c r="C876" s="45"/>
      <c r="D876" s="46">
        <v>5373.43</v>
      </c>
      <c r="E876" s="45"/>
      <c r="F876" s="45"/>
      <c r="G876" s="45"/>
      <c r="BD876" s="73" t="s">
        <v>155</v>
      </c>
    </row>
    <row r="877" spans="1:56" ht="23.25" hidden="1" customHeight="1" outlineLevel="4" x14ac:dyDescent="0.2">
      <c r="A877" s="60" t="s">
        <v>655</v>
      </c>
      <c r="B877" s="45"/>
      <c r="C877" s="45"/>
      <c r="D877" s="46">
        <v>11379.03</v>
      </c>
      <c r="E877" s="45"/>
      <c r="F877" s="45"/>
      <c r="G877" s="45"/>
      <c r="BD877" s="74" t="s">
        <v>156</v>
      </c>
    </row>
    <row r="878" spans="1:56" ht="23.25" hidden="1" customHeight="1" outlineLevel="4" x14ac:dyDescent="0.2">
      <c r="A878" s="60" t="s">
        <v>654</v>
      </c>
      <c r="B878" s="45"/>
      <c r="C878" s="45"/>
      <c r="D878" s="46">
        <v>12643.37</v>
      </c>
      <c r="E878" s="45"/>
      <c r="F878" s="45"/>
      <c r="G878" s="45"/>
      <c r="BD878" s="73" t="s">
        <v>158</v>
      </c>
    </row>
    <row r="879" spans="1:56" ht="23.25" hidden="1" customHeight="1" outlineLevel="4" x14ac:dyDescent="0.2">
      <c r="A879" s="60" t="s">
        <v>652</v>
      </c>
      <c r="B879" s="45"/>
      <c r="C879" s="45"/>
      <c r="D879" s="46">
        <v>4425.17</v>
      </c>
      <c r="E879" s="45"/>
      <c r="F879" s="45"/>
      <c r="G879" s="45"/>
      <c r="BD879" s="73" t="s">
        <v>161</v>
      </c>
    </row>
    <row r="880" spans="1:56" ht="23.25" hidden="1" customHeight="1" outlineLevel="4" x14ac:dyDescent="0.2">
      <c r="A880" s="60" t="s">
        <v>651</v>
      </c>
      <c r="B880" s="45"/>
      <c r="C880" s="45"/>
      <c r="D880" s="46">
        <v>5531.47</v>
      </c>
      <c r="E880" s="45"/>
      <c r="F880" s="45"/>
      <c r="G880" s="45"/>
      <c r="BD880" s="73" t="s">
        <v>162</v>
      </c>
    </row>
    <row r="881" spans="1:56" ht="23.25" hidden="1" customHeight="1" outlineLevel="4" x14ac:dyDescent="0.2">
      <c r="A881" s="60" t="s">
        <v>650</v>
      </c>
      <c r="B881" s="45"/>
      <c r="C881" s="45"/>
      <c r="D881" s="46">
        <v>11379.04</v>
      </c>
      <c r="E881" s="45"/>
      <c r="F881" s="45"/>
      <c r="G881" s="45"/>
      <c r="BD881" s="74" t="s">
        <v>144</v>
      </c>
    </row>
    <row r="882" spans="1:56" ht="23.25" hidden="1" customHeight="1" outlineLevel="4" x14ac:dyDescent="0.2">
      <c r="A882" s="60" t="s">
        <v>649</v>
      </c>
      <c r="B882" s="45"/>
      <c r="C882" s="45"/>
      <c r="D882" s="46">
        <v>14065.74</v>
      </c>
      <c r="E882" s="45"/>
      <c r="F882" s="45"/>
      <c r="G882" s="45"/>
      <c r="BD882" s="73" t="s">
        <v>146</v>
      </c>
    </row>
    <row r="883" spans="1:56" ht="23.25" hidden="1" customHeight="1" outlineLevel="4" x14ac:dyDescent="0.2">
      <c r="A883" s="60" t="s">
        <v>648</v>
      </c>
      <c r="B883" s="45"/>
      <c r="C883" s="45"/>
      <c r="D883" s="46">
        <v>11379.04</v>
      </c>
      <c r="E883" s="45"/>
      <c r="F883" s="45"/>
      <c r="G883" s="45"/>
      <c r="BD883" s="74" t="s">
        <v>147</v>
      </c>
    </row>
    <row r="884" spans="1:56" ht="23.25" hidden="1" customHeight="1" outlineLevel="4" x14ac:dyDescent="0.2">
      <c r="A884" s="60" t="s">
        <v>646</v>
      </c>
      <c r="B884" s="45"/>
      <c r="C884" s="45"/>
      <c r="D884" s="46">
        <v>11379.03</v>
      </c>
      <c r="E884" s="45"/>
      <c r="F884" s="45"/>
      <c r="G884" s="45"/>
      <c r="BD884" s="74" t="s">
        <v>150</v>
      </c>
    </row>
    <row r="885" spans="1:56" ht="23.25" hidden="1" customHeight="1" outlineLevel="4" x14ac:dyDescent="0.2">
      <c r="A885" s="60" t="s">
        <v>547</v>
      </c>
      <c r="B885" s="45"/>
      <c r="C885" s="45"/>
      <c r="D885" s="46">
        <v>6637.77</v>
      </c>
      <c r="E885" s="45"/>
      <c r="F885" s="45"/>
      <c r="G885" s="45"/>
      <c r="BD885" s="73" t="s">
        <v>101</v>
      </c>
    </row>
    <row r="886" spans="1:56" ht="23.25" hidden="1" customHeight="1" outlineLevel="4" x14ac:dyDescent="0.2">
      <c r="A886" s="60" t="s">
        <v>546</v>
      </c>
      <c r="B886" s="45"/>
      <c r="C886" s="45"/>
      <c r="D886" s="46">
        <v>6637.77</v>
      </c>
      <c r="E886" s="45"/>
      <c r="F886" s="45"/>
      <c r="G886" s="45"/>
      <c r="BD886" s="73" t="s">
        <v>103</v>
      </c>
    </row>
    <row r="887" spans="1:56" ht="34.5" hidden="1" customHeight="1" outlineLevel="4" x14ac:dyDescent="0.2">
      <c r="A887" s="60" t="s">
        <v>545</v>
      </c>
      <c r="B887" s="45"/>
      <c r="C887" s="45"/>
      <c r="D887" s="46">
        <v>3160.84</v>
      </c>
      <c r="E887" s="45"/>
      <c r="F887" s="45"/>
      <c r="G887" s="45"/>
      <c r="BD887" s="73" t="s">
        <v>105</v>
      </c>
    </row>
    <row r="888" spans="1:56" ht="23.25" hidden="1" customHeight="1" outlineLevel="4" x14ac:dyDescent="0.2">
      <c r="A888" s="60" t="s">
        <v>542</v>
      </c>
      <c r="B888" s="45"/>
      <c r="C888" s="45"/>
      <c r="D888" s="46">
        <v>5057.3500000000004</v>
      </c>
      <c r="E888" s="45"/>
      <c r="F888" s="45"/>
      <c r="G888" s="45"/>
      <c r="BD888" s="73" t="s">
        <v>107</v>
      </c>
    </row>
    <row r="889" spans="1:56" ht="23.25" hidden="1" customHeight="1" outlineLevel="4" x14ac:dyDescent="0.2">
      <c r="A889" s="60" t="s">
        <v>541</v>
      </c>
      <c r="B889" s="45"/>
      <c r="C889" s="45"/>
      <c r="D889" s="46">
        <v>3160.84</v>
      </c>
      <c r="E889" s="45"/>
      <c r="F889" s="45"/>
      <c r="G889" s="45"/>
      <c r="BD889" s="73" t="s">
        <v>108</v>
      </c>
    </row>
    <row r="890" spans="1:56" ht="12" hidden="1" customHeight="1" outlineLevel="4" x14ac:dyDescent="0.2">
      <c r="A890" s="60" t="s">
        <v>726</v>
      </c>
      <c r="B890" s="45"/>
      <c r="C890" s="45"/>
      <c r="D890" s="46">
        <v>17068.54</v>
      </c>
      <c r="E890" s="45"/>
      <c r="F890" s="45"/>
      <c r="G890" s="45"/>
      <c r="BD890" s="73" t="s">
        <v>118</v>
      </c>
    </row>
    <row r="891" spans="1:56" ht="12" hidden="1" customHeight="1" outlineLevel="4" x14ac:dyDescent="0.2">
      <c r="A891" s="60" t="s">
        <v>725</v>
      </c>
      <c r="B891" s="45"/>
      <c r="C891" s="45"/>
      <c r="D891" s="46">
        <v>6321.68</v>
      </c>
      <c r="E891" s="45"/>
      <c r="F891" s="45"/>
      <c r="G891" s="45"/>
      <c r="BD891" s="73" t="s">
        <v>119</v>
      </c>
    </row>
    <row r="892" spans="1:56" ht="12" hidden="1" customHeight="1" outlineLevel="4" x14ac:dyDescent="0.2">
      <c r="A892" s="60" t="s">
        <v>724</v>
      </c>
      <c r="B892" s="45"/>
      <c r="C892" s="45"/>
      <c r="D892" s="46">
        <v>6163.64</v>
      </c>
      <c r="E892" s="45"/>
      <c r="F892" s="45"/>
      <c r="G892" s="45"/>
      <c r="BD892" s="73" t="s">
        <v>120</v>
      </c>
    </row>
    <row r="893" spans="1:56" ht="12" hidden="1" customHeight="1" outlineLevel="4" x14ac:dyDescent="0.2">
      <c r="A893" s="60" t="s">
        <v>722</v>
      </c>
      <c r="B893" s="45"/>
      <c r="C893" s="45"/>
      <c r="D893" s="46">
        <v>1264.33</v>
      </c>
      <c r="E893" s="45"/>
      <c r="F893" s="45"/>
      <c r="G893" s="45"/>
      <c r="BD893" s="73" t="s">
        <v>122</v>
      </c>
    </row>
    <row r="894" spans="1:56" ht="12" hidden="1" customHeight="1" outlineLevel="4" x14ac:dyDescent="0.2">
      <c r="A894" s="60" t="s">
        <v>721</v>
      </c>
      <c r="B894" s="45"/>
      <c r="C894" s="45"/>
      <c r="D894" s="46">
        <v>17068.54</v>
      </c>
      <c r="E894" s="45"/>
      <c r="F894" s="45"/>
      <c r="G894" s="45"/>
      <c r="BD894" s="73" t="s">
        <v>116</v>
      </c>
    </row>
    <row r="895" spans="1:56" ht="12" hidden="1" customHeight="1" outlineLevel="4" x14ac:dyDescent="0.2">
      <c r="A895" s="60" t="s">
        <v>720</v>
      </c>
      <c r="B895" s="45"/>
      <c r="C895" s="45"/>
      <c r="D895" s="46">
        <v>17068.54</v>
      </c>
      <c r="E895" s="45"/>
      <c r="F895" s="45"/>
      <c r="G895" s="45"/>
      <c r="BD895" s="73" t="s">
        <v>117</v>
      </c>
    </row>
    <row r="896" spans="1:56" ht="12" hidden="1" customHeight="1" outlineLevel="4" x14ac:dyDescent="0.2">
      <c r="A896" s="60" t="s">
        <v>487</v>
      </c>
      <c r="B896" s="45"/>
      <c r="C896" s="45"/>
      <c r="D896" s="46">
        <v>1422.37</v>
      </c>
      <c r="E896" s="45"/>
      <c r="F896" s="45"/>
      <c r="G896" s="45"/>
      <c r="BD896" s="73" t="s">
        <v>125</v>
      </c>
    </row>
    <row r="897" spans="1:56" ht="12" hidden="1" customHeight="1" outlineLevel="4" x14ac:dyDescent="0.2">
      <c r="A897" s="60" t="s">
        <v>536</v>
      </c>
      <c r="B897" s="45"/>
      <c r="C897" s="45"/>
      <c r="D897" s="46">
        <v>1422.37</v>
      </c>
      <c r="E897" s="45"/>
      <c r="F897" s="45"/>
      <c r="G897" s="45"/>
      <c r="BD897" s="73" t="s">
        <v>126</v>
      </c>
    </row>
    <row r="898" spans="1:56" ht="12" hidden="1" customHeight="1" outlineLevel="4" x14ac:dyDescent="0.2">
      <c r="A898" s="60" t="s">
        <v>535</v>
      </c>
      <c r="B898" s="45"/>
      <c r="C898" s="45"/>
      <c r="D898" s="46">
        <v>2133.5700000000002</v>
      </c>
      <c r="E898" s="45"/>
      <c r="F898" s="45"/>
      <c r="G898" s="45"/>
      <c r="BD898" s="73" t="s">
        <v>127</v>
      </c>
    </row>
    <row r="899" spans="1:56" ht="12" hidden="1" customHeight="1" outlineLevel="4" x14ac:dyDescent="0.2">
      <c r="A899" s="60" t="s">
        <v>534</v>
      </c>
      <c r="B899" s="45"/>
      <c r="C899" s="45"/>
      <c r="D899" s="46">
        <v>2133.5700000000002</v>
      </c>
      <c r="E899" s="45"/>
      <c r="F899" s="45"/>
      <c r="G899" s="45"/>
      <c r="BD899" s="73" t="s">
        <v>123</v>
      </c>
    </row>
    <row r="900" spans="1:56" ht="12" hidden="1" customHeight="1" outlineLevel="4" x14ac:dyDescent="0.2">
      <c r="A900" s="60" t="s">
        <v>533</v>
      </c>
      <c r="B900" s="45"/>
      <c r="C900" s="45"/>
      <c r="D900" s="66">
        <v>474.12</v>
      </c>
      <c r="E900" s="45"/>
      <c r="F900" s="45"/>
      <c r="G900" s="45"/>
      <c r="BD900" s="73" t="s">
        <v>128</v>
      </c>
    </row>
    <row r="901" spans="1:56" ht="12" hidden="1" customHeight="1" outlineLevel="4" x14ac:dyDescent="0.2">
      <c r="A901" s="60" t="s">
        <v>532</v>
      </c>
      <c r="B901" s="45"/>
      <c r="C901" s="45"/>
      <c r="D901" s="66">
        <v>632.16999999999996</v>
      </c>
      <c r="E901" s="45"/>
      <c r="F901" s="45"/>
      <c r="G901" s="45"/>
      <c r="BD901" s="73" t="s">
        <v>129</v>
      </c>
    </row>
    <row r="902" spans="1:56" ht="12" hidden="1" customHeight="1" outlineLevel="4" x14ac:dyDescent="0.2">
      <c r="A902" s="60" t="s">
        <v>531</v>
      </c>
      <c r="B902" s="45"/>
      <c r="C902" s="45"/>
      <c r="D902" s="66">
        <v>948.25</v>
      </c>
      <c r="E902" s="45"/>
      <c r="F902" s="45"/>
      <c r="G902" s="45"/>
      <c r="BD902" s="73" t="s">
        <v>130</v>
      </c>
    </row>
    <row r="903" spans="1:56" ht="12" hidden="1" customHeight="1" outlineLevel="4" x14ac:dyDescent="0.2">
      <c r="A903" s="60" t="s">
        <v>486</v>
      </c>
      <c r="B903" s="45"/>
      <c r="C903" s="45"/>
      <c r="D903" s="46">
        <v>1422.37</v>
      </c>
      <c r="E903" s="45"/>
      <c r="F903" s="45"/>
      <c r="G903" s="45"/>
      <c r="BD903" s="73" t="s">
        <v>124</v>
      </c>
    </row>
    <row r="904" spans="1:56" ht="12" hidden="1" customHeight="1" outlineLevel="4" x14ac:dyDescent="0.2">
      <c r="A904" s="60" t="s">
        <v>564</v>
      </c>
      <c r="B904" s="45"/>
      <c r="C904" s="45"/>
      <c r="D904" s="46">
        <v>8297.2099999999991</v>
      </c>
      <c r="E904" s="45"/>
      <c r="F904" s="45"/>
      <c r="G904" s="45"/>
      <c r="BD904" s="73" t="s">
        <v>131</v>
      </c>
    </row>
    <row r="905" spans="1:56" ht="12" hidden="1" customHeight="1" outlineLevel="4" x14ac:dyDescent="0.2">
      <c r="A905" s="60" t="s">
        <v>563</v>
      </c>
      <c r="B905" s="45"/>
      <c r="C905" s="45"/>
      <c r="D905" s="46">
        <v>8297.2099999999991</v>
      </c>
      <c r="E905" s="45"/>
      <c r="F905" s="45"/>
      <c r="G905" s="45"/>
      <c r="BD905" s="73" t="s">
        <v>132</v>
      </c>
    </row>
    <row r="906" spans="1:56" ht="12" hidden="1" customHeight="1" outlineLevel="4" x14ac:dyDescent="0.2">
      <c r="A906" s="60" t="s">
        <v>645</v>
      </c>
      <c r="B906" s="45"/>
      <c r="C906" s="45"/>
      <c r="D906" s="46">
        <v>20997.94</v>
      </c>
      <c r="E906" s="45"/>
      <c r="F906" s="45"/>
      <c r="G906" s="45"/>
      <c r="BD906" s="73" t="s">
        <v>185</v>
      </c>
    </row>
    <row r="907" spans="1:56" ht="12" hidden="1" customHeight="1" outlineLevel="4" x14ac:dyDescent="0.2">
      <c r="A907" s="60" t="s">
        <v>644</v>
      </c>
      <c r="B907" s="45"/>
      <c r="C907" s="45"/>
      <c r="D907" s="46">
        <v>21981.279999999999</v>
      </c>
      <c r="E907" s="45"/>
      <c r="F907" s="45"/>
      <c r="G907" s="45"/>
      <c r="BD907" s="73" t="s">
        <v>186</v>
      </c>
    </row>
    <row r="908" spans="1:56" ht="12" hidden="1" customHeight="1" outlineLevel="4" x14ac:dyDescent="0.2">
      <c r="A908" s="60" t="s">
        <v>643</v>
      </c>
      <c r="B908" s="45"/>
      <c r="C908" s="45"/>
      <c r="D908" s="46">
        <v>35168.370000000003</v>
      </c>
      <c r="E908" s="45"/>
      <c r="F908" s="45"/>
      <c r="G908" s="45"/>
      <c r="BD908" s="73" t="s">
        <v>187</v>
      </c>
    </row>
    <row r="909" spans="1:56" ht="12" hidden="1" customHeight="1" outlineLevel="4" x14ac:dyDescent="0.2">
      <c r="A909" s="60" t="s">
        <v>642</v>
      </c>
      <c r="B909" s="45"/>
      <c r="C909" s="45"/>
      <c r="D909" s="46">
        <v>21981.279999999999</v>
      </c>
      <c r="E909" s="45"/>
      <c r="F909" s="45"/>
      <c r="G909" s="45"/>
      <c r="BD909" s="73" t="s">
        <v>188</v>
      </c>
    </row>
    <row r="910" spans="1:56" ht="23.25" hidden="1" customHeight="1" outlineLevel="4" x14ac:dyDescent="0.2">
      <c r="A910" s="60" t="s">
        <v>641</v>
      </c>
      <c r="B910" s="45"/>
      <c r="C910" s="45"/>
      <c r="D910" s="46">
        <v>17584.18</v>
      </c>
      <c r="E910" s="45"/>
      <c r="F910" s="45"/>
      <c r="G910" s="45"/>
      <c r="BD910" s="73" t="s">
        <v>189</v>
      </c>
    </row>
    <row r="911" spans="1:56" ht="12" hidden="1" customHeight="1" outlineLevel="4" x14ac:dyDescent="0.2">
      <c r="A911" s="60" t="s">
        <v>640</v>
      </c>
      <c r="B911" s="45"/>
      <c r="C911" s="45"/>
      <c r="D911" s="46">
        <v>4425.17</v>
      </c>
      <c r="E911" s="45"/>
      <c r="F911" s="45"/>
      <c r="G911" s="45"/>
      <c r="BD911" s="73" t="s">
        <v>190</v>
      </c>
    </row>
    <row r="912" spans="1:56" ht="12" hidden="1" customHeight="1" outlineLevel="4" x14ac:dyDescent="0.2">
      <c r="A912" s="60" t="s">
        <v>639</v>
      </c>
      <c r="B912" s="45"/>
      <c r="C912" s="45"/>
      <c r="D912" s="46">
        <v>17584.18</v>
      </c>
      <c r="E912" s="45"/>
      <c r="F912" s="45"/>
      <c r="G912" s="45"/>
      <c r="BD912" s="73" t="s">
        <v>191</v>
      </c>
    </row>
    <row r="913" spans="1:56" ht="12" hidden="1" customHeight="1" outlineLevel="4" x14ac:dyDescent="0.2">
      <c r="A913" s="60" t="s">
        <v>638</v>
      </c>
      <c r="B913" s="45"/>
      <c r="C913" s="45"/>
      <c r="D913" s="46">
        <v>17584.18</v>
      </c>
      <c r="E913" s="45"/>
      <c r="F913" s="45"/>
      <c r="G913" s="45"/>
      <c r="BD913" s="73" t="s">
        <v>192</v>
      </c>
    </row>
    <row r="914" spans="1:56" ht="12" hidden="1" customHeight="1" outlineLevel="4" x14ac:dyDescent="0.2">
      <c r="A914" s="60" t="s">
        <v>637</v>
      </c>
      <c r="B914" s="45"/>
      <c r="C914" s="45"/>
      <c r="D914" s="46">
        <v>6321.68</v>
      </c>
      <c r="E914" s="45"/>
      <c r="F914" s="45"/>
      <c r="G914" s="45"/>
      <c r="BD914" s="73" t="s">
        <v>193</v>
      </c>
    </row>
    <row r="915" spans="1:56" ht="12" hidden="1" customHeight="1" outlineLevel="4" x14ac:dyDescent="0.2">
      <c r="A915" s="60" t="s">
        <v>636</v>
      </c>
      <c r="B915" s="45"/>
      <c r="C915" s="45"/>
      <c r="D915" s="46">
        <v>11379.03</v>
      </c>
      <c r="E915" s="45"/>
      <c r="F915" s="45"/>
      <c r="G915" s="45"/>
      <c r="BD915" s="74" t="s">
        <v>194</v>
      </c>
    </row>
    <row r="916" spans="1:56" ht="12" hidden="1" customHeight="1" outlineLevel="4" x14ac:dyDescent="0.2">
      <c r="A916" s="60" t="s">
        <v>635</v>
      </c>
      <c r="B916" s="45"/>
      <c r="C916" s="45"/>
      <c r="D916" s="46">
        <v>11379.03</v>
      </c>
      <c r="E916" s="45"/>
      <c r="F916" s="45"/>
      <c r="G916" s="45"/>
      <c r="BD916" s="74" t="s">
        <v>196</v>
      </c>
    </row>
    <row r="917" spans="1:56" ht="12" hidden="1" customHeight="1" outlineLevel="4" x14ac:dyDescent="0.2">
      <c r="A917" s="60" t="s">
        <v>634</v>
      </c>
      <c r="B917" s="45"/>
      <c r="C917" s="45"/>
      <c r="D917" s="46">
        <v>10272.73</v>
      </c>
      <c r="E917" s="45"/>
      <c r="F917" s="45"/>
      <c r="G917" s="45"/>
      <c r="BD917" s="73" t="s">
        <v>198</v>
      </c>
    </row>
    <row r="918" spans="1:56" ht="12" hidden="1" customHeight="1" outlineLevel="4" x14ac:dyDescent="0.2">
      <c r="A918" s="60" t="s">
        <v>633</v>
      </c>
      <c r="B918" s="45"/>
      <c r="C918" s="45"/>
      <c r="D918" s="46">
        <v>6321.68</v>
      </c>
      <c r="E918" s="45"/>
      <c r="F918" s="45"/>
      <c r="G918" s="45"/>
      <c r="BD918" s="73" t="s">
        <v>199</v>
      </c>
    </row>
    <row r="919" spans="1:56" ht="12" hidden="1" customHeight="1" outlineLevel="4" x14ac:dyDescent="0.2">
      <c r="A919" s="60" t="s">
        <v>632</v>
      </c>
      <c r="B919" s="45"/>
      <c r="C919" s="45"/>
      <c r="D919" s="46">
        <v>6321.68</v>
      </c>
      <c r="E919" s="45"/>
      <c r="F919" s="45"/>
      <c r="G919" s="45"/>
      <c r="BD919" s="73" t="s">
        <v>200</v>
      </c>
    </row>
    <row r="920" spans="1:56" ht="12" hidden="1" customHeight="1" outlineLevel="4" x14ac:dyDescent="0.2">
      <c r="A920" s="60" t="s">
        <v>631</v>
      </c>
      <c r="B920" s="45"/>
      <c r="C920" s="45"/>
      <c r="D920" s="46">
        <v>12643.37</v>
      </c>
      <c r="E920" s="45"/>
      <c r="F920" s="45"/>
      <c r="G920" s="45"/>
      <c r="BD920" s="73" t="s">
        <v>201</v>
      </c>
    </row>
    <row r="921" spans="1:56" ht="12" hidden="1" customHeight="1" outlineLevel="4" x14ac:dyDescent="0.2">
      <c r="A921" s="60" t="s">
        <v>630</v>
      </c>
      <c r="B921" s="45"/>
      <c r="C921" s="45"/>
      <c r="D921" s="46">
        <v>5531.47</v>
      </c>
      <c r="E921" s="45"/>
      <c r="F921" s="45"/>
      <c r="G921" s="45"/>
      <c r="BD921" s="73" t="s">
        <v>182</v>
      </c>
    </row>
    <row r="922" spans="1:56" ht="12" hidden="1" customHeight="1" outlineLevel="4" x14ac:dyDescent="0.2">
      <c r="A922" s="60" t="s">
        <v>629</v>
      </c>
      <c r="B922" s="45"/>
      <c r="C922" s="45"/>
      <c r="D922" s="46">
        <v>6321.68</v>
      </c>
      <c r="E922" s="45"/>
      <c r="F922" s="45"/>
      <c r="G922" s="45"/>
      <c r="BD922" s="73" t="s">
        <v>202</v>
      </c>
    </row>
    <row r="923" spans="1:56" ht="12" hidden="1" customHeight="1" outlineLevel="4" x14ac:dyDescent="0.2">
      <c r="A923" s="60" t="s">
        <v>628</v>
      </c>
      <c r="B923" s="45"/>
      <c r="C923" s="45"/>
      <c r="D923" s="46">
        <v>6321.68</v>
      </c>
      <c r="E923" s="45"/>
      <c r="F923" s="45"/>
      <c r="G923" s="45"/>
      <c r="BD923" s="73" t="s">
        <v>203</v>
      </c>
    </row>
    <row r="924" spans="1:56" ht="12" hidden="1" customHeight="1" outlineLevel="4" x14ac:dyDescent="0.2">
      <c r="A924" s="60" t="s">
        <v>627</v>
      </c>
      <c r="B924" s="45"/>
      <c r="C924" s="45"/>
      <c r="D924" s="46">
        <v>5531.47</v>
      </c>
      <c r="E924" s="45"/>
      <c r="F924" s="45"/>
      <c r="G924" s="45"/>
      <c r="BD924" s="73" t="s">
        <v>204</v>
      </c>
    </row>
    <row r="925" spans="1:56" ht="12" hidden="1" customHeight="1" outlineLevel="4" x14ac:dyDescent="0.2">
      <c r="A925" s="60" t="s">
        <v>626</v>
      </c>
      <c r="B925" s="45"/>
      <c r="C925" s="45"/>
      <c r="D925" s="46">
        <v>6321.68</v>
      </c>
      <c r="E925" s="45"/>
      <c r="F925" s="45"/>
      <c r="G925" s="45"/>
      <c r="BD925" s="73" t="s">
        <v>205</v>
      </c>
    </row>
    <row r="926" spans="1:56" ht="12" hidden="1" customHeight="1" outlineLevel="4" x14ac:dyDescent="0.2">
      <c r="A926" s="60" t="s">
        <v>624</v>
      </c>
      <c r="B926" s="45"/>
      <c r="C926" s="45"/>
      <c r="D926" s="46">
        <v>11379.03</v>
      </c>
      <c r="E926" s="45"/>
      <c r="F926" s="45"/>
      <c r="G926" s="45"/>
      <c r="BD926" s="74" t="s">
        <v>183</v>
      </c>
    </row>
    <row r="927" spans="1:56" ht="12" hidden="1" customHeight="1" outlineLevel="4" x14ac:dyDescent="0.2">
      <c r="A927" s="60" t="s">
        <v>530</v>
      </c>
      <c r="B927" s="45"/>
      <c r="C927" s="45"/>
      <c r="D927" s="46">
        <v>5689.52</v>
      </c>
      <c r="E927" s="45"/>
      <c r="F927" s="45"/>
      <c r="G927" s="45"/>
      <c r="BD927" s="73" t="s">
        <v>135</v>
      </c>
    </row>
    <row r="928" spans="1:56" ht="12" hidden="1" customHeight="1" outlineLevel="4" x14ac:dyDescent="0.2">
      <c r="A928" s="60" t="s">
        <v>528</v>
      </c>
      <c r="B928" s="45"/>
      <c r="C928" s="45"/>
      <c r="D928" s="46">
        <v>12801.41</v>
      </c>
      <c r="E928" s="45"/>
      <c r="F928" s="45"/>
      <c r="G928" s="45"/>
      <c r="BD928" s="73" t="s">
        <v>137</v>
      </c>
    </row>
    <row r="929" spans="1:56" ht="12" hidden="1" customHeight="1" outlineLevel="4" x14ac:dyDescent="0.2">
      <c r="A929" s="60" t="s">
        <v>561</v>
      </c>
      <c r="B929" s="45"/>
      <c r="C929" s="45"/>
      <c r="D929" s="46">
        <v>14223.79</v>
      </c>
      <c r="E929" s="45"/>
      <c r="F929" s="45"/>
      <c r="G929" s="45"/>
      <c r="BD929" s="73" t="s">
        <v>97</v>
      </c>
    </row>
    <row r="930" spans="1:56" ht="12" hidden="1" customHeight="1" outlineLevel="4" x14ac:dyDescent="0.2">
      <c r="A930" s="60" t="s">
        <v>559</v>
      </c>
      <c r="B930" s="45"/>
      <c r="C930" s="45"/>
      <c r="D930" s="46">
        <v>5373.43</v>
      </c>
      <c r="E930" s="45"/>
      <c r="F930" s="45"/>
      <c r="G930" s="45"/>
      <c r="BD930" s="73" t="s">
        <v>99</v>
      </c>
    </row>
    <row r="931" spans="1:56" ht="23.25" hidden="1" customHeight="1" outlineLevel="4" x14ac:dyDescent="0.2">
      <c r="A931" s="60" t="s">
        <v>719</v>
      </c>
      <c r="B931" s="45"/>
      <c r="C931" s="45"/>
      <c r="D931" s="46">
        <v>4741.2700000000004</v>
      </c>
      <c r="E931" s="45"/>
      <c r="F931" s="45"/>
      <c r="G931" s="45"/>
      <c r="BD931" s="73" t="s">
        <v>237</v>
      </c>
    </row>
    <row r="932" spans="1:56" ht="23.25" hidden="1" customHeight="1" outlineLevel="4" x14ac:dyDescent="0.2">
      <c r="A932" s="60" t="s">
        <v>718</v>
      </c>
      <c r="B932" s="45"/>
      <c r="C932" s="45"/>
      <c r="D932" s="46">
        <v>4741.2700000000004</v>
      </c>
      <c r="E932" s="45"/>
      <c r="F932" s="45"/>
      <c r="G932" s="45"/>
      <c r="BD932" s="73" t="s">
        <v>238</v>
      </c>
    </row>
    <row r="933" spans="1:56" ht="23.25" hidden="1" customHeight="1" outlineLevel="4" x14ac:dyDescent="0.2">
      <c r="A933" s="60" t="s">
        <v>717</v>
      </c>
      <c r="B933" s="45"/>
      <c r="C933" s="45"/>
      <c r="D933" s="46">
        <v>6321.68</v>
      </c>
      <c r="E933" s="45"/>
      <c r="F933" s="45"/>
      <c r="G933" s="45"/>
      <c r="BD933" s="73" t="s">
        <v>239</v>
      </c>
    </row>
    <row r="934" spans="1:56" ht="23.25" hidden="1" customHeight="1" outlineLevel="4" x14ac:dyDescent="0.2">
      <c r="A934" s="60" t="s">
        <v>716</v>
      </c>
      <c r="B934" s="45"/>
      <c r="C934" s="45"/>
      <c r="D934" s="46">
        <v>5531.47</v>
      </c>
      <c r="E934" s="45"/>
      <c r="F934" s="45"/>
      <c r="G934" s="45"/>
      <c r="BD934" s="73" t="s">
        <v>240</v>
      </c>
    </row>
    <row r="935" spans="1:56" ht="23.25" hidden="1" customHeight="1" outlineLevel="4" x14ac:dyDescent="0.2">
      <c r="A935" s="60" t="s">
        <v>715</v>
      </c>
      <c r="B935" s="45"/>
      <c r="C935" s="45"/>
      <c r="D935" s="46">
        <v>5531.47</v>
      </c>
      <c r="E935" s="45"/>
      <c r="F935" s="45"/>
      <c r="G935" s="45"/>
      <c r="BD935" s="73" t="s">
        <v>241</v>
      </c>
    </row>
    <row r="936" spans="1:56" ht="23.25" hidden="1" customHeight="1" outlineLevel="4" x14ac:dyDescent="0.2">
      <c r="A936" s="60" t="s">
        <v>713</v>
      </c>
      <c r="B936" s="45"/>
      <c r="C936" s="45"/>
      <c r="D936" s="46">
        <v>4741.2700000000004</v>
      </c>
      <c r="E936" s="45"/>
      <c r="F936" s="45"/>
      <c r="G936" s="45"/>
      <c r="BD936" s="73" t="s">
        <v>243</v>
      </c>
    </row>
    <row r="937" spans="1:56" ht="23.25" hidden="1" customHeight="1" outlineLevel="4" x14ac:dyDescent="0.2">
      <c r="A937" s="60" t="s">
        <v>711</v>
      </c>
      <c r="B937" s="45"/>
      <c r="C937" s="45"/>
      <c r="D937" s="46">
        <v>3793.01</v>
      </c>
      <c r="E937" s="45"/>
      <c r="F937" s="45"/>
      <c r="G937" s="45"/>
      <c r="BD937" s="73" t="s">
        <v>244</v>
      </c>
    </row>
    <row r="938" spans="1:56" ht="23.25" hidden="1" customHeight="1" outlineLevel="4" x14ac:dyDescent="0.2">
      <c r="A938" s="60" t="s">
        <v>710</v>
      </c>
      <c r="B938" s="45"/>
      <c r="C938" s="45"/>
      <c r="D938" s="46">
        <v>5057.3500000000004</v>
      </c>
      <c r="E938" s="45"/>
      <c r="F938" s="45"/>
      <c r="G938" s="45"/>
      <c r="BD938" s="73" t="s">
        <v>245</v>
      </c>
    </row>
    <row r="939" spans="1:56" ht="23.25" hidden="1" customHeight="1" outlineLevel="4" x14ac:dyDescent="0.2">
      <c r="A939" s="60" t="s">
        <v>709</v>
      </c>
      <c r="B939" s="45"/>
      <c r="C939" s="45"/>
      <c r="D939" s="46">
        <v>9403.5</v>
      </c>
      <c r="E939" s="45"/>
      <c r="F939" s="45"/>
      <c r="G939" s="45"/>
      <c r="BD939" s="73" t="s">
        <v>246</v>
      </c>
    </row>
    <row r="940" spans="1:56" ht="23.25" hidden="1" customHeight="1" outlineLevel="4" x14ac:dyDescent="0.2">
      <c r="A940" s="60" t="s">
        <v>708</v>
      </c>
      <c r="B940" s="45"/>
      <c r="C940" s="45"/>
      <c r="D940" s="46">
        <v>9403.5</v>
      </c>
      <c r="E940" s="45"/>
      <c r="F940" s="45"/>
      <c r="G940" s="45"/>
      <c r="BD940" s="73" t="s">
        <v>247</v>
      </c>
    </row>
    <row r="941" spans="1:56" ht="23.25" hidden="1" customHeight="1" outlineLevel="4" x14ac:dyDescent="0.2">
      <c r="A941" s="60" t="s">
        <v>484</v>
      </c>
      <c r="B941" s="45"/>
      <c r="C941" s="45"/>
      <c r="D941" s="66">
        <v>632.16999999999996</v>
      </c>
      <c r="E941" s="45"/>
      <c r="F941" s="45"/>
      <c r="G941" s="45"/>
      <c r="BD941" s="73" t="s">
        <v>248</v>
      </c>
    </row>
    <row r="942" spans="1:56" ht="23.25" hidden="1" customHeight="1" outlineLevel="4" x14ac:dyDescent="0.2">
      <c r="A942" s="60" t="s">
        <v>482</v>
      </c>
      <c r="B942" s="45"/>
      <c r="C942" s="45"/>
      <c r="D942" s="46">
        <v>6637.77</v>
      </c>
      <c r="E942" s="45"/>
      <c r="F942" s="45"/>
      <c r="G942" s="45"/>
      <c r="BD942" s="73" t="s">
        <v>250</v>
      </c>
    </row>
    <row r="943" spans="1:56" ht="23.25" hidden="1" customHeight="1" outlineLevel="4" x14ac:dyDescent="0.2">
      <c r="A943" s="60" t="s">
        <v>707</v>
      </c>
      <c r="B943" s="45"/>
      <c r="C943" s="45"/>
      <c r="D943" s="46">
        <v>6400.71</v>
      </c>
      <c r="E943" s="45"/>
      <c r="F943" s="45"/>
      <c r="G943" s="45"/>
      <c r="BD943" s="73" t="s">
        <v>251</v>
      </c>
    </row>
    <row r="944" spans="1:56" ht="23.25" hidden="1" customHeight="1" outlineLevel="4" x14ac:dyDescent="0.2">
      <c r="A944" s="60" t="s">
        <v>621</v>
      </c>
      <c r="B944" s="45"/>
      <c r="C944" s="45"/>
      <c r="D944" s="46">
        <v>6321.68</v>
      </c>
      <c r="E944" s="45"/>
      <c r="F944" s="45"/>
      <c r="G944" s="45"/>
      <c r="BD944" s="73" t="s">
        <v>207</v>
      </c>
    </row>
    <row r="945" spans="1:56" ht="23.25" hidden="1" customHeight="1" outlineLevel="4" x14ac:dyDescent="0.2">
      <c r="A945" s="60" t="s">
        <v>620</v>
      </c>
      <c r="B945" s="45"/>
      <c r="C945" s="45"/>
      <c r="D945" s="46">
        <v>6321.68</v>
      </c>
      <c r="E945" s="45"/>
      <c r="F945" s="45"/>
      <c r="G945" s="45"/>
      <c r="BD945" s="73" t="s">
        <v>208</v>
      </c>
    </row>
    <row r="946" spans="1:56" ht="23.25" hidden="1" customHeight="1" outlineLevel="4" x14ac:dyDescent="0.2">
      <c r="A946" s="60" t="s">
        <v>619</v>
      </c>
      <c r="B946" s="45"/>
      <c r="C946" s="45"/>
      <c r="D946" s="46">
        <v>6321.68</v>
      </c>
      <c r="E946" s="45"/>
      <c r="F946" s="45"/>
      <c r="G946" s="45"/>
      <c r="BD946" s="73" t="s">
        <v>209</v>
      </c>
    </row>
    <row r="947" spans="1:56" ht="23.25" hidden="1" customHeight="1" outlineLevel="4" x14ac:dyDescent="0.2">
      <c r="A947" s="60" t="s">
        <v>706</v>
      </c>
      <c r="B947" s="45"/>
      <c r="C947" s="45"/>
      <c r="D947" s="46">
        <v>6321.68</v>
      </c>
      <c r="E947" s="45"/>
      <c r="F947" s="45"/>
      <c r="G947" s="45"/>
      <c r="BD947" s="73" t="s">
        <v>210</v>
      </c>
    </row>
    <row r="948" spans="1:56" ht="23.25" hidden="1" customHeight="1" outlineLevel="4" x14ac:dyDescent="0.2">
      <c r="A948" s="60" t="s">
        <v>705</v>
      </c>
      <c r="B948" s="45"/>
      <c r="C948" s="45"/>
      <c r="D948" s="46">
        <v>6321.68</v>
      </c>
      <c r="E948" s="45"/>
      <c r="F948" s="45"/>
      <c r="G948" s="45"/>
      <c r="BD948" s="73" t="s">
        <v>211</v>
      </c>
    </row>
    <row r="949" spans="1:56" ht="23.25" hidden="1" customHeight="1" outlineLevel="4" x14ac:dyDescent="0.2">
      <c r="A949" s="60" t="s">
        <v>704</v>
      </c>
      <c r="B949" s="45"/>
      <c r="C949" s="45"/>
      <c r="D949" s="46">
        <v>9956.65</v>
      </c>
      <c r="E949" s="45"/>
      <c r="F949" s="45"/>
      <c r="G949" s="45"/>
      <c r="BD949" s="73" t="s">
        <v>212</v>
      </c>
    </row>
    <row r="950" spans="1:56" ht="23.25" hidden="1" customHeight="1" outlineLevel="4" x14ac:dyDescent="0.2">
      <c r="A950" s="60" t="s">
        <v>703</v>
      </c>
      <c r="B950" s="45"/>
      <c r="C950" s="45"/>
      <c r="D950" s="46">
        <v>5531.47</v>
      </c>
      <c r="E950" s="45"/>
      <c r="F950" s="45"/>
      <c r="G950" s="45"/>
      <c r="BD950" s="73" t="s">
        <v>213</v>
      </c>
    </row>
    <row r="951" spans="1:56" ht="23.25" hidden="1" customHeight="1" outlineLevel="4" x14ac:dyDescent="0.2">
      <c r="A951" s="60" t="s">
        <v>702</v>
      </c>
      <c r="B951" s="45"/>
      <c r="C951" s="45"/>
      <c r="D951" s="46">
        <v>12564.34</v>
      </c>
      <c r="E951" s="45"/>
      <c r="F951" s="45"/>
      <c r="G951" s="45"/>
      <c r="BD951" s="73" t="s">
        <v>214</v>
      </c>
    </row>
    <row r="952" spans="1:56" ht="23.25" hidden="1" customHeight="1" outlineLevel="4" x14ac:dyDescent="0.2">
      <c r="A952" s="60" t="s">
        <v>701</v>
      </c>
      <c r="B952" s="45"/>
      <c r="C952" s="45"/>
      <c r="D952" s="46">
        <v>6321.68</v>
      </c>
      <c r="E952" s="45"/>
      <c r="F952" s="45"/>
      <c r="G952" s="45"/>
      <c r="BD952" s="73" t="s">
        <v>215</v>
      </c>
    </row>
    <row r="953" spans="1:56" ht="23.25" hidden="1" customHeight="1" outlineLevel="4" x14ac:dyDescent="0.2">
      <c r="A953" s="60" t="s">
        <v>618</v>
      </c>
      <c r="B953" s="45"/>
      <c r="C953" s="45"/>
      <c r="D953" s="46">
        <v>6321.68</v>
      </c>
      <c r="E953" s="45"/>
      <c r="F953" s="45"/>
      <c r="G953" s="45"/>
      <c r="BD953" s="73" t="s">
        <v>216</v>
      </c>
    </row>
    <row r="954" spans="1:56" ht="23.25" hidden="1" customHeight="1" outlineLevel="4" x14ac:dyDescent="0.2">
      <c r="A954" s="60" t="s">
        <v>700</v>
      </c>
      <c r="B954" s="45"/>
      <c r="C954" s="45"/>
      <c r="D954" s="46">
        <v>13275.53</v>
      </c>
      <c r="E954" s="45"/>
      <c r="F954" s="45"/>
      <c r="G954" s="45"/>
      <c r="BD954" s="73" t="s">
        <v>217</v>
      </c>
    </row>
    <row r="955" spans="1:56" ht="23.25" hidden="1" customHeight="1" outlineLevel="4" x14ac:dyDescent="0.2">
      <c r="A955" s="60" t="s">
        <v>698</v>
      </c>
      <c r="B955" s="45"/>
      <c r="C955" s="45"/>
      <c r="D955" s="46">
        <v>15093.02</v>
      </c>
      <c r="E955" s="45"/>
      <c r="F955" s="45"/>
      <c r="G955" s="45"/>
      <c r="BD955" s="73" t="s">
        <v>219</v>
      </c>
    </row>
    <row r="956" spans="1:56" ht="23.25" hidden="1" customHeight="1" outlineLevel="4" x14ac:dyDescent="0.2">
      <c r="A956" s="60" t="s">
        <v>697</v>
      </c>
      <c r="B956" s="45"/>
      <c r="C956" s="45"/>
      <c r="D956" s="46">
        <v>5689.52</v>
      </c>
      <c r="E956" s="45"/>
      <c r="F956" s="45"/>
      <c r="G956" s="45"/>
      <c r="BD956" s="73" t="s">
        <v>220</v>
      </c>
    </row>
    <row r="957" spans="1:56" ht="23.25" hidden="1" customHeight="1" outlineLevel="4" x14ac:dyDescent="0.2">
      <c r="A957" s="60" t="s">
        <v>696</v>
      </c>
      <c r="B957" s="45"/>
      <c r="C957" s="45"/>
      <c r="D957" s="46">
        <v>5689.52</v>
      </c>
      <c r="E957" s="45"/>
      <c r="F957" s="45"/>
      <c r="G957" s="45"/>
      <c r="BD957" s="73" t="s">
        <v>221</v>
      </c>
    </row>
    <row r="958" spans="1:56" ht="23.25" hidden="1" customHeight="1" outlineLevel="4" x14ac:dyDescent="0.2">
      <c r="A958" s="60" t="s">
        <v>695</v>
      </c>
      <c r="B958" s="45"/>
      <c r="C958" s="45"/>
      <c r="D958" s="46">
        <v>4741.2700000000004</v>
      </c>
      <c r="E958" s="45"/>
      <c r="F958" s="45"/>
      <c r="G958" s="45"/>
      <c r="BD958" s="73" t="s">
        <v>222</v>
      </c>
    </row>
    <row r="959" spans="1:56" ht="23.25" hidden="1" customHeight="1" outlineLevel="4" x14ac:dyDescent="0.2">
      <c r="A959" s="60" t="s">
        <v>694</v>
      </c>
      <c r="B959" s="45"/>
      <c r="C959" s="45"/>
      <c r="D959" s="46">
        <v>5689.52</v>
      </c>
      <c r="E959" s="45"/>
      <c r="F959" s="45"/>
      <c r="G959" s="45"/>
      <c r="BD959" s="73" t="s">
        <v>223</v>
      </c>
    </row>
    <row r="960" spans="1:56" ht="23.25" hidden="1" customHeight="1" outlineLevel="4" x14ac:dyDescent="0.2">
      <c r="A960" s="60" t="s">
        <v>693</v>
      </c>
      <c r="B960" s="45"/>
      <c r="C960" s="45"/>
      <c r="D960" s="46">
        <v>11300.01</v>
      </c>
      <c r="E960" s="45"/>
      <c r="F960" s="45"/>
      <c r="G960" s="45"/>
      <c r="BD960" s="73" t="s">
        <v>224</v>
      </c>
    </row>
    <row r="961" spans="1:56" ht="23.25" hidden="1" customHeight="1" outlineLevel="4" x14ac:dyDescent="0.2">
      <c r="A961" s="60" t="s">
        <v>692</v>
      </c>
      <c r="B961" s="45"/>
      <c r="C961" s="45"/>
      <c r="D961" s="46">
        <v>5452.45</v>
      </c>
      <c r="E961" s="45"/>
      <c r="F961" s="45"/>
      <c r="G961" s="45"/>
      <c r="BD961" s="73" t="s">
        <v>225</v>
      </c>
    </row>
    <row r="962" spans="1:56" ht="23.25" hidden="1" customHeight="1" outlineLevel="4" x14ac:dyDescent="0.2">
      <c r="A962" s="60" t="s">
        <v>691</v>
      </c>
      <c r="B962" s="45"/>
      <c r="C962" s="45"/>
      <c r="D962" s="46">
        <v>11379.03</v>
      </c>
      <c r="E962" s="45"/>
      <c r="F962" s="45"/>
      <c r="G962" s="45"/>
      <c r="BD962" s="73" t="s">
        <v>226</v>
      </c>
    </row>
    <row r="963" spans="1:56" ht="23.25" hidden="1" customHeight="1" outlineLevel="4" x14ac:dyDescent="0.2">
      <c r="A963" s="60" t="s">
        <v>690</v>
      </c>
      <c r="B963" s="45"/>
      <c r="C963" s="45"/>
      <c r="D963" s="46">
        <v>5531.47</v>
      </c>
      <c r="E963" s="45"/>
      <c r="F963" s="45"/>
      <c r="G963" s="45"/>
      <c r="BD963" s="73" t="s">
        <v>227</v>
      </c>
    </row>
    <row r="964" spans="1:56" ht="23.25" hidden="1" customHeight="1" outlineLevel="4" x14ac:dyDescent="0.2">
      <c r="A964" s="60" t="s">
        <v>689</v>
      </c>
      <c r="B964" s="45"/>
      <c r="C964" s="45"/>
      <c r="D964" s="46">
        <v>4267.13</v>
      </c>
      <c r="E964" s="45"/>
      <c r="F964" s="45"/>
      <c r="G964" s="45"/>
      <c r="BD964" s="73" t="s">
        <v>228</v>
      </c>
    </row>
    <row r="965" spans="1:56" ht="23.25" hidden="1" customHeight="1" outlineLevel="4" x14ac:dyDescent="0.2">
      <c r="A965" s="60" t="s">
        <v>688</v>
      </c>
      <c r="B965" s="45"/>
      <c r="C965" s="45"/>
      <c r="D965" s="46">
        <v>6321.68</v>
      </c>
      <c r="E965" s="45"/>
      <c r="F965" s="45"/>
      <c r="G965" s="45"/>
      <c r="BD965" s="73" t="s">
        <v>229</v>
      </c>
    </row>
    <row r="966" spans="1:56" ht="23.25" hidden="1" customHeight="1" outlineLevel="4" x14ac:dyDescent="0.2">
      <c r="A966" s="60" t="s">
        <v>687</v>
      </c>
      <c r="B966" s="45"/>
      <c r="C966" s="45"/>
      <c r="D966" s="46">
        <v>6321.68</v>
      </c>
      <c r="E966" s="45"/>
      <c r="F966" s="45"/>
      <c r="G966" s="45"/>
      <c r="BD966" s="73" t="s">
        <v>230</v>
      </c>
    </row>
    <row r="967" spans="1:56" ht="23.25" hidden="1" customHeight="1" outlineLevel="4" x14ac:dyDescent="0.2">
      <c r="A967" s="60" t="s">
        <v>686</v>
      </c>
      <c r="B967" s="45"/>
      <c r="C967" s="45"/>
      <c r="D967" s="46">
        <v>9403.5</v>
      </c>
      <c r="E967" s="45"/>
      <c r="F967" s="45"/>
      <c r="G967" s="45"/>
      <c r="BD967" s="73" t="s">
        <v>231</v>
      </c>
    </row>
    <row r="968" spans="1:56" ht="23.25" hidden="1" customHeight="1" outlineLevel="4" x14ac:dyDescent="0.2">
      <c r="A968" s="60" t="s">
        <v>685</v>
      </c>
      <c r="B968" s="45"/>
      <c r="C968" s="45"/>
      <c r="D968" s="46">
        <v>6321.68</v>
      </c>
      <c r="E968" s="45"/>
      <c r="F968" s="45"/>
      <c r="G968" s="45"/>
      <c r="BD968" s="73" t="s">
        <v>232</v>
      </c>
    </row>
    <row r="969" spans="1:56" ht="23.25" hidden="1" customHeight="1" outlineLevel="4" x14ac:dyDescent="0.2">
      <c r="A969" s="60" t="s">
        <v>684</v>
      </c>
      <c r="B969" s="45"/>
      <c r="C969" s="45"/>
      <c r="D969" s="46">
        <v>6321.68</v>
      </c>
      <c r="E969" s="45"/>
      <c r="F969" s="45"/>
      <c r="G969" s="45"/>
      <c r="BD969" s="73" t="s">
        <v>233</v>
      </c>
    </row>
    <row r="970" spans="1:56" ht="23.25" hidden="1" customHeight="1" outlineLevel="4" x14ac:dyDescent="0.2">
      <c r="A970" s="60" t="s">
        <v>683</v>
      </c>
      <c r="B970" s="45"/>
      <c r="C970" s="45"/>
      <c r="D970" s="46">
        <v>9403.5</v>
      </c>
      <c r="E970" s="45"/>
      <c r="F970" s="45"/>
      <c r="G970" s="45"/>
      <c r="BD970" s="73" t="s">
        <v>234</v>
      </c>
    </row>
    <row r="971" spans="1:56" ht="23.25" hidden="1" customHeight="1" outlineLevel="4" x14ac:dyDescent="0.2">
      <c r="A971" s="60" t="s">
        <v>682</v>
      </c>
      <c r="B971" s="45"/>
      <c r="C971" s="45"/>
      <c r="D971" s="46">
        <v>9403.5</v>
      </c>
      <c r="E971" s="45"/>
      <c r="F971" s="45"/>
      <c r="G971" s="45"/>
      <c r="BD971" s="73" t="s">
        <v>235</v>
      </c>
    </row>
    <row r="972" spans="1:56" ht="23.25" hidden="1" customHeight="1" outlineLevel="4" x14ac:dyDescent="0.2">
      <c r="A972" s="60" t="s">
        <v>681</v>
      </c>
      <c r="B972" s="45"/>
      <c r="C972" s="45"/>
      <c r="D972" s="46">
        <v>5215.3900000000003</v>
      </c>
      <c r="E972" s="45"/>
      <c r="F972" s="45"/>
      <c r="G972" s="45"/>
      <c r="BD972" s="73" t="s">
        <v>236</v>
      </c>
    </row>
    <row r="973" spans="1:56" ht="12" hidden="1" customHeight="1" outlineLevel="4" x14ac:dyDescent="0.2">
      <c r="A973" s="60" t="s">
        <v>615</v>
      </c>
      <c r="B973" s="45"/>
      <c r="C973" s="45"/>
      <c r="D973" s="46">
        <v>6637.77</v>
      </c>
      <c r="E973" s="45"/>
      <c r="F973" s="45"/>
      <c r="G973" s="45"/>
      <c r="BD973" s="73" t="s">
        <v>255</v>
      </c>
    </row>
    <row r="974" spans="1:56" ht="12" hidden="1" customHeight="1" outlineLevel="4" x14ac:dyDescent="0.2">
      <c r="A974" s="60" t="s">
        <v>614</v>
      </c>
      <c r="B974" s="45"/>
      <c r="C974" s="45"/>
      <c r="D974" s="46">
        <v>6558.75</v>
      </c>
      <c r="E974" s="45"/>
      <c r="F974" s="45"/>
      <c r="G974" s="45"/>
      <c r="BD974" s="73" t="s">
        <v>256</v>
      </c>
    </row>
    <row r="975" spans="1:56" ht="12" hidden="1" customHeight="1" outlineLevel="4" x14ac:dyDescent="0.2">
      <c r="A975" s="60" t="s">
        <v>612</v>
      </c>
      <c r="B975" s="45"/>
      <c r="C975" s="45"/>
      <c r="D975" s="46">
        <v>6400.71</v>
      </c>
      <c r="E975" s="45"/>
      <c r="F975" s="45"/>
      <c r="G975" s="45"/>
      <c r="BD975" s="73" t="s">
        <v>264</v>
      </c>
    </row>
    <row r="976" spans="1:56" ht="12" hidden="1" customHeight="1" outlineLevel="4" x14ac:dyDescent="0.2">
      <c r="A976" s="60" t="s">
        <v>610</v>
      </c>
      <c r="B976" s="45"/>
      <c r="C976" s="45"/>
      <c r="D976" s="46">
        <v>6637.77</v>
      </c>
      <c r="E976" s="45"/>
      <c r="F976" s="45"/>
      <c r="G976" s="45"/>
      <c r="BD976" s="73" t="s">
        <v>265</v>
      </c>
    </row>
    <row r="977" spans="1:56" ht="12" hidden="1" customHeight="1" outlineLevel="4" x14ac:dyDescent="0.2">
      <c r="A977" s="60" t="s">
        <v>608</v>
      </c>
      <c r="B977" s="45"/>
      <c r="C977" s="45"/>
      <c r="D977" s="46">
        <v>8850.36</v>
      </c>
      <c r="E977" s="45"/>
      <c r="F977" s="45"/>
      <c r="G977" s="45"/>
      <c r="BD977" s="73" t="s">
        <v>270</v>
      </c>
    </row>
    <row r="978" spans="1:56" ht="12" hidden="1" customHeight="1" outlineLevel="4" x14ac:dyDescent="0.2">
      <c r="A978" s="60" t="s">
        <v>607</v>
      </c>
      <c r="B978" s="45"/>
      <c r="C978" s="45"/>
      <c r="D978" s="46">
        <v>7744.06</v>
      </c>
      <c r="E978" s="45"/>
      <c r="F978" s="45"/>
      <c r="G978" s="45"/>
      <c r="BD978" s="73" t="s">
        <v>271</v>
      </c>
    </row>
    <row r="979" spans="1:56" ht="12" hidden="1" customHeight="1" outlineLevel="4" x14ac:dyDescent="0.2">
      <c r="A979" s="60" t="s">
        <v>606</v>
      </c>
      <c r="B979" s="45"/>
      <c r="C979" s="45"/>
      <c r="D979" s="46">
        <v>7744.06</v>
      </c>
      <c r="E979" s="45"/>
      <c r="F979" s="45"/>
      <c r="G979" s="45"/>
      <c r="BD979" s="73" t="s">
        <v>272</v>
      </c>
    </row>
    <row r="980" spans="1:56" ht="12" hidden="1" customHeight="1" outlineLevel="4" x14ac:dyDescent="0.2">
      <c r="A980" s="60" t="s">
        <v>605</v>
      </c>
      <c r="B980" s="45"/>
      <c r="C980" s="45"/>
      <c r="D980" s="46">
        <v>8850.36</v>
      </c>
      <c r="E980" s="45"/>
      <c r="F980" s="45"/>
      <c r="G980" s="45"/>
      <c r="BD980" s="73" t="s">
        <v>273</v>
      </c>
    </row>
    <row r="981" spans="1:56" ht="12" hidden="1" customHeight="1" outlineLevel="4" x14ac:dyDescent="0.2">
      <c r="A981" s="60" t="s">
        <v>604</v>
      </c>
      <c r="B981" s="45"/>
      <c r="C981" s="45"/>
      <c r="D981" s="46">
        <v>8850.36</v>
      </c>
      <c r="E981" s="45"/>
      <c r="F981" s="45"/>
      <c r="G981" s="45"/>
      <c r="BD981" s="73" t="s">
        <v>274</v>
      </c>
    </row>
    <row r="982" spans="1:56" ht="12" hidden="1" customHeight="1" outlineLevel="4" x14ac:dyDescent="0.2">
      <c r="A982" s="60" t="s">
        <v>603</v>
      </c>
      <c r="B982" s="45"/>
      <c r="C982" s="45"/>
      <c r="D982" s="46">
        <v>8850.36</v>
      </c>
      <c r="E982" s="45"/>
      <c r="F982" s="45"/>
      <c r="G982" s="45"/>
      <c r="BD982" s="73" t="s">
        <v>275</v>
      </c>
    </row>
    <row r="983" spans="1:56" ht="12" hidden="1" customHeight="1" outlineLevel="4" x14ac:dyDescent="0.2">
      <c r="A983" s="60" t="s">
        <v>602</v>
      </c>
      <c r="B983" s="45"/>
      <c r="C983" s="45"/>
      <c r="D983" s="46">
        <v>7744.06</v>
      </c>
      <c r="E983" s="45"/>
      <c r="F983" s="45"/>
      <c r="G983" s="45"/>
      <c r="BD983" s="73" t="s">
        <v>276</v>
      </c>
    </row>
    <row r="984" spans="1:56" ht="12" hidden="1" customHeight="1" outlineLevel="4" x14ac:dyDescent="0.2">
      <c r="A984" s="60" t="s">
        <v>599</v>
      </c>
      <c r="B984" s="45"/>
      <c r="C984" s="45"/>
      <c r="D984" s="46">
        <v>7744.06</v>
      </c>
      <c r="E984" s="45"/>
      <c r="F984" s="45"/>
      <c r="G984" s="45"/>
      <c r="BD984" s="73" t="s">
        <v>267</v>
      </c>
    </row>
    <row r="985" spans="1:56" ht="12" hidden="1" customHeight="1" outlineLevel="4" x14ac:dyDescent="0.2">
      <c r="A985" s="60" t="s">
        <v>598</v>
      </c>
      <c r="B985" s="45"/>
      <c r="C985" s="45"/>
      <c r="D985" s="46">
        <v>6321.68</v>
      </c>
      <c r="E985" s="45"/>
      <c r="F985" s="45"/>
      <c r="G985" s="45"/>
      <c r="BD985" s="73" t="s">
        <v>279</v>
      </c>
    </row>
    <row r="986" spans="1:56" ht="12" hidden="1" customHeight="1" outlineLevel="4" x14ac:dyDescent="0.2">
      <c r="A986" s="60" t="s">
        <v>597</v>
      </c>
      <c r="B986" s="45"/>
      <c r="C986" s="45"/>
      <c r="D986" s="46">
        <v>12643.37</v>
      </c>
      <c r="E986" s="45"/>
      <c r="F986" s="45"/>
      <c r="G986" s="45"/>
      <c r="BD986" s="73" t="s">
        <v>280</v>
      </c>
    </row>
    <row r="987" spans="1:56" ht="12" hidden="1" customHeight="1" outlineLevel="4" x14ac:dyDescent="0.2">
      <c r="A987" s="60" t="s">
        <v>596</v>
      </c>
      <c r="B987" s="45"/>
      <c r="C987" s="45"/>
      <c r="D987" s="46">
        <v>6321.68</v>
      </c>
      <c r="E987" s="45"/>
      <c r="F987" s="45"/>
      <c r="G987" s="45"/>
      <c r="BD987" s="73" t="s">
        <v>281</v>
      </c>
    </row>
    <row r="988" spans="1:56" ht="12" hidden="1" customHeight="1" outlineLevel="4" x14ac:dyDescent="0.2">
      <c r="A988" s="60" t="s">
        <v>595</v>
      </c>
      <c r="B988" s="45"/>
      <c r="C988" s="45"/>
      <c r="D988" s="46">
        <v>6321.68</v>
      </c>
      <c r="E988" s="45"/>
      <c r="F988" s="45"/>
      <c r="G988" s="45"/>
      <c r="BD988" s="73" t="s">
        <v>282</v>
      </c>
    </row>
    <row r="989" spans="1:56" ht="12" hidden="1" customHeight="1" outlineLevel="4" x14ac:dyDescent="0.2">
      <c r="A989" s="60" t="s">
        <v>594</v>
      </c>
      <c r="B989" s="45"/>
      <c r="C989" s="45"/>
      <c r="D989" s="46">
        <v>6321.68</v>
      </c>
      <c r="E989" s="45"/>
      <c r="F989" s="45"/>
      <c r="G989" s="45"/>
      <c r="BD989" s="73" t="s">
        <v>283</v>
      </c>
    </row>
    <row r="990" spans="1:56" ht="12" hidden="1" customHeight="1" outlineLevel="4" x14ac:dyDescent="0.2">
      <c r="A990" s="60" t="s">
        <v>593</v>
      </c>
      <c r="B990" s="45"/>
      <c r="C990" s="45"/>
      <c r="D990" s="46">
        <v>6321.68</v>
      </c>
      <c r="E990" s="45"/>
      <c r="F990" s="45"/>
      <c r="G990" s="45"/>
      <c r="BD990" s="73" t="s">
        <v>284</v>
      </c>
    </row>
    <row r="991" spans="1:56" ht="12" hidden="1" customHeight="1" outlineLevel="4" x14ac:dyDescent="0.2">
      <c r="A991" s="60" t="s">
        <v>592</v>
      </c>
      <c r="B991" s="45"/>
      <c r="C991" s="45"/>
      <c r="D991" s="46">
        <v>12643.37</v>
      </c>
      <c r="E991" s="45"/>
      <c r="F991" s="45"/>
      <c r="G991" s="45"/>
      <c r="BD991" s="73" t="s">
        <v>285</v>
      </c>
    </row>
    <row r="992" spans="1:56" ht="12" hidden="1" customHeight="1" outlineLevel="4" x14ac:dyDescent="0.2">
      <c r="A992" s="60" t="s">
        <v>591</v>
      </c>
      <c r="B992" s="45"/>
      <c r="C992" s="45"/>
      <c r="D992" s="46">
        <v>6637.77</v>
      </c>
      <c r="E992" s="45"/>
      <c r="F992" s="45"/>
      <c r="G992" s="45"/>
      <c r="BD992" s="73" t="s">
        <v>268</v>
      </c>
    </row>
    <row r="993" spans="1:56" ht="12" hidden="1" customHeight="1" outlineLevel="4" x14ac:dyDescent="0.2">
      <c r="A993" s="60" t="s">
        <v>590</v>
      </c>
      <c r="B993" s="45"/>
      <c r="C993" s="45"/>
      <c r="D993" s="46">
        <v>11220.99</v>
      </c>
      <c r="E993" s="45"/>
      <c r="F993" s="45"/>
      <c r="G993" s="45"/>
      <c r="BD993" s="74" t="s">
        <v>286</v>
      </c>
    </row>
    <row r="994" spans="1:56" ht="12" hidden="1" customHeight="1" outlineLevel="4" x14ac:dyDescent="0.2">
      <c r="A994" s="60" t="s">
        <v>589</v>
      </c>
      <c r="B994" s="45"/>
      <c r="C994" s="45"/>
      <c r="D994" s="46">
        <v>12643.37</v>
      </c>
      <c r="E994" s="45"/>
      <c r="F994" s="45"/>
      <c r="G994" s="45"/>
      <c r="BD994" s="73" t="s">
        <v>288</v>
      </c>
    </row>
    <row r="995" spans="1:56" ht="12" hidden="1" customHeight="1" outlineLevel="4" x14ac:dyDescent="0.2">
      <c r="A995" s="60" t="s">
        <v>588</v>
      </c>
      <c r="B995" s="45"/>
      <c r="C995" s="45"/>
      <c r="D995" s="46">
        <v>7744.06</v>
      </c>
      <c r="E995" s="45"/>
      <c r="F995" s="45"/>
      <c r="G995" s="45"/>
      <c r="BD995" s="73" t="s">
        <v>269</v>
      </c>
    </row>
    <row r="996" spans="1:56" ht="12" hidden="1" customHeight="1" outlineLevel="4" x14ac:dyDescent="0.2">
      <c r="A996" s="60" t="s">
        <v>524</v>
      </c>
      <c r="B996" s="45"/>
      <c r="C996" s="45"/>
      <c r="D996" s="46">
        <v>1580.42</v>
      </c>
      <c r="E996" s="45"/>
      <c r="F996" s="45"/>
      <c r="G996" s="45"/>
      <c r="BD996" s="73" t="s">
        <v>297</v>
      </c>
    </row>
    <row r="997" spans="1:56" ht="12" hidden="1" customHeight="1" outlineLevel="4" x14ac:dyDescent="0.2">
      <c r="A997" s="60" t="s">
        <v>523</v>
      </c>
      <c r="B997" s="45"/>
      <c r="C997" s="45"/>
      <c r="D997" s="46">
        <v>1580.42</v>
      </c>
      <c r="E997" s="45"/>
      <c r="F997" s="45"/>
      <c r="G997" s="45"/>
      <c r="BD997" s="73" t="s">
        <v>298</v>
      </c>
    </row>
    <row r="998" spans="1:56" ht="23.25" hidden="1" customHeight="1" outlineLevel="4" x14ac:dyDescent="0.2">
      <c r="A998" s="60" t="s">
        <v>520</v>
      </c>
      <c r="B998" s="45"/>
      <c r="C998" s="45"/>
      <c r="D998" s="46">
        <v>1264.33</v>
      </c>
      <c r="E998" s="45"/>
      <c r="F998" s="45"/>
      <c r="G998" s="45"/>
      <c r="BD998" s="73" t="s">
        <v>290</v>
      </c>
    </row>
    <row r="999" spans="1:56" ht="12" hidden="1" customHeight="1" outlineLevel="4" x14ac:dyDescent="0.2">
      <c r="A999" s="60" t="s">
        <v>519</v>
      </c>
      <c r="B999" s="45"/>
      <c r="C999" s="45"/>
      <c r="D999" s="46">
        <v>4741.2700000000004</v>
      </c>
      <c r="E999" s="45"/>
      <c r="F999" s="45"/>
      <c r="G999" s="45"/>
      <c r="BD999" s="73" t="s">
        <v>292</v>
      </c>
    </row>
    <row r="1000" spans="1:56" ht="12" hidden="1" customHeight="1" outlineLevel="4" x14ac:dyDescent="0.2">
      <c r="A1000" s="60" t="s">
        <v>518</v>
      </c>
      <c r="B1000" s="45"/>
      <c r="C1000" s="45"/>
      <c r="D1000" s="46">
        <v>1422.37</v>
      </c>
      <c r="E1000" s="45"/>
      <c r="F1000" s="45"/>
      <c r="G1000" s="45"/>
      <c r="BD1000" s="73" t="s">
        <v>293</v>
      </c>
    </row>
    <row r="1001" spans="1:56" ht="12" hidden="1" customHeight="1" outlineLevel="4" x14ac:dyDescent="0.2">
      <c r="A1001" s="60" t="s">
        <v>517</v>
      </c>
      <c r="B1001" s="45"/>
      <c r="C1001" s="45"/>
      <c r="D1001" s="46">
        <v>1580.42</v>
      </c>
      <c r="E1001" s="45"/>
      <c r="F1001" s="45"/>
      <c r="G1001" s="45"/>
      <c r="BD1001" s="73" t="s">
        <v>294</v>
      </c>
    </row>
    <row r="1002" spans="1:56" ht="23.25" hidden="1" customHeight="1" outlineLevel="4" x14ac:dyDescent="0.2">
      <c r="A1002" s="60" t="s">
        <v>516</v>
      </c>
      <c r="B1002" s="45"/>
      <c r="C1002" s="45"/>
      <c r="D1002" s="46">
        <v>1580.42</v>
      </c>
      <c r="E1002" s="45"/>
      <c r="F1002" s="45"/>
      <c r="G1002" s="45"/>
      <c r="BD1002" s="73" t="s">
        <v>295</v>
      </c>
    </row>
    <row r="1003" spans="1:56" ht="12" hidden="1" customHeight="1" outlineLevel="4" x14ac:dyDescent="0.2">
      <c r="A1003" s="60" t="s">
        <v>515</v>
      </c>
      <c r="B1003" s="45"/>
      <c r="C1003" s="45"/>
      <c r="D1003" s="46">
        <v>6953.85</v>
      </c>
      <c r="E1003" s="45"/>
      <c r="F1003" s="45"/>
      <c r="G1003" s="45"/>
      <c r="BD1003" s="73" t="s">
        <v>296</v>
      </c>
    </row>
    <row r="1004" spans="1:56" ht="12" hidden="1" customHeight="1" outlineLevel="4" x14ac:dyDescent="0.2">
      <c r="A1004" s="60" t="s">
        <v>514</v>
      </c>
      <c r="B1004" s="45"/>
      <c r="C1004" s="45"/>
      <c r="D1004" s="46">
        <v>7586.02</v>
      </c>
      <c r="E1004" s="45"/>
      <c r="F1004" s="45"/>
      <c r="G1004" s="45"/>
      <c r="BD1004" s="73" t="s">
        <v>300</v>
      </c>
    </row>
    <row r="1005" spans="1:56" ht="12" hidden="1" customHeight="1" outlineLevel="4" x14ac:dyDescent="0.2">
      <c r="A1005" s="60" t="s">
        <v>512</v>
      </c>
      <c r="B1005" s="45"/>
      <c r="C1005" s="45"/>
      <c r="D1005" s="46">
        <v>16910.5</v>
      </c>
      <c r="E1005" s="45"/>
      <c r="F1005" s="45"/>
      <c r="G1005" s="45"/>
      <c r="BD1005" s="73" t="s">
        <v>303</v>
      </c>
    </row>
    <row r="1006" spans="1:56" ht="12" hidden="1" customHeight="1" outlineLevel="4" x14ac:dyDescent="0.2">
      <c r="A1006" s="60" t="s">
        <v>510</v>
      </c>
      <c r="B1006" s="45"/>
      <c r="C1006" s="45"/>
      <c r="D1006" s="46">
        <v>5452.45</v>
      </c>
      <c r="E1006" s="45"/>
      <c r="F1006" s="45"/>
      <c r="G1006" s="45"/>
      <c r="BD1006" s="73" t="s">
        <v>305</v>
      </c>
    </row>
    <row r="1007" spans="1:56" ht="12" hidden="1" customHeight="1" outlineLevel="4" x14ac:dyDescent="0.2">
      <c r="A1007" s="60" t="s">
        <v>575</v>
      </c>
      <c r="B1007" s="45"/>
      <c r="C1007" s="45"/>
      <c r="D1007" s="46">
        <v>4741.2700000000004</v>
      </c>
      <c r="E1007" s="45"/>
      <c r="F1007" s="45"/>
      <c r="G1007" s="45"/>
      <c r="BD1007" s="73" t="s">
        <v>322</v>
      </c>
    </row>
    <row r="1008" spans="1:56" ht="12" hidden="1" customHeight="1" outlineLevel="4" x14ac:dyDescent="0.2">
      <c r="A1008" s="60" t="s">
        <v>574</v>
      </c>
      <c r="B1008" s="45"/>
      <c r="C1008" s="45"/>
      <c r="D1008" s="46">
        <v>4741.2700000000004</v>
      </c>
      <c r="E1008" s="45"/>
      <c r="F1008" s="45"/>
      <c r="G1008" s="45"/>
      <c r="BD1008" s="73" t="s">
        <v>323</v>
      </c>
    </row>
    <row r="1009" spans="1:56" ht="12" hidden="1" customHeight="1" outlineLevel="4" x14ac:dyDescent="0.2">
      <c r="A1009" s="60" t="s">
        <v>572</v>
      </c>
      <c r="B1009" s="45"/>
      <c r="C1009" s="45"/>
      <c r="D1009" s="46">
        <v>5452.45</v>
      </c>
      <c r="E1009" s="45"/>
      <c r="F1009" s="45"/>
      <c r="G1009" s="45"/>
      <c r="BD1009" s="73" t="s">
        <v>325</v>
      </c>
    </row>
    <row r="1010" spans="1:56" ht="12" hidden="1" customHeight="1" outlineLevel="4" x14ac:dyDescent="0.2">
      <c r="A1010" s="60" t="s">
        <v>571</v>
      </c>
      <c r="B1010" s="45"/>
      <c r="C1010" s="45"/>
      <c r="D1010" s="46">
        <v>3239.87</v>
      </c>
      <c r="E1010" s="45"/>
      <c r="F1010" s="45"/>
      <c r="G1010" s="45"/>
      <c r="BD1010" s="73" t="s">
        <v>317</v>
      </c>
    </row>
    <row r="1011" spans="1:56" ht="12" hidden="1" customHeight="1" outlineLevel="4" x14ac:dyDescent="0.2">
      <c r="A1011" s="60" t="s">
        <v>570</v>
      </c>
      <c r="B1011" s="45"/>
      <c r="C1011" s="45"/>
      <c r="D1011" s="46">
        <v>1264.33</v>
      </c>
      <c r="E1011" s="45"/>
      <c r="F1011" s="45"/>
      <c r="G1011" s="45"/>
      <c r="BD1011" s="73" t="s">
        <v>318</v>
      </c>
    </row>
    <row r="1012" spans="1:56" ht="12" hidden="1" customHeight="1" outlineLevel="4" x14ac:dyDescent="0.2">
      <c r="A1012" s="60" t="s">
        <v>569</v>
      </c>
      <c r="B1012" s="45"/>
      <c r="C1012" s="45"/>
      <c r="D1012" s="66">
        <v>948.25</v>
      </c>
      <c r="E1012" s="45"/>
      <c r="F1012" s="45"/>
      <c r="G1012" s="45"/>
      <c r="BD1012" s="73" t="s">
        <v>319</v>
      </c>
    </row>
    <row r="1013" spans="1:56" ht="12" hidden="1" customHeight="1" outlineLevel="4" x14ac:dyDescent="0.2">
      <c r="A1013" s="60" t="s">
        <v>756</v>
      </c>
      <c r="B1013" s="45"/>
      <c r="C1013" s="45"/>
      <c r="D1013" s="66">
        <v>316.08</v>
      </c>
      <c r="E1013" s="45"/>
      <c r="F1013" s="45"/>
      <c r="G1013" s="45"/>
      <c r="BD1013" s="73" t="s">
        <v>326</v>
      </c>
    </row>
    <row r="1014" spans="1:56" ht="12" hidden="1" customHeight="1" outlineLevel="4" x14ac:dyDescent="0.2">
      <c r="A1014" s="60" t="s">
        <v>567</v>
      </c>
      <c r="B1014" s="45"/>
      <c r="C1014" s="45"/>
      <c r="D1014" s="66">
        <v>632.16999999999996</v>
      </c>
      <c r="E1014" s="45"/>
      <c r="F1014" s="45"/>
      <c r="G1014" s="45"/>
      <c r="BD1014" s="73" t="s">
        <v>326</v>
      </c>
    </row>
    <row r="1015" spans="1:56" ht="23.25" hidden="1" customHeight="1" outlineLevel="3" x14ac:dyDescent="0.2">
      <c r="A1015" s="80" t="s">
        <v>364</v>
      </c>
      <c r="B1015" s="45"/>
      <c r="C1015" s="45"/>
      <c r="D1015" s="46">
        <v>58296</v>
      </c>
      <c r="E1015" s="45"/>
      <c r="F1015" s="45"/>
      <c r="G1015" s="45"/>
      <c r="AY1015" s="41" t="s">
        <v>364</v>
      </c>
    </row>
    <row r="1016" spans="1:56" ht="12" hidden="1" customHeight="1" outlineLevel="4" x14ac:dyDescent="0.2">
      <c r="A1016" s="60" t="s">
        <v>495</v>
      </c>
      <c r="B1016" s="45"/>
      <c r="C1016" s="45"/>
      <c r="D1016" s="46">
        <v>58296</v>
      </c>
      <c r="E1016" s="45"/>
      <c r="F1016" s="45"/>
      <c r="G1016" s="45"/>
    </row>
    <row r="1017" spans="1:56" ht="23.25" hidden="1" customHeight="1" outlineLevel="3" x14ac:dyDescent="0.2">
      <c r="A1017" s="80" t="s">
        <v>755</v>
      </c>
      <c r="B1017" s="45"/>
      <c r="C1017" s="45"/>
      <c r="D1017" s="46">
        <v>1541503.6</v>
      </c>
      <c r="E1017" s="45"/>
      <c r="F1017" s="45"/>
      <c r="G1017" s="45"/>
      <c r="AY1017" s="41" t="s">
        <v>365</v>
      </c>
    </row>
    <row r="1018" spans="1:56" ht="12" hidden="1" customHeight="1" outlineLevel="4" x14ac:dyDescent="0.2">
      <c r="A1018" s="60" t="s">
        <v>495</v>
      </c>
      <c r="B1018" s="45"/>
      <c r="C1018" s="45"/>
      <c r="D1018" s="46">
        <v>1541503.6</v>
      </c>
      <c r="E1018" s="45"/>
      <c r="F1018" s="45"/>
      <c r="G1018" s="45"/>
    </row>
    <row r="1019" spans="1:56" ht="34.5" hidden="1" customHeight="1" outlineLevel="3" x14ac:dyDescent="0.2">
      <c r="A1019" s="80" t="s">
        <v>360</v>
      </c>
      <c r="B1019" s="45"/>
      <c r="C1019" s="45"/>
      <c r="D1019" s="46">
        <v>299000</v>
      </c>
      <c r="E1019" s="45"/>
      <c r="F1019" s="45"/>
      <c r="G1019" s="45"/>
      <c r="AO1019" s="78" t="s">
        <v>360</v>
      </c>
    </row>
    <row r="1020" spans="1:56" ht="12" hidden="1" customHeight="1" outlineLevel="4" x14ac:dyDescent="0.2">
      <c r="A1020" s="60" t="s">
        <v>495</v>
      </c>
      <c r="B1020" s="45"/>
      <c r="C1020" s="45"/>
      <c r="D1020" s="46">
        <v>299000</v>
      </c>
      <c r="E1020" s="45"/>
      <c r="F1020" s="45"/>
      <c r="G1020" s="45"/>
    </row>
    <row r="1021" spans="1:56" ht="12" hidden="1" customHeight="1" outlineLevel="3" x14ac:dyDescent="0.2">
      <c r="A1021" s="77" t="s">
        <v>347</v>
      </c>
      <c r="B1021" s="45"/>
      <c r="C1021" s="45"/>
      <c r="D1021" s="46">
        <v>476541.69</v>
      </c>
      <c r="E1021" s="45"/>
      <c r="F1021" s="45"/>
      <c r="G1021" s="45"/>
    </row>
    <row r="1022" spans="1:56" ht="12" hidden="1" customHeight="1" outlineLevel="4" x14ac:dyDescent="0.2">
      <c r="A1022" s="60" t="s">
        <v>251</v>
      </c>
      <c r="B1022" s="45"/>
      <c r="C1022" s="45"/>
      <c r="D1022" s="46">
        <f>5000+7916.67</f>
        <v>12916.67</v>
      </c>
      <c r="E1022" s="45"/>
      <c r="F1022" s="45"/>
      <c r="G1022" s="45"/>
      <c r="P1022" s="73"/>
      <c r="X1022" s="73" t="s">
        <v>251</v>
      </c>
      <c r="AD1022" s="73"/>
      <c r="AK1022" s="73"/>
      <c r="AM1022" s="73"/>
    </row>
    <row r="1023" spans="1:56" ht="12" hidden="1" customHeight="1" outlineLevel="4" x14ac:dyDescent="0.2">
      <c r="A1023" s="60" t="s">
        <v>198</v>
      </c>
      <c r="B1023" s="45"/>
      <c r="C1023" s="45"/>
      <c r="D1023" s="46">
        <f>20000+7916.67</f>
        <v>27916.67</v>
      </c>
      <c r="E1023" s="45"/>
      <c r="F1023" s="45"/>
      <c r="G1023" s="45"/>
      <c r="P1023" s="73"/>
      <c r="X1023" s="73" t="s">
        <v>198</v>
      </c>
      <c r="AD1023" s="73"/>
      <c r="AK1023" s="73"/>
      <c r="AM1023" s="73"/>
    </row>
    <row r="1024" spans="1:56" ht="12" hidden="1" customHeight="1" outlineLevel="4" x14ac:dyDescent="0.2">
      <c r="A1024" s="60" t="s">
        <v>124</v>
      </c>
      <c r="B1024" s="45"/>
      <c r="C1024" s="45"/>
      <c r="D1024" s="46">
        <f>20000+7916.67</f>
        <v>27916.67</v>
      </c>
      <c r="E1024" s="45"/>
      <c r="F1024" s="45"/>
      <c r="G1024" s="45"/>
      <c r="P1024" s="73"/>
      <c r="X1024" s="73" t="s">
        <v>124</v>
      </c>
      <c r="AD1024" s="73"/>
      <c r="AK1024" s="73"/>
      <c r="AM1024" s="73"/>
    </row>
    <row r="1025" spans="1:39" ht="12" hidden="1" customHeight="1" outlineLevel="4" x14ac:dyDescent="0.2">
      <c r="A1025" s="60" t="s">
        <v>128</v>
      </c>
      <c r="B1025" s="45"/>
      <c r="C1025" s="45"/>
      <c r="D1025" s="46">
        <f>10000+7916.67</f>
        <v>17916.669999999998</v>
      </c>
      <c r="E1025" s="45"/>
      <c r="F1025" s="45"/>
      <c r="G1025" s="45"/>
      <c r="P1025" s="73"/>
      <c r="X1025" s="73" t="s">
        <v>128</v>
      </c>
      <c r="AD1025" s="73"/>
      <c r="AK1025" s="73"/>
      <c r="AM1025" s="73"/>
    </row>
    <row r="1026" spans="1:39" ht="12" hidden="1" customHeight="1" outlineLevel="4" x14ac:dyDescent="0.2">
      <c r="A1026" s="60" t="s">
        <v>724</v>
      </c>
      <c r="B1026" s="45"/>
      <c r="C1026" s="45"/>
      <c r="D1026" s="46">
        <v>39566.67</v>
      </c>
      <c r="E1026" s="45"/>
      <c r="F1026" s="45"/>
      <c r="G1026" s="45"/>
      <c r="P1026" s="73"/>
      <c r="X1026" s="73" t="s">
        <v>120</v>
      </c>
      <c r="AD1026" s="73"/>
      <c r="AK1026" s="73"/>
      <c r="AM1026" s="73"/>
    </row>
    <row r="1027" spans="1:39" ht="12" hidden="1" customHeight="1" outlineLevel="4" x14ac:dyDescent="0.2">
      <c r="A1027" s="60" t="s">
        <v>720</v>
      </c>
      <c r="B1027" s="45"/>
      <c r="C1027" s="45"/>
      <c r="D1027" s="46">
        <v>28808.33</v>
      </c>
      <c r="E1027" s="45"/>
      <c r="F1027" s="45"/>
      <c r="G1027" s="45"/>
      <c r="P1027" s="73"/>
      <c r="X1027" s="73" t="s">
        <v>117</v>
      </c>
      <c r="AD1027" s="73"/>
      <c r="AK1027" s="73"/>
      <c r="AM1027" s="73"/>
    </row>
    <row r="1028" spans="1:39" ht="12" hidden="1" customHeight="1" outlineLevel="4" x14ac:dyDescent="0.2">
      <c r="A1028" s="60" t="s">
        <v>486</v>
      </c>
      <c r="B1028" s="45"/>
      <c r="C1028" s="45"/>
      <c r="D1028" s="46">
        <v>105533.33</v>
      </c>
      <c r="E1028" s="45"/>
      <c r="F1028" s="45"/>
      <c r="G1028" s="45"/>
      <c r="P1028" s="73"/>
      <c r="X1028" s="73" t="s">
        <v>124</v>
      </c>
      <c r="AD1028" s="73"/>
      <c r="AK1028" s="73"/>
      <c r="AM1028" s="73"/>
    </row>
    <row r="1029" spans="1:39" ht="12" hidden="1" customHeight="1" outlineLevel="4" x14ac:dyDescent="0.2">
      <c r="A1029" s="60" t="s">
        <v>634</v>
      </c>
      <c r="B1029" s="45"/>
      <c r="C1029" s="45"/>
      <c r="D1029" s="46">
        <v>77666.67</v>
      </c>
      <c r="E1029" s="45"/>
      <c r="F1029" s="45"/>
      <c r="G1029" s="45"/>
      <c r="P1029" s="73"/>
      <c r="X1029" s="73" t="s">
        <v>198</v>
      </c>
      <c r="AD1029" s="73"/>
      <c r="AK1029" s="73"/>
      <c r="AM1029" s="73"/>
    </row>
    <row r="1030" spans="1:39" ht="23.25" hidden="1" customHeight="1" outlineLevel="4" x14ac:dyDescent="0.2">
      <c r="A1030" s="60" t="s">
        <v>707</v>
      </c>
      <c r="B1030" s="45"/>
      <c r="C1030" s="45"/>
      <c r="D1030" s="46">
        <v>14250</v>
      </c>
      <c r="E1030" s="45"/>
      <c r="F1030" s="45"/>
      <c r="G1030" s="45"/>
      <c r="P1030" s="73"/>
      <c r="X1030" s="73" t="s">
        <v>251</v>
      </c>
      <c r="AD1030" s="73"/>
      <c r="AK1030" s="73"/>
      <c r="AM1030" s="73"/>
    </row>
    <row r="1031" spans="1:39" ht="12" hidden="1" customHeight="1" outlineLevel="4" x14ac:dyDescent="0.2">
      <c r="A1031" s="60" t="s">
        <v>596</v>
      </c>
      <c r="B1031" s="45"/>
      <c r="C1031" s="45"/>
      <c r="D1031" s="46">
        <v>124050.01</v>
      </c>
      <c r="E1031" s="45"/>
      <c r="F1031" s="45"/>
      <c r="G1031" s="45"/>
      <c r="P1031" s="73"/>
      <c r="X1031" s="73" t="s">
        <v>281</v>
      </c>
      <c r="AD1031" s="73"/>
      <c r="AK1031" s="73"/>
      <c r="AM1031" s="73"/>
    </row>
    <row r="1032" spans="1:39" ht="12" hidden="1" customHeight="1" outlineLevel="3" x14ac:dyDescent="0.2">
      <c r="A1032" s="77" t="s">
        <v>382</v>
      </c>
      <c r="B1032" s="45"/>
      <c r="C1032" s="45"/>
      <c r="D1032" s="46">
        <v>59854</v>
      </c>
      <c r="E1032" s="45"/>
      <c r="F1032" s="45"/>
      <c r="G1032" s="45"/>
    </row>
    <row r="1033" spans="1:39" ht="12" hidden="1" customHeight="1" outlineLevel="4" x14ac:dyDescent="0.2">
      <c r="A1033" s="60" t="s">
        <v>669</v>
      </c>
      <c r="B1033" s="45"/>
      <c r="C1033" s="45"/>
      <c r="D1033" s="46">
        <v>7189</v>
      </c>
      <c r="E1033" s="45"/>
      <c r="F1033" s="45"/>
      <c r="G1033" s="45"/>
      <c r="P1033" s="73"/>
      <c r="AD1033" s="73" t="s">
        <v>164</v>
      </c>
      <c r="AK1033" s="73"/>
      <c r="AM1033" s="73"/>
    </row>
    <row r="1034" spans="1:39" ht="23.25" hidden="1" customHeight="1" outlineLevel="4" x14ac:dyDescent="0.2">
      <c r="A1034" s="60" t="s">
        <v>656</v>
      </c>
      <c r="B1034" s="45"/>
      <c r="C1034" s="45"/>
      <c r="D1034" s="46">
        <v>1000</v>
      </c>
      <c r="E1034" s="45"/>
      <c r="F1034" s="45"/>
      <c r="G1034" s="45"/>
      <c r="P1034" s="73"/>
      <c r="AD1034" s="73" t="s">
        <v>155</v>
      </c>
      <c r="AK1034" s="73"/>
      <c r="AM1034" s="73"/>
    </row>
    <row r="1035" spans="1:39" ht="23.25" hidden="1" customHeight="1" outlineLevel="4" x14ac:dyDescent="0.2">
      <c r="A1035" s="60" t="s">
        <v>546</v>
      </c>
      <c r="B1035" s="45"/>
      <c r="C1035" s="45"/>
      <c r="D1035" s="46">
        <v>8261</v>
      </c>
      <c r="E1035" s="45"/>
      <c r="F1035" s="45"/>
      <c r="G1035" s="45"/>
      <c r="P1035" s="73"/>
      <c r="AD1035" s="74" t="s">
        <v>101</v>
      </c>
      <c r="AK1035" s="73"/>
      <c r="AM1035" s="73"/>
    </row>
    <row r="1036" spans="1:39" ht="23.25" hidden="1" customHeight="1" outlineLevel="4" x14ac:dyDescent="0.2">
      <c r="A1036" s="60" t="s">
        <v>544</v>
      </c>
      <c r="B1036" s="45"/>
      <c r="C1036" s="45"/>
      <c r="D1036" s="46">
        <v>1000</v>
      </c>
      <c r="E1036" s="45"/>
      <c r="F1036" s="45"/>
      <c r="G1036" s="45"/>
      <c r="P1036" s="73"/>
      <c r="AD1036" s="73" t="s">
        <v>104</v>
      </c>
      <c r="AK1036" s="73"/>
      <c r="AM1036" s="73"/>
    </row>
    <row r="1037" spans="1:39" ht="12" hidden="1" customHeight="1" outlineLevel="4" x14ac:dyDescent="0.2">
      <c r="A1037" s="60" t="s">
        <v>724</v>
      </c>
      <c r="B1037" s="45"/>
      <c r="C1037" s="45"/>
      <c r="D1037" s="46">
        <v>8793</v>
      </c>
      <c r="E1037" s="45"/>
      <c r="F1037" s="45"/>
      <c r="G1037" s="45"/>
      <c r="P1037" s="73"/>
      <c r="AD1037" s="73" t="s">
        <v>120</v>
      </c>
      <c r="AK1037" s="73"/>
      <c r="AM1037" s="73"/>
    </row>
    <row r="1038" spans="1:39" ht="12" hidden="1" customHeight="1" outlineLevel="4" x14ac:dyDescent="0.2">
      <c r="A1038" s="60" t="s">
        <v>563</v>
      </c>
      <c r="B1038" s="45"/>
      <c r="C1038" s="45"/>
      <c r="D1038" s="46">
        <v>17103</v>
      </c>
      <c r="E1038" s="45"/>
      <c r="F1038" s="45"/>
      <c r="G1038" s="45"/>
      <c r="P1038" s="73"/>
      <c r="AD1038" s="73" t="s">
        <v>132</v>
      </c>
      <c r="AK1038" s="73"/>
      <c r="AM1038" s="73"/>
    </row>
    <row r="1039" spans="1:39" ht="12" hidden="1" customHeight="1" outlineLevel="4" x14ac:dyDescent="0.2">
      <c r="A1039" s="60" t="s">
        <v>634</v>
      </c>
      <c r="B1039" s="45"/>
      <c r="C1039" s="45"/>
      <c r="D1039" s="46">
        <v>1000</v>
      </c>
      <c r="E1039" s="45"/>
      <c r="F1039" s="45"/>
      <c r="G1039" s="45"/>
      <c r="P1039" s="73"/>
      <c r="AD1039" s="73" t="s">
        <v>198</v>
      </c>
      <c r="AK1039" s="73"/>
      <c r="AM1039" s="73"/>
    </row>
    <row r="1040" spans="1:39" ht="12" hidden="1" customHeight="1" outlineLevel="4" x14ac:dyDescent="0.2">
      <c r="A1040" s="60" t="s">
        <v>527</v>
      </c>
      <c r="B1040" s="45"/>
      <c r="C1040" s="45"/>
      <c r="D1040" s="46">
        <v>5742</v>
      </c>
      <c r="E1040" s="45"/>
      <c r="F1040" s="45"/>
      <c r="G1040" s="45"/>
      <c r="P1040" s="73"/>
      <c r="AD1040" s="73" t="s">
        <v>138</v>
      </c>
      <c r="AK1040" s="73"/>
      <c r="AM1040" s="73"/>
    </row>
    <row r="1041" spans="1:51" ht="12" hidden="1" customHeight="1" outlineLevel="4" x14ac:dyDescent="0.2">
      <c r="A1041" s="60" t="s">
        <v>613</v>
      </c>
      <c r="B1041" s="45"/>
      <c r="C1041" s="45"/>
      <c r="D1041" s="46">
        <v>1000</v>
      </c>
      <c r="E1041" s="45"/>
      <c r="F1041" s="45"/>
      <c r="G1041" s="45"/>
      <c r="P1041" s="73"/>
      <c r="AD1041" s="73" t="s">
        <v>263</v>
      </c>
      <c r="AK1041" s="73"/>
      <c r="AM1041" s="73"/>
    </row>
    <row r="1042" spans="1:51" ht="12" hidden="1" customHeight="1" outlineLevel="4" x14ac:dyDescent="0.2">
      <c r="A1042" s="60" t="s">
        <v>512</v>
      </c>
      <c r="B1042" s="45"/>
      <c r="C1042" s="45"/>
      <c r="D1042" s="46">
        <v>8766</v>
      </c>
      <c r="E1042" s="45"/>
      <c r="F1042" s="45"/>
      <c r="G1042" s="45"/>
      <c r="P1042" s="73"/>
      <c r="AD1042" s="73" t="s">
        <v>303</v>
      </c>
      <c r="AK1042" s="73"/>
      <c r="AM1042" s="73"/>
    </row>
    <row r="1043" spans="1:51" ht="12" hidden="1" customHeight="1" outlineLevel="3" collapsed="1" x14ac:dyDescent="0.2">
      <c r="A1043" s="80" t="s">
        <v>754</v>
      </c>
      <c r="B1043" s="45"/>
      <c r="C1043" s="45"/>
      <c r="D1043" s="71">
        <v>215378.34</v>
      </c>
      <c r="E1043" s="45"/>
      <c r="F1043" s="45"/>
      <c r="G1043" s="45"/>
    </row>
    <row r="1044" spans="1:51" ht="12" hidden="1" customHeight="1" outlineLevel="4" x14ac:dyDescent="0.2">
      <c r="A1044" s="60" t="s">
        <v>495</v>
      </c>
      <c r="B1044" s="45"/>
      <c r="C1044" s="45"/>
      <c r="D1044" s="46">
        <v>215378.34</v>
      </c>
      <c r="E1044" s="45"/>
      <c r="F1044" s="45"/>
      <c r="G1044" s="45"/>
    </row>
    <row r="1045" spans="1:51" ht="12" hidden="1" customHeight="1" outlineLevel="3" x14ac:dyDescent="0.2">
      <c r="A1045" s="77" t="s">
        <v>753</v>
      </c>
      <c r="B1045" s="45"/>
      <c r="C1045" s="45"/>
      <c r="D1045" s="46">
        <v>46457.88</v>
      </c>
      <c r="E1045" s="45"/>
      <c r="F1045" s="45"/>
      <c r="G1045" s="45"/>
    </row>
    <row r="1046" spans="1:51" ht="12" hidden="1" customHeight="1" outlineLevel="4" x14ac:dyDescent="0.2">
      <c r="A1046" s="60" t="s">
        <v>671</v>
      </c>
      <c r="B1046" s="45"/>
      <c r="C1046" s="45"/>
      <c r="D1046" s="46">
        <v>11649.06</v>
      </c>
      <c r="E1046" s="45"/>
      <c r="F1046" s="45"/>
      <c r="G1046" s="45"/>
      <c r="P1046" s="73"/>
      <c r="AK1046" s="73" t="s">
        <v>173</v>
      </c>
      <c r="AM1046" s="73"/>
    </row>
    <row r="1047" spans="1:51" ht="12" hidden="1" customHeight="1" outlineLevel="4" x14ac:dyDescent="0.2">
      <c r="A1047" s="60" t="s">
        <v>668</v>
      </c>
      <c r="B1047" s="45"/>
      <c r="C1047" s="45"/>
      <c r="D1047" s="46">
        <v>13978.87</v>
      </c>
      <c r="E1047" s="45"/>
      <c r="F1047" s="45"/>
      <c r="G1047" s="45"/>
      <c r="P1047" s="73"/>
      <c r="AK1047" s="73" t="s">
        <v>174</v>
      </c>
      <c r="AM1047" s="73"/>
    </row>
    <row r="1048" spans="1:51" ht="12" hidden="1" customHeight="1" outlineLevel="4" x14ac:dyDescent="0.2">
      <c r="A1048" s="60" t="s">
        <v>569</v>
      </c>
      <c r="B1048" s="45"/>
      <c r="C1048" s="45"/>
      <c r="D1048" s="46">
        <v>20829.95</v>
      </c>
      <c r="E1048" s="45"/>
      <c r="F1048" s="45"/>
      <c r="G1048" s="45"/>
      <c r="P1048" s="73"/>
      <c r="AK1048" s="73" t="s">
        <v>319</v>
      </c>
      <c r="AM1048" s="73"/>
    </row>
    <row r="1049" spans="1:51" ht="12" hidden="1" customHeight="1" outlineLevel="3" x14ac:dyDescent="0.2">
      <c r="A1049" s="77" t="s">
        <v>343</v>
      </c>
      <c r="B1049" s="45"/>
      <c r="C1049" s="45"/>
      <c r="D1049" s="46">
        <v>50143.12</v>
      </c>
      <c r="E1049" s="45"/>
      <c r="F1049" s="45"/>
      <c r="G1049" s="45"/>
    </row>
    <row r="1050" spans="1:51" ht="12" hidden="1" customHeight="1" outlineLevel="4" x14ac:dyDescent="0.2">
      <c r="A1050" s="60" t="s">
        <v>643</v>
      </c>
      <c r="B1050" s="45"/>
      <c r="C1050" s="45"/>
      <c r="D1050" s="46">
        <v>50143.12</v>
      </c>
      <c r="E1050" s="45"/>
      <c r="F1050" s="45"/>
      <c r="G1050" s="45"/>
      <c r="P1050" s="73" t="s">
        <v>187</v>
      </c>
      <c r="AM1050" s="73"/>
    </row>
    <row r="1051" spans="1:51" ht="12" hidden="1" customHeight="1" outlineLevel="3" x14ac:dyDescent="0.2">
      <c r="A1051" s="77" t="s">
        <v>459</v>
      </c>
      <c r="B1051" s="45"/>
      <c r="C1051" s="45"/>
      <c r="D1051" s="46">
        <v>892500</v>
      </c>
      <c r="E1051" s="45"/>
      <c r="F1051" s="45"/>
      <c r="G1051" s="45"/>
      <c r="AY1051" s="41" t="s">
        <v>363</v>
      </c>
    </row>
    <row r="1052" spans="1:51" ht="12" hidden="1" customHeight="1" outlineLevel="4" x14ac:dyDescent="0.2">
      <c r="A1052" s="60" t="s">
        <v>495</v>
      </c>
      <c r="B1052" s="45"/>
      <c r="C1052" s="45"/>
      <c r="D1052" s="46">
        <v>892500</v>
      </c>
      <c r="E1052" s="45"/>
      <c r="F1052" s="45"/>
      <c r="G1052" s="45"/>
    </row>
    <row r="1053" spans="1:51" ht="12" hidden="1" customHeight="1" outlineLevel="2" collapsed="1" x14ac:dyDescent="0.2">
      <c r="A1053" s="63" t="s">
        <v>476</v>
      </c>
      <c r="B1053" s="62"/>
      <c r="C1053" s="62"/>
      <c r="D1053" s="71">
        <v>34070996.280000001</v>
      </c>
      <c r="E1053" s="64">
        <v>34070996.280000001</v>
      </c>
      <c r="F1053" s="62"/>
      <c r="G1053" s="62"/>
    </row>
    <row r="1054" spans="1:51" ht="12" hidden="1" customHeight="1" outlineLevel="3" x14ac:dyDescent="0.2">
      <c r="A1054" s="61" t="s">
        <v>472</v>
      </c>
      <c r="B1054" s="45"/>
      <c r="C1054" s="45"/>
      <c r="D1054" s="45"/>
      <c r="E1054" s="46">
        <v>34070996.280000001</v>
      </c>
      <c r="F1054" s="45"/>
      <c r="G1054" s="45"/>
    </row>
    <row r="1055" spans="1:51" ht="12" hidden="1" customHeight="1" outlineLevel="4" x14ac:dyDescent="0.2">
      <c r="A1055" s="60" t="s">
        <v>472</v>
      </c>
      <c r="B1055" s="45"/>
      <c r="C1055" s="45"/>
      <c r="D1055" s="45"/>
      <c r="E1055" s="46">
        <v>34070996.280000001</v>
      </c>
      <c r="F1055" s="45"/>
      <c r="G1055" s="45"/>
    </row>
    <row r="1056" spans="1:51" ht="12" hidden="1" customHeight="1" outlineLevel="3" x14ac:dyDescent="0.2">
      <c r="A1056" s="61" t="s">
        <v>752</v>
      </c>
      <c r="B1056" s="45"/>
      <c r="C1056" s="45"/>
      <c r="D1056" s="46">
        <v>34070996.280000001</v>
      </c>
      <c r="E1056" s="45"/>
      <c r="F1056" s="45"/>
      <c r="G1056" s="45"/>
    </row>
    <row r="1057" spans="1:7" ht="12" hidden="1" customHeight="1" outlineLevel="4" x14ac:dyDescent="0.2">
      <c r="A1057" s="60" t="s">
        <v>495</v>
      </c>
      <c r="B1057" s="45"/>
      <c r="C1057" s="45"/>
      <c r="D1057" s="46">
        <v>34070996.280000001</v>
      </c>
      <c r="E1057" s="45"/>
      <c r="F1057" s="45"/>
      <c r="G1057" s="45"/>
    </row>
    <row r="1058" spans="1:7" ht="12" hidden="1" customHeight="1" outlineLevel="2" collapsed="1" x14ac:dyDescent="0.2">
      <c r="A1058" s="63" t="s">
        <v>475</v>
      </c>
      <c r="B1058" s="62"/>
      <c r="C1058" s="62"/>
      <c r="D1058" s="71">
        <v>23197964.699999999</v>
      </c>
      <c r="E1058" s="64">
        <v>23197964.699999999</v>
      </c>
      <c r="F1058" s="62"/>
      <c r="G1058" s="62"/>
    </row>
    <row r="1059" spans="1:7" ht="12" hidden="1" customHeight="1" outlineLevel="3" x14ac:dyDescent="0.2">
      <c r="A1059" s="61" t="s">
        <v>472</v>
      </c>
      <c r="B1059" s="45"/>
      <c r="C1059" s="45"/>
      <c r="D1059" s="45"/>
      <c r="E1059" s="46">
        <v>23197964.699999999</v>
      </c>
      <c r="F1059" s="45"/>
      <c r="G1059" s="45"/>
    </row>
    <row r="1060" spans="1:7" ht="12" hidden="1" customHeight="1" outlineLevel="4" x14ac:dyDescent="0.2">
      <c r="A1060" s="60" t="s">
        <v>472</v>
      </c>
      <c r="B1060" s="45"/>
      <c r="C1060" s="45"/>
      <c r="D1060" s="45"/>
      <c r="E1060" s="46">
        <v>23197964.699999999</v>
      </c>
      <c r="F1060" s="45"/>
      <c r="G1060" s="45"/>
    </row>
    <row r="1061" spans="1:7" ht="12" hidden="1" customHeight="1" outlineLevel="3" x14ac:dyDescent="0.2">
      <c r="A1061" s="61" t="s">
        <v>751</v>
      </c>
      <c r="B1061" s="45"/>
      <c r="C1061" s="45"/>
      <c r="D1061" s="46">
        <v>23197964.699999999</v>
      </c>
      <c r="E1061" s="45"/>
      <c r="F1061" s="45"/>
      <c r="G1061" s="45"/>
    </row>
    <row r="1062" spans="1:7" ht="12" hidden="1" customHeight="1" outlineLevel="4" x14ac:dyDescent="0.2">
      <c r="A1062" s="60" t="s">
        <v>495</v>
      </c>
      <c r="B1062" s="45"/>
      <c r="C1062" s="45"/>
      <c r="D1062" s="46">
        <v>23197964.699999999</v>
      </c>
      <c r="E1062" s="45"/>
      <c r="F1062" s="45"/>
      <c r="G1062" s="45"/>
    </row>
    <row r="1063" spans="1:7" ht="12" customHeight="1" outlineLevel="1" collapsed="1" x14ac:dyDescent="0.2">
      <c r="A1063" s="50" t="s">
        <v>416</v>
      </c>
      <c r="B1063" s="48"/>
      <c r="C1063" s="48"/>
      <c r="D1063" s="68">
        <v>8714624.8499999996</v>
      </c>
      <c r="E1063" s="49">
        <v>8714624.8499999996</v>
      </c>
      <c r="F1063" s="48"/>
      <c r="G1063" s="48"/>
    </row>
    <row r="1064" spans="1:7" ht="12" hidden="1" customHeight="1" outlineLevel="2" collapsed="1" x14ac:dyDescent="0.2">
      <c r="A1064" s="63" t="s">
        <v>480</v>
      </c>
      <c r="B1064" s="62"/>
      <c r="C1064" s="62"/>
      <c r="D1064" s="62"/>
      <c r="E1064" s="62"/>
      <c r="F1064" s="62"/>
      <c r="G1064" s="62"/>
    </row>
    <row r="1065" spans="1:7" ht="12" hidden="1" customHeight="1" outlineLevel="3" x14ac:dyDescent="0.2">
      <c r="A1065" s="61" t="s">
        <v>472</v>
      </c>
      <c r="B1065" s="45"/>
      <c r="C1065" s="45"/>
      <c r="D1065" s="45"/>
      <c r="E1065" s="66">
        <v>7.92</v>
      </c>
      <c r="F1065" s="45"/>
      <c r="G1065" s="45"/>
    </row>
    <row r="1066" spans="1:7" ht="12" hidden="1" customHeight="1" outlineLevel="4" x14ac:dyDescent="0.2">
      <c r="A1066" s="60" t="s">
        <v>472</v>
      </c>
      <c r="B1066" s="45"/>
      <c r="C1066" s="45"/>
      <c r="D1066" s="45"/>
      <c r="E1066" s="66">
        <v>7.92</v>
      </c>
      <c r="F1066" s="45"/>
      <c r="G1066" s="45"/>
    </row>
    <row r="1067" spans="1:7" ht="12" hidden="1" customHeight="1" outlineLevel="3" x14ac:dyDescent="0.2">
      <c r="A1067" s="61" t="s">
        <v>472</v>
      </c>
      <c r="B1067" s="45"/>
      <c r="C1067" s="45"/>
      <c r="D1067" s="45"/>
      <c r="E1067" s="65">
        <v>-7.92</v>
      </c>
      <c r="F1067" s="45"/>
      <c r="G1067" s="45"/>
    </row>
    <row r="1068" spans="1:7" ht="12" hidden="1" customHeight="1" outlineLevel="4" x14ac:dyDescent="0.2">
      <c r="A1068" s="60" t="s">
        <v>472</v>
      </c>
      <c r="B1068" s="45"/>
      <c r="C1068" s="45"/>
      <c r="D1068" s="45"/>
      <c r="E1068" s="65">
        <v>-7.92</v>
      </c>
      <c r="F1068" s="45"/>
      <c r="G1068" s="45"/>
    </row>
    <row r="1069" spans="1:7" ht="12" hidden="1" customHeight="1" outlineLevel="2" collapsed="1" x14ac:dyDescent="0.2">
      <c r="A1069" s="63" t="s">
        <v>30</v>
      </c>
      <c r="B1069" s="62"/>
      <c r="C1069" s="62"/>
      <c r="D1069" s="62"/>
      <c r="E1069" s="62"/>
      <c r="F1069" s="62"/>
      <c r="G1069" s="62"/>
    </row>
    <row r="1070" spans="1:7" ht="12" hidden="1" customHeight="1" outlineLevel="3" x14ac:dyDescent="0.2">
      <c r="A1070" s="61" t="s">
        <v>472</v>
      </c>
      <c r="B1070" s="45"/>
      <c r="C1070" s="45"/>
      <c r="D1070" s="45"/>
      <c r="E1070" s="46">
        <v>577625.38</v>
      </c>
      <c r="F1070" s="45"/>
      <c r="G1070" s="45"/>
    </row>
    <row r="1071" spans="1:7" ht="12" hidden="1" customHeight="1" outlineLevel="4" x14ac:dyDescent="0.2">
      <c r="A1071" s="60" t="s">
        <v>472</v>
      </c>
      <c r="B1071" s="45"/>
      <c r="C1071" s="45"/>
      <c r="D1071" s="45"/>
      <c r="E1071" s="46">
        <v>577625.38</v>
      </c>
      <c r="F1071" s="45"/>
      <c r="G1071" s="45"/>
    </row>
    <row r="1072" spans="1:7" ht="12" hidden="1" customHeight="1" outlineLevel="3" x14ac:dyDescent="0.2">
      <c r="A1072" s="61" t="s">
        <v>472</v>
      </c>
      <c r="B1072" s="45"/>
      <c r="C1072" s="45"/>
      <c r="D1072" s="45"/>
      <c r="E1072" s="59">
        <v>-577625.38</v>
      </c>
      <c r="F1072" s="45"/>
      <c r="G1072" s="45"/>
    </row>
    <row r="1073" spans="1:7" ht="12" hidden="1" customHeight="1" outlineLevel="4" x14ac:dyDescent="0.2">
      <c r="A1073" s="60" t="s">
        <v>472</v>
      </c>
      <c r="B1073" s="45"/>
      <c r="C1073" s="45"/>
      <c r="D1073" s="45"/>
      <c r="E1073" s="59">
        <v>-577625.38</v>
      </c>
      <c r="F1073" s="45"/>
      <c r="G1073" s="45"/>
    </row>
    <row r="1074" spans="1:7" ht="12" hidden="1" customHeight="1" outlineLevel="2" collapsed="1" x14ac:dyDescent="0.2">
      <c r="A1074" s="63" t="s">
        <v>479</v>
      </c>
      <c r="B1074" s="62"/>
      <c r="C1074" s="62"/>
      <c r="D1074" s="62"/>
      <c r="E1074" s="62"/>
      <c r="F1074" s="62"/>
      <c r="G1074" s="62"/>
    </row>
    <row r="1075" spans="1:7" ht="12" hidden="1" customHeight="1" outlineLevel="3" x14ac:dyDescent="0.2">
      <c r="A1075" s="61" t="s">
        <v>472</v>
      </c>
      <c r="B1075" s="45"/>
      <c r="C1075" s="45"/>
      <c r="D1075" s="45"/>
      <c r="E1075" s="46">
        <v>1171750.99</v>
      </c>
      <c r="F1075" s="45"/>
      <c r="G1075" s="45"/>
    </row>
    <row r="1076" spans="1:7" ht="12" hidden="1" customHeight="1" outlineLevel="4" x14ac:dyDescent="0.2">
      <c r="A1076" s="60" t="s">
        <v>472</v>
      </c>
      <c r="B1076" s="45"/>
      <c r="C1076" s="45"/>
      <c r="D1076" s="45"/>
      <c r="E1076" s="46">
        <v>1171750.99</v>
      </c>
      <c r="F1076" s="45"/>
      <c r="G1076" s="45"/>
    </row>
    <row r="1077" spans="1:7" ht="12" hidden="1" customHeight="1" outlineLevel="3" x14ac:dyDescent="0.2">
      <c r="A1077" s="61" t="s">
        <v>472</v>
      </c>
      <c r="B1077" s="45"/>
      <c r="C1077" s="45"/>
      <c r="D1077" s="45"/>
      <c r="E1077" s="59">
        <v>-1171750.99</v>
      </c>
      <c r="F1077" s="45"/>
      <c r="G1077" s="45"/>
    </row>
    <row r="1078" spans="1:7" ht="12" hidden="1" customHeight="1" outlineLevel="4" x14ac:dyDescent="0.2">
      <c r="A1078" s="60" t="s">
        <v>472</v>
      </c>
      <c r="B1078" s="45"/>
      <c r="C1078" s="45"/>
      <c r="D1078" s="45"/>
      <c r="E1078" s="59">
        <v>-1171750.99</v>
      </c>
      <c r="F1078" s="45"/>
      <c r="G1078" s="45"/>
    </row>
    <row r="1079" spans="1:7" ht="12" hidden="1" customHeight="1" outlineLevel="2" collapsed="1" x14ac:dyDescent="0.2">
      <c r="A1079" s="63" t="s">
        <v>478</v>
      </c>
      <c r="B1079" s="62"/>
      <c r="C1079" s="62"/>
      <c r="D1079" s="62"/>
      <c r="E1079" s="62"/>
      <c r="F1079" s="62"/>
      <c r="G1079" s="62"/>
    </row>
    <row r="1080" spans="1:7" ht="12" hidden="1" customHeight="1" outlineLevel="3" x14ac:dyDescent="0.2">
      <c r="A1080" s="61" t="s">
        <v>472</v>
      </c>
      <c r="B1080" s="45"/>
      <c r="C1080" s="45"/>
      <c r="D1080" s="45"/>
      <c r="E1080" s="66">
        <v>185.15</v>
      </c>
      <c r="F1080" s="45"/>
      <c r="G1080" s="45"/>
    </row>
    <row r="1081" spans="1:7" ht="12" hidden="1" customHeight="1" outlineLevel="4" x14ac:dyDescent="0.2">
      <c r="A1081" s="60" t="s">
        <v>472</v>
      </c>
      <c r="B1081" s="45"/>
      <c r="C1081" s="45"/>
      <c r="D1081" s="45"/>
      <c r="E1081" s="66">
        <v>185.15</v>
      </c>
      <c r="F1081" s="45"/>
      <c r="G1081" s="45"/>
    </row>
    <row r="1082" spans="1:7" ht="12" hidden="1" customHeight="1" outlineLevel="3" x14ac:dyDescent="0.2">
      <c r="A1082" s="61" t="s">
        <v>472</v>
      </c>
      <c r="B1082" s="45"/>
      <c r="C1082" s="45"/>
      <c r="D1082" s="45"/>
      <c r="E1082" s="65">
        <v>-185.15</v>
      </c>
      <c r="F1082" s="45"/>
      <c r="G1082" s="45"/>
    </row>
    <row r="1083" spans="1:7" ht="12" hidden="1" customHeight="1" outlineLevel="4" x14ac:dyDescent="0.2">
      <c r="A1083" s="60" t="s">
        <v>472</v>
      </c>
      <c r="B1083" s="45"/>
      <c r="C1083" s="45"/>
      <c r="D1083" s="45"/>
      <c r="E1083" s="65">
        <v>-185.15</v>
      </c>
      <c r="F1083" s="45"/>
      <c r="G1083" s="45"/>
    </row>
    <row r="1084" spans="1:7" ht="12" hidden="1" customHeight="1" outlineLevel="2" collapsed="1" x14ac:dyDescent="0.2">
      <c r="A1084" s="63" t="s">
        <v>32</v>
      </c>
      <c r="B1084" s="62"/>
      <c r="C1084" s="62"/>
      <c r="D1084" s="62"/>
      <c r="E1084" s="62"/>
      <c r="F1084" s="62"/>
      <c r="G1084" s="62"/>
    </row>
    <row r="1085" spans="1:7" ht="12" hidden="1" customHeight="1" outlineLevel="3" x14ac:dyDescent="0.2">
      <c r="A1085" s="61" t="s">
        <v>472</v>
      </c>
      <c r="B1085" s="45"/>
      <c r="C1085" s="45"/>
      <c r="D1085" s="45"/>
      <c r="E1085" s="46">
        <v>2315553.37</v>
      </c>
      <c r="F1085" s="45"/>
      <c r="G1085" s="45"/>
    </row>
    <row r="1086" spans="1:7" ht="12" hidden="1" customHeight="1" outlineLevel="4" x14ac:dyDescent="0.2">
      <c r="A1086" s="60" t="s">
        <v>472</v>
      </c>
      <c r="B1086" s="45"/>
      <c r="C1086" s="45"/>
      <c r="D1086" s="45"/>
      <c r="E1086" s="46">
        <v>2315553.37</v>
      </c>
      <c r="F1086" s="45"/>
      <c r="G1086" s="45"/>
    </row>
    <row r="1087" spans="1:7" ht="12" hidden="1" customHeight="1" outlineLevel="3" x14ac:dyDescent="0.2">
      <c r="A1087" s="61" t="s">
        <v>472</v>
      </c>
      <c r="B1087" s="45"/>
      <c r="C1087" s="45"/>
      <c r="D1087" s="45"/>
      <c r="E1087" s="59">
        <v>-2315553.37</v>
      </c>
      <c r="F1087" s="45"/>
      <c r="G1087" s="45"/>
    </row>
    <row r="1088" spans="1:7" ht="12" hidden="1" customHeight="1" outlineLevel="4" x14ac:dyDescent="0.2">
      <c r="A1088" s="60" t="s">
        <v>472</v>
      </c>
      <c r="B1088" s="45"/>
      <c r="C1088" s="45"/>
      <c r="D1088" s="45"/>
      <c r="E1088" s="59">
        <v>-2315553.37</v>
      </c>
      <c r="F1088" s="45"/>
      <c r="G1088" s="45"/>
    </row>
    <row r="1089" spans="1:7" ht="12" hidden="1" customHeight="1" outlineLevel="2" collapsed="1" x14ac:dyDescent="0.2">
      <c r="A1089" s="63" t="s">
        <v>477</v>
      </c>
      <c r="B1089" s="62"/>
      <c r="C1089" s="62"/>
      <c r="D1089" s="64">
        <v>8714624.8499999996</v>
      </c>
      <c r="E1089" s="64">
        <v>8714624.8499999996</v>
      </c>
      <c r="F1089" s="62"/>
      <c r="G1089" s="62"/>
    </row>
    <row r="1090" spans="1:7" ht="12" hidden="1" customHeight="1" outlineLevel="3" x14ac:dyDescent="0.2">
      <c r="A1090" s="61" t="s">
        <v>472</v>
      </c>
      <c r="B1090" s="45"/>
      <c r="C1090" s="45"/>
      <c r="D1090" s="45"/>
      <c r="E1090" s="46">
        <v>12783466.890000001</v>
      </c>
      <c r="F1090" s="45"/>
      <c r="G1090" s="45"/>
    </row>
    <row r="1091" spans="1:7" ht="12" hidden="1" customHeight="1" outlineLevel="4" x14ac:dyDescent="0.2">
      <c r="A1091" s="60" t="s">
        <v>472</v>
      </c>
      <c r="B1091" s="45"/>
      <c r="C1091" s="45"/>
      <c r="D1091" s="45"/>
      <c r="E1091" s="46">
        <v>12783466.890000001</v>
      </c>
      <c r="F1091" s="45"/>
      <c r="G1091" s="45"/>
    </row>
    <row r="1092" spans="1:7" ht="12" hidden="1" customHeight="1" outlineLevel="3" x14ac:dyDescent="0.2">
      <c r="A1092" s="61" t="s">
        <v>472</v>
      </c>
      <c r="B1092" s="45"/>
      <c r="C1092" s="45"/>
      <c r="D1092" s="45"/>
      <c r="E1092" s="59">
        <v>-4068842.04</v>
      </c>
      <c r="F1092" s="45"/>
      <c r="G1092" s="45"/>
    </row>
    <row r="1093" spans="1:7" ht="12" hidden="1" customHeight="1" outlineLevel="4" x14ac:dyDescent="0.2">
      <c r="A1093" s="60" t="s">
        <v>472</v>
      </c>
      <c r="B1093" s="45"/>
      <c r="C1093" s="45"/>
      <c r="D1093" s="45"/>
      <c r="E1093" s="59">
        <v>-4068842.04</v>
      </c>
      <c r="F1093" s="45"/>
      <c r="G1093" s="45"/>
    </row>
    <row r="1094" spans="1:7" ht="23.25" hidden="1" customHeight="1" outlineLevel="3" x14ac:dyDescent="0.2">
      <c r="A1094" s="61" t="s">
        <v>393</v>
      </c>
      <c r="B1094" s="45"/>
      <c r="C1094" s="45"/>
      <c r="D1094" s="46">
        <v>6732250.1500000004</v>
      </c>
      <c r="E1094" s="45"/>
      <c r="F1094" s="45"/>
      <c r="G1094" s="45"/>
    </row>
    <row r="1095" spans="1:7" ht="12" hidden="1" customHeight="1" outlineLevel="4" x14ac:dyDescent="0.2">
      <c r="A1095" s="60" t="s">
        <v>472</v>
      </c>
      <c r="B1095" s="45"/>
      <c r="C1095" s="45"/>
      <c r="D1095" s="46">
        <v>6732250.1500000004</v>
      </c>
      <c r="E1095" s="45"/>
      <c r="F1095" s="45"/>
      <c r="G1095" s="45"/>
    </row>
    <row r="1096" spans="1:7" ht="12" hidden="1" customHeight="1" outlineLevel="3" x14ac:dyDescent="0.2">
      <c r="A1096" s="61" t="s">
        <v>392</v>
      </c>
      <c r="B1096" s="45"/>
      <c r="C1096" s="45"/>
      <c r="D1096" s="46">
        <v>1982374.7</v>
      </c>
      <c r="E1096" s="45"/>
      <c r="F1096" s="45"/>
      <c r="G1096" s="45"/>
    </row>
    <row r="1097" spans="1:7" ht="12" hidden="1" customHeight="1" outlineLevel="4" x14ac:dyDescent="0.2">
      <c r="A1097" s="60" t="s">
        <v>472</v>
      </c>
      <c r="B1097" s="45"/>
      <c r="C1097" s="45"/>
      <c r="D1097" s="46">
        <v>1982374.7</v>
      </c>
      <c r="E1097" s="45"/>
      <c r="F1097" s="45"/>
      <c r="G1097" s="45"/>
    </row>
    <row r="1098" spans="1:7" ht="12" hidden="1" customHeight="1" outlineLevel="2" collapsed="1" x14ac:dyDescent="0.2">
      <c r="A1098" s="63" t="s">
        <v>476</v>
      </c>
      <c r="B1098" s="62"/>
      <c r="C1098" s="62"/>
      <c r="D1098" s="62"/>
      <c r="E1098" s="62"/>
      <c r="F1098" s="62"/>
      <c r="G1098" s="62"/>
    </row>
    <row r="1099" spans="1:7" ht="12" hidden="1" customHeight="1" outlineLevel="3" x14ac:dyDescent="0.2">
      <c r="A1099" s="61" t="s">
        <v>472</v>
      </c>
      <c r="B1099" s="45"/>
      <c r="C1099" s="45"/>
      <c r="D1099" s="45"/>
      <c r="E1099" s="46">
        <v>325894.84000000003</v>
      </c>
      <c r="F1099" s="45"/>
      <c r="G1099" s="45"/>
    </row>
    <row r="1100" spans="1:7" ht="12" hidden="1" customHeight="1" outlineLevel="4" x14ac:dyDescent="0.2">
      <c r="A1100" s="60" t="s">
        <v>472</v>
      </c>
      <c r="B1100" s="45"/>
      <c r="C1100" s="45"/>
      <c r="D1100" s="45"/>
      <c r="E1100" s="46">
        <v>325894.84000000003</v>
      </c>
      <c r="F1100" s="45"/>
      <c r="G1100" s="45"/>
    </row>
    <row r="1101" spans="1:7" ht="12" hidden="1" customHeight="1" outlineLevel="3" x14ac:dyDescent="0.2">
      <c r="A1101" s="61" t="s">
        <v>472</v>
      </c>
      <c r="B1101" s="45"/>
      <c r="C1101" s="45"/>
      <c r="D1101" s="45"/>
      <c r="E1101" s="59">
        <v>-325894.84000000003</v>
      </c>
      <c r="F1101" s="45"/>
      <c r="G1101" s="45"/>
    </row>
    <row r="1102" spans="1:7" ht="12" hidden="1" customHeight="1" outlineLevel="4" x14ac:dyDescent="0.2">
      <c r="A1102" s="60" t="s">
        <v>472</v>
      </c>
      <c r="B1102" s="45"/>
      <c r="C1102" s="45"/>
      <c r="D1102" s="45"/>
      <c r="E1102" s="59">
        <v>-325894.84000000003</v>
      </c>
      <c r="F1102" s="45"/>
      <c r="G1102" s="45"/>
    </row>
    <row r="1103" spans="1:7" ht="12" hidden="1" customHeight="1" outlineLevel="2" collapsed="1" x14ac:dyDescent="0.2">
      <c r="A1103" s="63" t="s">
        <v>475</v>
      </c>
      <c r="B1103" s="62"/>
      <c r="C1103" s="62"/>
      <c r="D1103" s="62"/>
      <c r="E1103" s="62"/>
      <c r="F1103" s="62"/>
      <c r="G1103" s="62"/>
    </row>
    <row r="1104" spans="1:7" ht="12" hidden="1" customHeight="1" outlineLevel="3" x14ac:dyDescent="0.2">
      <c r="A1104" s="61" t="s">
        <v>472</v>
      </c>
      <c r="B1104" s="45"/>
      <c r="C1104" s="45"/>
      <c r="D1104" s="45"/>
      <c r="E1104" s="46">
        <v>254765.16</v>
      </c>
      <c r="F1104" s="45"/>
      <c r="G1104" s="45"/>
    </row>
    <row r="1105" spans="1:42" ht="12" hidden="1" customHeight="1" outlineLevel="4" x14ac:dyDescent="0.2">
      <c r="A1105" s="60" t="s">
        <v>472</v>
      </c>
      <c r="B1105" s="45"/>
      <c r="C1105" s="45"/>
      <c r="D1105" s="45"/>
      <c r="E1105" s="46">
        <v>254765.16</v>
      </c>
      <c r="F1105" s="45"/>
      <c r="G1105" s="45"/>
    </row>
    <row r="1106" spans="1:42" ht="12" hidden="1" customHeight="1" outlineLevel="3" x14ac:dyDescent="0.2">
      <c r="A1106" s="61" t="s">
        <v>472</v>
      </c>
      <c r="B1106" s="45"/>
      <c r="C1106" s="45"/>
      <c r="D1106" s="45"/>
      <c r="E1106" s="59">
        <v>-254765.16</v>
      </c>
      <c r="F1106" s="45"/>
      <c r="G1106" s="45"/>
    </row>
    <row r="1107" spans="1:42" ht="12" hidden="1" customHeight="1" outlineLevel="4" x14ac:dyDescent="0.2">
      <c r="A1107" s="60" t="s">
        <v>472</v>
      </c>
      <c r="B1107" s="45"/>
      <c r="C1107" s="45"/>
      <c r="D1107" s="45"/>
      <c r="E1107" s="59">
        <v>-254765.16</v>
      </c>
      <c r="F1107" s="45"/>
      <c r="G1107" s="45"/>
    </row>
    <row r="1108" spans="1:42" ht="12" customHeight="1" outlineLevel="1" collapsed="1" x14ac:dyDescent="0.2">
      <c r="A1108" s="79" t="s">
        <v>750</v>
      </c>
      <c r="B1108" s="48"/>
      <c r="C1108" s="48"/>
      <c r="D1108" s="49">
        <v>17243496.140000001</v>
      </c>
      <c r="E1108" s="49">
        <v>17243496.140000001</v>
      </c>
      <c r="F1108" s="48"/>
      <c r="G1108" s="48"/>
      <c r="AP1108" s="41" t="s">
        <v>143</v>
      </c>
    </row>
    <row r="1109" spans="1:42" ht="12" hidden="1" customHeight="1" outlineLevel="2" collapsed="1" x14ac:dyDescent="0.2">
      <c r="A1109" s="63" t="s">
        <v>477</v>
      </c>
      <c r="B1109" s="62"/>
      <c r="C1109" s="62"/>
      <c r="D1109" s="64">
        <v>17243496.140000001</v>
      </c>
      <c r="E1109" s="64">
        <v>17243496.140000001</v>
      </c>
      <c r="F1109" s="62"/>
      <c r="G1109" s="62"/>
    </row>
    <row r="1110" spans="1:42" ht="12" hidden="1" customHeight="1" outlineLevel="3" x14ac:dyDescent="0.2">
      <c r="A1110" s="61" t="s">
        <v>472</v>
      </c>
      <c r="B1110" s="45"/>
      <c r="C1110" s="45"/>
      <c r="D1110" s="45"/>
      <c r="E1110" s="46">
        <v>17243496.140000001</v>
      </c>
      <c r="F1110" s="45"/>
      <c r="G1110" s="45"/>
    </row>
    <row r="1111" spans="1:42" ht="12" hidden="1" customHeight="1" outlineLevel="4" x14ac:dyDescent="0.2">
      <c r="A1111" s="60" t="s">
        <v>472</v>
      </c>
      <c r="B1111" s="45"/>
      <c r="C1111" s="45"/>
      <c r="D1111" s="45"/>
      <c r="E1111" s="46">
        <v>17243496.140000001</v>
      </c>
      <c r="F1111" s="45"/>
      <c r="G1111" s="45"/>
    </row>
    <row r="1112" spans="1:42" ht="12" hidden="1" customHeight="1" outlineLevel="3" x14ac:dyDescent="0.2">
      <c r="A1112" s="61" t="s">
        <v>549</v>
      </c>
      <c r="B1112" s="45"/>
      <c r="C1112" s="45"/>
      <c r="D1112" s="46">
        <v>13321337.41</v>
      </c>
      <c r="E1112" s="45"/>
      <c r="F1112" s="45"/>
      <c r="G1112" s="45"/>
    </row>
    <row r="1113" spans="1:42" ht="12" hidden="1" customHeight="1" outlineLevel="4" x14ac:dyDescent="0.2">
      <c r="A1113" s="60" t="s">
        <v>472</v>
      </c>
      <c r="B1113" s="45"/>
      <c r="C1113" s="45"/>
      <c r="D1113" s="46">
        <v>13321337.41</v>
      </c>
      <c r="E1113" s="45"/>
      <c r="F1113" s="45"/>
      <c r="G1113" s="45"/>
    </row>
    <row r="1114" spans="1:42" ht="12" hidden="1" customHeight="1" outlineLevel="3" x14ac:dyDescent="0.2">
      <c r="A1114" s="61" t="s">
        <v>392</v>
      </c>
      <c r="B1114" s="45"/>
      <c r="C1114" s="45"/>
      <c r="D1114" s="46">
        <v>3922158.73</v>
      </c>
      <c r="E1114" s="45"/>
      <c r="F1114" s="45"/>
      <c r="G1114" s="45"/>
    </row>
    <row r="1115" spans="1:42" ht="12" hidden="1" customHeight="1" outlineLevel="4" x14ac:dyDescent="0.2">
      <c r="A1115" s="60" t="s">
        <v>472</v>
      </c>
      <c r="B1115" s="45"/>
      <c r="C1115" s="45"/>
      <c r="D1115" s="46">
        <v>3922158.73</v>
      </c>
      <c r="E1115" s="45"/>
      <c r="F1115" s="45"/>
      <c r="G1115" s="45"/>
    </row>
    <row r="1116" spans="1:42" ht="12" customHeight="1" outlineLevel="1" collapsed="1" x14ac:dyDescent="0.2">
      <c r="A1116" s="79" t="s">
        <v>415</v>
      </c>
      <c r="B1116" s="48"/>
      <c r="C1116" s="48"/>
      <c r="D1116" s="49">
        <v>5336060.66</v>
      </c>
      <c r="E1116" s="49">
        <v>5336060.66</v>
      </c>
      <c r="F1116" s="48"/>
      <c r="G1116" s="48"/>
    </row>
    <row r="1117" spans="1:42" ht="12" hidden="1" customHeight="1" outlineLevel="2" collapsed="1" x14ac:dyDescent="0.2">
      <c r="A1117" s="63" t="s">
        <v>477</v>
      </c>
      <c r="B1117" s="62"/>
      <c r="C1117" s="62"/>
      <c r="D1117" s="64">
        <v>5336060.66</v>
      </c>
      <c r="E1117" s="64">
        <v>5336060.66</v>
      </c>
      <c r="F1117" s="62"/>
      <c r="G1117" s="62"/>
    </row>
    <row r="1118" spans="1:42" ht="12" hidden="1" customHeight="1" outlineLevel="3" x14ac:dyDescent="0.2">
      <c r="A1118" s="61" t="s">
        <v>472</v>
      </c>
      <c r="B1118" s="45"/>
      <c r="C1118" s="45"/>
      <c r="D1118" s="45"/>
      <c r="E1118" s="46">
        <v>6570653.96</v>
      </c>
      <c r="F1118" s="45"/>
      <c r="G1118" s="45"/>
    </row>
    <row r="1119" spans="1:42" ht="12" hidden="1" customHeight="1" outlineLevel="4" x14ac:dyDescent="0.2">
      <c r="A1119" s="60" t="s">
        <v>472</v>
      </c>
      <c r="B1119" s="45"/>
      <c r="C1119" s="45"/>
      <c r="D1119" s="45"/>
      <c r="E1119" s="46">
        <v>6570653.96</v>
      </c>
      <c r="F1119" s="45"/>
      <c r="G1119" s="45"/>
    </row>
    <row r="1120" spans="1:42" ht="12" hidden="1" customHeight="1" outlineLevel="3" x14ac:dyDescent="0.2">
      <c r="A1120" s="61" t="s">
        <v>472</v>
      </c>
      <c r="B1120" s="45"/>
      <c r="C1120" s="45"/>
      <c r="D1120" s="45"/>
      <c r="E1120" s="59">
        <v>-1234593.3</v>
      </c>
      <c r="F1120" s="45"/>
      <c r="G1120" s="45"/>
    </row>
    <row r="1121" spans="1:32" ht="12" hidden="1" customHeight="1" outlineLevel="4" x14ac:dyDescent="0.2">
      <c r="A1121" s="60" t="s">
        <v>472</v>
      </c>
      <c r="B1121" s="45"/>
      <c r="C1121" s="45"/>
      <c r="D1121" s="45"/>
      <c r="E1121" s="59">
        <v>-1234593.3</v>
      </c>
      <c r="F1121" s="45"/>
      <c r="G1121" s="45"/>
    </row>
    <row r="1122" spans="1:32" ht="23.25" hidden="1" customHeight="1" outlineLevel="3" x14ac:dyDescent="0.2">
      <c r="A1122" s="61" t="s">
        <v>403</v>
      </c>
      <c r="B1122" s="45"/>
      <c r="C1122" s="45"/>
      <c r="D1122" s="46">
        <v>1453700.83</v>
      </c>
      <c r="E1122" s="45"/>
      <c r="F1122" s="45"/>
      <c r="G1122" s="45"/>
      <c r="H1122" s="78"/>
      <c r="I1122" s="78"/>
      <c r="J1122" s="78"/>
      <c r="K1122" s="78"/>
      <c r="L1122" s="78"/>
      <c r="M1122" s="78"/>
      <c r="AE1122" s="78"/>
      <c r="AF1122" s="78"/>
    </row>
    <row r="1123" spans="1:32" ht="12" hidden="1" customHeight="1" outlineLevel="4" x14ac:dyDescent="0.2">
      <c r="A1123" s="60" t="s">
        <v>472</v>
      </c>
      <c r="B1123" s="45"/>
      <c r="C1123" s="45"/>
      <c r="D1123" s="83">
        <v>1234593.3</v>
      </c>
      <c r="E1123" s="45"/>
      <c r="F1123" s="45"/>
      <c r="G1123" s="45"/>
      <c r="I1123" s="41" t="s">
        <v>73</v>
      </c>
    </row>
    <row r="1124" spans="1:32" ht="12" hidden="1" customHeight="1" outlineLevel="4" x14ac:dyDescent="0.2">
      <c r="A1124" s="60" t="s">
        <v>495</v>
      </c>
      <c r="B1124" s="45"/>
      <c r="C1124" s="45"/>
      <c r="D1124" s="83">
        <v>219107.53</v>
      </c>
      <c r="E1124" s="45"/>
      <c r="F1124" s="45"/>
      <c r="G1124" s="45"/>
      <c r="I1124" s="41" t="s">
        <v>73</v>
      </c>
    </row>
    <row r="1125" spans="1:32" ht="23.25" hidden="1" customHeight="1" outlineLevel="3" x14ac:dyDescent="0.2">
      <c r="A1125" s="61" t="s">
        <v>494</v>
      </c>
      <c r="B1125" s="45"/>
      <c r="C1125" s="45"/>
      <c r="D1125" s="83">
        <v>3882359.83</v>
      </c>
      <c r="E1125" s="45"/>
      <c r="F1125" s="45"/>
      <c r="G1125" s="45"/>
    </row>
    <row r="1126" spans="1:32" ht="12" hidden="1" customHeight="1" outlineLevel="4" x14ac:dyDescent="0.2">
      <c r="A1126" s="60" t="s">
        <v>749</v>
      </c>
      <c r="B1126" s="45"/>
      <c r="C1126" s="45"/>
      <c r="D1126" s="46">
        <v>9103.7800000000007</v>
      </c>
      <c r="E1126" s="45"/>
      <c r="F1126" s="45"/>
      <c r="G1126" s="45"/>
      <c r="I1126" s="73" t="s">
        <v>86</v>
      </c>
    </row>
    <row r="1127" spans="1:32" ht="12" hidden="1" customHeight="1" outlineLevel="4" x14ac:dyDescent="0.2">
      <c r="A1127" s="60" t="s">
        <v>748</v>
      </c>
      <c r="B1127" s="45"/>
      <c r="C1127" s="45"/>
      <c r="D1127" s="46">
        <v>13133.48</v>
      </c>
      <c r="E1127" s="45"/>
      <c r="F1127" s="45"/>
      <c r="G1127" s="45"/>
      <c r="I1127" s="73" t="s">
        <v>88</v>
      </c>
    </row>
    <row r="1128" spans="1:32" ht="12" hidden="1" customHeight="1" outlineLevel="4" x14ac:dyDescent="0.2">
      <c r="A1128" s="60" t="s">
        <v>747</v>
      </c>
      <c r="B1128" s="45"/>
      <c r="C1128" s="45"/>
      <c r="D1128" s="46">
        <v>13248.71</v>
      </c>
      <c r="E1128" s="45"/>
      <c r="F1128" s="45"/>
      <c r="G1128" s="45"/>
      <c r="I1128" s="73" t="s">
        <v>89</v>
      </c>
    </row>
    <row r="1129" spans="1:32" ht="12" hidden="1" customHeight="1" outlineLevel="4" x14ac:dyDescent="0.2">
      <c r="A1129" s="60" t="s">
        <v>493</v>
      </c>
      <c r="B1129" s="45"/>
      <c r="C1129" s="45"/>
      <c r="D1129" s="46">
        <v>20440.73</v>
      </c>
      <c r="E1129" s="45"/>
      <c r="F1129" s="45"/>
      <c r="G1129" s="45"/>
      <c r="I1129" s="73" t="s">
        <v>90</v>
      </c>
    </row>
    <row r="1130" spans="1:32" ht="12" hidden="1" customHeight="1" outlineLevel="4" x14ac:dyDescent="0.2">
      <c r="A1130" s="60" t="s">
        <v>746</v>
      </c>
      <c r="B1130" s="45"/>
      <c r="C1130" s="45"/>
      <c r="D1130" s="46">
        <v>30288.37</v>
      </c>
      <c r="E1130" s="45"/>
      <c r="F1130" s="45"/>
      <c r="G1130" s="45"/>
      <c r="I1130" s="73" t="s">
        <v>91</v>
      </c>
    </row>
    <row r="1131" spans="1:32" ht="12" hidden="1" customHeight="1" outlineLevel="4" x14ac:dyDescent="0.2">
      <c r="A1131" s="60" t="s">
        <v>745</v>
      </c>
      <c r="B1131" s="45"/>
      <c r="C1131" s="45"/>
      <c r="D1131" s="46">
        <v>28288.3</v>
      </c>
      <c r="E1131" s="45"/>
      <c r="F1131" s="45"/>
      <c r="G1131" s="45"/>
      <c r="I1131" s="73" t="s">
        <v>92</v>
      </c>
    </row>
    <row r="1132" spans="1:32" ht="12" hidden="1" customHeight="1" outlineLevel="4" x14ac:dyDescent="0.2">
      <c r="A1132" s="60" t="s">
        <v>744</v>
      </c>
      <c r="B1132" s="45"/>
      <c r="C1132" s="45"/>
      <c r="D1132" s="46">
        <v>37492.959999999999</v>
      </c>
      <c r="E1132" s="45"/>
      <c r="F1132" s="45"/>
      <c r="G1132" s="45"/>
      <c r="I1132" s="73" t="s">
        <v>93</v>
      </c>
    </row>
    <row r="1133" spans="1:32" ht="12" hidden="1" customHeight="1" outlineLevel="4" x14ac:dyDescent="0.2">
      <c r="A1133" s="60" t="s">
        <v>743</v>
      </c>
      <c r="B1133" s="45"/>
      <c r="C1133" s="45"/>
      <c r="D1133" s="46">
        <v>167876.34</v>
      </c>
      <c r="E1133" s="45"/>
      <c r="F1133" s="45"/>
      <c r="G1133" s="45"/>
      <c r="I1133" s="73" t="s">
        <v>121</v>
      </c>
    </row>
    <row r="1134" spans="1:32" ht="12" hidden="1" customHeight="1" outlineLevel="4" x14ac:dyDescent="0.2">
      <c r="A1134" s="60" t="s">
        <v>742</v>
      </c>
      <c r="B1134" s="45"/>
      <c r="C1134" s="45"/>
      <c r="D1134" s="46">
        <v>17180.29</v>
      </c>
      <c r="E1134" s="45"/>
      <c r="F1134" s="45"/>
      <c r="G1134" s="45"/>
      <c r="I1134" s="73" t="s">
        <v>70</v>
      </c>
    </row>
    <row r="1135" spans="1:32" ht="12" hidden="1" customHeight="1" outlineLevel="4" x14ac:dyDescent="0.2">
      <c r="A1135" s="60" t="s">
        <v>741</v>
      </c>
      <c r="B1135" s="45"/>
      <c r="C1135" s="45"/>
      <c r="D1135" s="46">
        <v>12860.74</v>
      </c>
      <c r="E1135" s="45"/>
      <c r="F1135" s="45"/>
      <c r="G1135" s="45"/>
      <c r="I1135" s="73" t="s">
        <v>74</v>
      </c>
    </row>
    <row r="1136" spans="1:32" ht="12" hidden="1" customHeight="1" outlineLevel="4" x14ac:dyDescent="0.2">
      <c r="A1136" s="60" t="s">
        <v>740</v>
      </c>
      <c r="B1136" s="45"/>
      <c r="C1136" s="45"/>
      <c r="D1136" s="46">
        <v>12210.56</v>
      </c>
      <c r="E1136" s="45"/>
      <c r="F1136" s="45"/>
      <c r="G1136" s="45"/>
      <c r="I1136" s="73" t="s">
        <v>75</v>
      </c>
    </row>
    <row r="1137" spans="1:9" ht="12" hidden="1" customHeight="1" outlineLevel="4" x14ac:dyDescent="0.2">
      <c r="A1137" s="60" t="s">
        <v>739</v>
      </c>
      <c r="B1137" s="45"/>
      <c r="C1137" s="45"/>
      <c r="D1137" s="46">
        <v>12686.6</v>
      </c>
      <c r="E1137" s="45"/>
      <c r="F1137" s="45"/>
      <c r="G1137" s="45"/>
      <c r="I1137" s="73" t="s">
        <v>76</v>
      </c>
    </row>
    <row r="1138" spans="1:9" ht="12" hidden="1" customHeight="1" outlineLevel="4" x14ac:dyDescent="0.2">
      <c r="A1138" s="60" t="s">
        <v>738</v>
      </c>
      <c r="B1138" s="45"/>
      <c r="C1138" s="45"/>
      <c r="D1138" s="46">
        <v>21132.99</v>
      </c>
      <c r="E1138" s="45"/>
      <c r="F1138" s="45"/>
      <c r="G1138" s="45"/>
      <c r="I1138" s="73" t="s">
        <v>77</v>
      </c>
    </row>
    <row r="1139" spans="1:9" ht="12" hidden="1" customHeight="1" outlineLevel="4" x14ac:dyDescent="0.2">
      <c r="A1139" s="60" t="s">
        <v>737</v>
      </c>
      <c r="B1139" s="45"/>
      <c r="C1139" s="45"/>
      <c r="D1139" s="46">
        <v>10358.56</v>
      </c>
      <c r="E1139" s="45"/>
      <c r="F1139" s="45"/>
      <c r="G1139" s="45"/>
      <c r="I1139" s="73" t="s">
        <v>78</v>
      </c>
    </row>
    <row r="1140" spans="1:9" ht="12" hidden="1" customHeight="1" outlineLevel="4" x14ac:dyDescent="0.2">
      <c r="A1140" s="60" t="s">
        <v>736</v>
      </c>
      <c r="B1140" s="45"/>
      <c r="C1140" s="45"/>
      <c r="D1140" s="46">
        <v>25097.08</v>
      </c>
      <c r="E1140" s="45"/>
      <c r="F1140" s="45"/>
      <c r="G1140" s="45"/>
      <c r="I1140" s="73" t="s">
        <v>79</v>
      </c>
    </row>
    <row r="1141" spans="1:9" ht="12" hidden="1" customHeight="1" outlineLevel="4" x14ac:dyDescent="0.2">
      <c r="A1141" s="60" t="s">
        <v>735</v>
      </c>
      <c r="B1141" s="45"/>
      <c r="C1141" s="45"/>
      <c r="D1141" s="46">
        <v>7886.7</v>
      </c>
      <c r="E1141" s="45"/>
      <c r="F1141" s="45"/>
      <c r="G1141" s="45"/>
      <c r="I1141" s="73" t="s">
        <v>80</v>
      </c>
    </row>
    <row r="1142" spans="1:9" ht="12" hidden="1" customHeight="1" outlineLevel="4" x14ac:dyDescent="0.2">
      <c r="A1142" s="60" t="s">
        <v>734</v>
      </c>
      <c r="B1142" s="45"/>
      <c r="C1142" s="45"/>
      <c r="D1142" s="46">
        <v>15258.71</v>
      </c>
      <c r="E1142" s="45"/>
      <c r="F1142" s="45"/>
      <c r="G1142" s="45"/>
      <c r="I1142" s="73" t="s">
        <v>81</v>
      </c>
    </row>
    <row r="1143" spans="1:9" ht="12" hidden="1" customHeight="1" outlineLevel="4" x14ac:dyDescent="0.2">
      <c r="A1143" s="60" t="s">
        <v>733</v>
      </c>
      <c r="B1143" s="45"/>
      <c r="C1143" s="45"/>
      <c r="D1143" s="46">
        <v>19727.759999999998</v>
      </c>
      <c r="E1143" s="45"/>
      <c r="F1143" s="45"/>
      <c r="G1143" s="45"/>
      <c r="I1143" s="73" t="s">
        <v>82</v>
      </c>
    </row>
    <row r="1144" spans="1:9" ht="12" hidden="1" customHeight="1" outlineLevel="4" x14ac:dyDescent="0.2">
      <c r="A1144" s="60" t="s">
        <v>732</v>
      </c>
      <c r="B1144" s="45"/>
      <c r="C1144" s="45"/>
      <c r="D1144" s="46">
        <v>18706.27</v>
      </c>
      <c r="E1144" s="45"/>
      <c r="F1144" s="45"/>
      <c r="G1144" s="45"/>
      <c r="I1144" s="73" t="s">
        <v>84</v>
      </c>
    </row>
    <row r="1145" spans="1:9" ht="12" hidden="1" customHeight="1" outlineLevel="4" x14ac:dyDescent="0.2">
      <c r="A1145" s="60" t="s">
        <v>731</v>
      </c>
      <c r="B1145" s="45"/>
      <c r="C1145" s="45"/>
      <c r="D1145" s="46">
        <v>21441.86</v>
      </c>
      <c r="E1145" s="45"/>
      <c r="F1145" s="45"/>
      <c r="G1145" s="45"/>
      <c r="I1145" s="73" t="s">
        <v>85</v>
      </c>
    </row>
    <row r="1146" spans="1:9" ht="12" hidden="1" customHeight="1" outlineLevel="4" x14ac:dyDescent="0.2">
      <c r="A1146" s="60" t="s">
        <v>730</v>
      </c>
      <c r="B1146" s="45"/>
      <c r="C1146" s="45"/>
      <c r="D1146" s="46">
        <v>11569.84</v>
      </c>
      <c r="E1146" s="45"/>
      <c r="F1146" s="45"/>
      <c r="G1146" s="45"/>
      <c r="I1146" s="73" t="s">
        <v>86</v>
      </c>
    </row>
    <row r="1147" spans="1:9" ht="12" hidden="1" customHeight="1" outlineLevel="4" x14ac:dyDescent="0.2">
      <c r="A1147" s="60" t="s">
        <v>729</v>
      </c>
      <c r="B1147" s="45"/>
      <c r="C1147" s="45"/>
      <c r="D1147" s="46">
        <v>29975.33</v>
      </c>
      <c r="E1147" s="45"/>
      <c r="F1147" s="45"/>
      <c r="G1147" s="45"/>
      <c r="I1147" s="73" t="s">
        <v>88</v>
      </c>
    </row>
    <row r="1148" spans="1:9" ht="12" hidden="1" customHeight="1" outlineLevel="4" x14ac:dyDescent="0.2">
      <c r="A1148" s="60" t="s">
        <v>728</v>
      </c>
      <c r="B1148" s="45"/>
      <c r="C1148" s="45"/>
      <c r="D1148" s="46">
        <v>14765.98</v>
      </c>
      <c r="E1148" s="45"/>
      <c r="F1148" s="45"/>
      <c r="G1148" s="45"/>
      <c r="I1148" s="73" t="s">
        <v>89</v>
      </c>
    </row>
    <row r="1149" spans="1:9" ht="12" hidden="1" customHeight="1" outlineLevel="4" x14ac:dyDescent="0.2">
      <c r="A1149" s="60" t="s">
        <v>727</v>
      </c>
      <c r="B1149" s="45"/>
      <c r="C1149" s="45"/>
      <c r="D1149" s="46">
        <v>16794.04</v>
      </c>
      <c r="E1149" s="45"/>
      <c r="F1149" s="45"/>
      <c r="G1149" s="45"/>
      <c r="I1149" s="73" t="s">
        <v>90</v>
      </c>
    </row>
    <row r="1150" spans="1:9" ht="12" hidden="1" customHeight="1" outlineLevel="4" x14ac:dyDescent="0.2">
      <c r="A1150" s="60" t="s">
        <v>726</v>
      </c>
      <c r="B1150" s="45"/>
      <c r="C1150" s="45"/>
      <c r="D1150" s="46">
        <v>90668.05</v>
      </c>
      <c r="E1150" s="45"/>
      <c r="F1150" s="45"/>
      <c r="G1150" s="45"/>
      <c r="I1150" s="73" t="s">
        <v>118</v>
      </c>
    </row>
    <row r="1151" spans="1:9" ht="12" hidden="1" customHeight="1" outlineLevel="4" x14ac:dyDescent="0.2">
      <c r="A1151" s="60" t="s">
        <v>725</v>
      </c>
      <c r="B1151" s="45"/>
      <c r="C1151" s="45"/>
      <c r="D1151" s="46">
        <v>34170.43</v>
      </c>
      <c r="E1151" s="45"/>
      <c r="F1151" s="45"/>
      <c r="G1151" s="45"/>
      <c r="I1151" s="73" t="s">
        <v>119</v>
      </c>
    </row>
    <row r="1152" spans="1:9" ht="12" hidden="1" customHeight="1" outlineLevel="4" x14ac:dyDescent="0.2">
      <c r="A1152" s="60" t="s">
        <v>724</v>
      </c>
      <c r="B1152" s="45"/>
      <c r="C1152" s="45"/>
      <c r="D1152" s="46">
        <v>60414.93</v>
      </c>
      <c r="E1152" s="45"/>
      <c r="F1152" s="45"/>
      <c r="G1152" s="45"/>
      <c r="I1152" s="73" t="s">
        <v>120</v>
      </c>
    </row>
    <row r="1153" spans="1:9" ht="12" hidden="1" customHeight="1" outlineLevel="4" x14ac:dyDescent="0.2">
      <c r="A1153" s="60" t="s">
        <v>723</v>
      </c>
      <c r="B1153" s="45"/>
      <c r="C1153" s="45"/>
      <c r="D1153" s="46">
        <v>79607.91</v>
      </c>
      <c r="E1153" s="45"/>
      <c r="F1153" s="45"/>
      <c r="G1153" s="45"/>
      <c r="I1153" s="73" t="s">
        <v>121</v>
      </c>
    </row>
    <row r="1154" spans="1:9" ht="12" hidden="1" customHeight="1" outlineLevel="4" x14ac:dyDescent="0.2">
      <c r="A1154" s="60" t="s">
        <v>722</v>
      </c>
      <c r="B1154" s="45"/>
      <c r="C1154" s="45"/>
      <c r="D1154" s="46">
        <v>53466.07</v>
      </c>
      <c r="E1154" s="45"/>
      <c r="F1154" s="45"/>
      <c r="G1154" s="45"/>
      <c r="I1154" s="73" t="s">
        <v>122</v>
      </c>
    </row>
    <row r="1155" spans="1:9" ht="12" hidden="1" customHeight="1" outlineLevel="4" x14ac:dyDescent="0.2">
      <c r="A1155" s="60" t="s">
        <v>721</v>
      </c>
      <c r="B1155" s="45"/>
      <c r="C1155" s="45"/>
      <c r="D1155" s="46">
        <v>33553.300000000003</v>
      </c>
      <c r="E1155" s="45"/>
      <c r="F1155" s="45"/>
      <c r="G1155" s="45"/>
      <c r="I1155" s="73" t="s">
        <v>116</v>
      </c>
    </row>
    <row r="1156" spans="1:9" ht="12" hidden="1" customHeight="1" outlineLevel="4" x14ac:dyDescent="0.2">
      <c r="A1156" s="60" t="s">
        <v>720</v>
      </c>
      <c r="B1156" s="45"/>
      <c r="C1156" s="45"/>
      <c r="D1156" s="46">
        <v>148556.04</v>
      </c>
      <c r="E1156" s="45"/>
      <c r="F1156" s="45"/>
      <c r="G1156" s="45"/>
      <c r="I1156" s="73" t="s">
        <v>117</v>
      </c>
    </row>
    <row r="1157" spans="1:9" ht="23.25" hidden="1" customHeight="1" outlineLevel="4" x14ac:dyDescent="0.2">
      <c r="A1157" s="60" t="s">
        <v>719</v>
      </c>
      <c r="B1157" s="45"/>
      <c r="C1157" s="45"/>
      <c r="D1157" s="46">
        <v>31782.58</v>
      </c>
      <c r="E1157" s="45"/>
      <c r="F1157" s="45"/>
      <c r="G1157" s="45"/>
      <c r="I1157" s="73" t="s">
        <v>237</v>
      </c>
    </row>
    <row r="1158" spans="1:9" ht="23.25" hidden="1" customHeight="1" outlineLevel="4" x14ac:dyDescent="0.2">
      <c r="A1158" s="60" t="s">
        <v>718</v>
      </c>
      <c r="B1158" s="45"/>
      <c r="C1158" s="45"/>
      <c r="D1158" s="46">
        <v>143755.41</v>
      </c>
      <c r="E1158" s="45"/>
      <c r="F1158" s="45"/>
      <c r="G1158" s="45"/>
      <c r="I1158" s="73" t="s">
        <v>238</v>
      </c>
    </row>
    <row r="1159" spans="1:9" ht="23.25" hidden="1" customHeight="1" outlineLevel="4" x14ac:dyDescent="0.2">
      <c r="A1159" s="60" t="s">
        <v>717</v>
      </c>
      <c r="B1159" s="45"/>
      <c r="C1159" s="45"/>
      <c r="D1159" s="46">
        <v>81415.740000000005</v>
      </c>
      <c r="E1159" s="45"/>
      <c r="F1159" s="45"/>
      <c r="G1159" s="45"/>
      <c r="I1159" s="73" t="s">
        <v>239</v>
      </c>
    </row>
    <row r="1160" spans="1:9" ht="23.25" hidden="1" customHeight="1" outlineLevel="4" x14ac:dyDescent="0.2">
      <c r="A1160" s="60" t="s">
        <v>716</v>
      </c>
      <c r="B1160" s="45"/>
      <c r="C1160" s="45"/>
      <c r="D1160" s="46">
        <v>119682.21</v>
      </c>
      <c r="E1160" s="45"/>
      <c r="F1160" s="45"/>
      <c r="G1160" s="45"/>
      <c r="I1160" s="73" t="s">
        <v>240</v>
      </c>
    </row>
    <row r="1161" spans="1:9" ht="23.25" hidden="1" customHeight="1" outlineLevel="4" x14ac:dyDescent="0.2">
      <c r="A1161" s="60" t="s">
        <v>715</v>
      </c>
      <c r="B1161" s="45"/>
      <c r="C1161" s="45"/>
      <c r="D1161" s="46">
        <v>45684.2</v>
      </c>
      <c r="E1161" s="45"/>
      <c r="F1161" s="45"/>
      <c r="G1161" s="45"/>
      <c r="I1161" s="73" t="s">
        <v>241</v>
      </c>
    </row>
    <row r="1162" spans="1:9" ht="23.25" hidden="1" customHeight="1" outlineLevel="4" x14ac:dyDescent="0.2">
      <c r="A1162" s="60" t="s">
        <v>714</v>
      </c>
      <c r="B1162" s="45"/>
      <c r="C1162" s="45"/>
      <c r="D1162" s="46">
        <v>120831.5</v>
      </c>
      <c r="E1162" s="45"/>
      <c r="F1162" s="45"/>
      <c r="G1162" s="45"/>
      <c r="I1162" s="73" t="s">
        <v>242</v>
      </c>
    </row>
    <row r="1163" spans="1:9" ht="23.25" hidden="1" customHeight="1" outlineLevel="4" x14ac:dyDescent="0.2">
      <c r="A1163" s="60" t="s">
        <v>713</v>
      </c>
      <c r="B1163" s="45"/>
      <c r="C1163" s="45"/>
      <c r="D1163" s="46">
        <v>60443.77</v>
      </c>
      <c r="E1163" s="45"/>
      <c r="F1163" s="45"/>
      <c r="G1163" s="45"/>
      <c r="I1163" s="73" t="s">
        <v>243</v>
      </c>
    </row>
    <row r="1164" spans="1:9" ht="23.25" hidden="1" customHeight="1" outlineLevel="4" x14ac:dyDescent="0.2">
      <c r="A1164" s="60" t="s">
        <v>712</v>
      </c>
      <c r="B1164" s="45"/>
      <c r="C1164" s="45"/>
      <c r="D1164" s="46">
        <v>15698.37</v>
      </c>
      <c r="E1164" s="45"/>
      <c r="F1164" s="45"/>
      <c r="G1164" s="45"/>
      <c r="I1164" s="73" t="s">
        <v>243</v>
      </c>
    </row>
    <row r="1165" spans="1:9" ht="23.25" hidden="1" customHeight="1" outlineLevel="4" x14ac:dyDescent="0.2">
      <c r="A1165" s="60" t="s">
        <v>711</v>
      </c>
      <c r="B1165" s="45"/>
      <c r="C1165" s="45"/>
      <c r="D1165" s="46">
        <v>38316.410000000003</v>
      </c>
      <c r="E1165" s="45"/>
      <c r="F1165" s="45"/>
      <c r="G1165" s="45"/>
      <c r="I1165" s="73" t="s">
        <v>244</v>
      </c>
    </row>
    <row r="1166" spans="1:9" ht="23.25" hidden="1" customHeight="1" outlineLevel="4" x14ac:dyDescent="0.2">
      <c r="A1166" s="60" t="s">
        <v>710</v>
      </c>
      <c r="B1166" s="45"/>
      <c r="C1166" s="45"/>
      <c r="D1166" s="46">
        <v>35012.589999999997</v>
      </c>
      <c r="E1166" s="45"/>
      <c r="F1166" s="45"/>
      <c r="G1166" s="45"/>
      <c r="I1166" s="73" t="s">
        <v>245</v>
      </c>
    </row>
    <row r="1167" spans="1:9" ht="23.25" hidden="1" customHeight="1" outlineLevel="4" x14ac:dyDescent="0.2">
      <c r="A1167" s="60" t="s">
        <v>709</v>
      </c>
      <c r="B1167" s="45"/>
      <c r="C1167" s="45"/>
      <c r="D1167" s="46">
        <v>50331.519999999997</v>
      </c>
      <c r="E1167" s="45"/>
      <c r="F1167" s="45"/>
      <c r="G1167" s="45"/>
      <c r="I1167" s="73" t="s">
        <v>246</v>
      </c>
    </row>
    <row r="1168" spans="1:9" ht="23.25" hidden="1" customHeight="1" outlineLevel="4" x14ac:dyDescent="0.2">
      <c r="A1168" s="60" t="s">
        <v>708</v>
      </c>
      <c r="B1168" s="45"/>
      <c r="C1168" s="45"/>
      <c r="D1168" s="46">
        <v>51359.43</v>
      </c>
      <c r="E1168" s="45"/>
      <c r="F1168" s="45"/>
      <c r="G1168" s="45"/>
      <c r="I1168" s="73" t="s">
        <v>247</v>
      </c>
    </row>
    <row r="1169" spans="1:9" ht="23.25" hidden="1" customHeight="1" outlineLevel="4" x14ac:dyDescent="0.2">
      <c r="A1169" s="60" t="s">
        <v>484</v>
      </c>
      <c r="B1169" s="45"/>
      <c r="C1169" s="45"/>
      <c r="D1169" s="46">
        <v>56324.160000000003</v>
      </c>
      <c r="E1169" s="45"/>
      <c r="F1169" s="45"/>
      <c r="G1169" s="45"/>
      <c r="I1169" s="73" t="s">
        <v>248</v>
      </c>
    </row>
    <row r="1170" spans="1:9" ht="23.25" hidden="1" customHeight="1" outlineLevel="4" x14ac:dyDescent="0.2">
      <c r="A1170" s="60" t="s">
        <v>483</v>
      </c>
      <c r="B1170" s="45"/>
      <c r="C1170" s="45"/>
      <c r="D1170" s="46">
        <v>44936.160000000003</v>
      </c>
      <c r="E1170" s="45"/>
      <c r="F1170" s="45"/>
      <c r="G1170" s="45"/>
      <c r="I1170" s="73" t="s">
        <v>249</v>
      </c>
    </row>
    <row r="1171" spans="1:9" ht="23.25" hidden="1" customHeight="1" outlineLevel="4" x14ac:dyDescent="0.2">
      <c r="A1171" s="60" t="s">
        <v>482</v>
      </c>
      <c r="B1171" s="45"/>
      <c r="C1171" s="45"/>
      <c r="D1171" s="46">
        <v>42385.13</v>
      </c>
      <c r="E1171" s="45"/>
      <c r="F1171" s="45"/>
      <c r="G1171" s="45"/>
      <c r="I1171" s="73" t="s">
        <v>250</v>
      </c>
    </row>
    <row r="1172" spans="1:9" ht="23.25" hidden="1" customHeight="1" outlineLevel="4" x14ac:dyDescent="0.2">
      <c r="A1172" s="60" t="s">
        <v>707</v>
      </c>
      <c r="B1172" s="45"/>
      <c r="C1172" s="45"/>
      <c r="D1172" s="46">
        <v>38793.07</v>
      </c>
      <c r="E1172" s="45"/>
      <c r="F1172" s="45"/>
      <c r="G1172" s="45"/>
      <c r="I1172" s="73" t="s">
        <v>251</v>
      </c>
    </row>
    <row r="1173" spans="1:9" ht="23.25" hidden="1" customHeight="1" outlineLevel="4" x14ac:dyDescent="0.2">
      <c r="A1173" s="60" t="s">
        <v>481</v>
      </c>
      <c r="B1173" s="45"/>
      <c r="C1173" s="45"/>
      <c r="D1173" s="46">
        <v>110892.43</v>
      </c>
      <c r="E1173" s="45"/>
      <c r="F1173" s="45"/>
      <c r="G1173" s="45"/>
      <c r="I1173" s="73" t="s">
        <v>252</v>
      </c>
    </row>
    <row r="1174" spans="1:9" ht="23.25" hidden="1" customHeight="1" outlineLevel="4" x14ac:dyDescent="0.2">
      <c r="A1174" s="60" t="s">
        <v>706</v>
      </c>
      <c r="B1174" s="45"/>
      <c r="C1174" s="45"/>
      <c r="D1174" s="46">
        <v>41097.21</v>
      </c>
      <c r="E1174" s="45"/>
      <c r="F1174" s="45"/>
      <c r="G1174" s="45"/>
      <c r="I1174" s="73" t="s">
        <v>210</v>
      </c>
    </row>
    <row r="1175" spans="1:9" ht="23.25" hidden="1" customHeight="1" outlineLevel="4" x14ac:dyDescent="0.2">
      <c r="A1175" s="60" t="s">
        <v>705</v>
      </c>
      <c r="B1175" s="45"/>
      <c r="C1175" s="45"/>
      <c r="D1175" s="46">
        <v>103842.67</v>
      </c>
      <c r="E1175" s="45"/>
      <c r="F1175" s="45"/>
      <c r="G1175" s="45"/>
      <c r="I1175" s="73" t="s">
        <v>211</v>
      </c>
    </row>
    <row r="1176" spans="1:9" ht="23.25" hidden="1" customHeight="1" outlineLevel="4" x14ac:dyDescent="0.2">
      <c r="A1176" s="60" t="s">
        <v>704</v>
      </c>
      <c r="B1176" s="45"/>
      <c r="C1176" s="45"/>
      <c r="D1176" s="46">
        <v>29869.02</v>
      </c>
      <c r="E1176" s="45"/>
      <c r="F1176" s="45"/>
      <c r="G1176" s="45"/>
      <c r="I1176" s="73" t="s">
        <v>212</v>
      </c>
    </row>
    <row r="1177" spans="1:9" ht="23.25" hidden="1" customHeight="1" outlineLevel="4" x14ac:dyDescent="0.2">
      <c r="A1177" s="60" t="s">
        <v>703</v>
      </c>
      <c r="B1177" s="45"/>
      <c r="C1177" s="45"/>
      <c r="D1177" s="46">
        <v>64286.67</v>
      </c>
      <c r="E1177" s="45"/>
      <c r="F1177" s="45"/>
      <c r="G1177" s="45"/>
      <c r="I1177" s="73" t="s">
        <v>213</v>
      </c>
    </row>
    <row r="1178" spans="1:9" ht="23.25" hidden="1" customHeight="1" outlineLevel="4" x14ac:dyDescent="0.2">
      <c r="A1178" s="60" t="s">
        <v>702</v>
      </c>
      <c r="B1178" s="45"/>
      <c r="C1178" s="45"/>
      <c r="D1178" s="46">
        <v>162634.38</v>
      </c>
      <c r="E1178" s="45"/>
      <c r="F1178" s="45"/>
      <c r="G1178" s="45"/>
      <c r="I1178" s="73" t="s">
        <v>214</v>
      </c>
    </row>
    <row r="1179" spans="1:9" ht="23.25" hidden="1" customHeight="1" outlineLevel="4" x14ac:dyDescent="0.2">
      <c r="A1179" s="60" t="s">
        <v>701</v>
      </c>
      <c r="B1179" s="45"/>
      <c r="C1179" s="45"/>
      <c r="D1179" s="46">
        <v>22127.55</v>
      </c>
      <c r="E1179" s="45"/>
      <c r="F1179" s="45"/>
      <c r="G1179" s="45"/>
      <c r="I1179" s="73" t="s">
        <v>215</v>
      </c>
    </row>
    <row r="1180" spans="1:9" ht="23.25" hidden="1" customHeight="1" outlineLevel="4" x14ac:dyDescent="0.2">
      <c r="A1180" s="60" t="s">
        <v>700</v>
      </c>
      <c r="B1180" s="45"/>
      <c r="C1180" s="45"/>
      <c r="D1180" s="46">
        <v>109479.87</v>
      </c>
      <c r="E1180" s="45"/>
      <c r="F1180" s="45"/>
      <c r="G1180" s="45"/>
      <c r="I1180" s="73" t="s">
        <v>217</v>
      </c>
    </row>
    <row r="1181" spans="1:9" ht="23.25" hidden="1" customHeight="1" outlineLevel="4" x14ac:dyDescent="0.2">
      <c r="A1181" s="60" t="s">
        <v>699</v>
      </c>
      <c r="B1181" s="45"/>
      <c r="C1181" s="45"/>
      <c r="D1181" s="46">
        <v>35177.99</v>
      </c>
      <c r="E1181" s="45"/>
      <c r="F1181" s="45"/>
      <c r="G1181" s="45"/>
      <c r="I1181" s="73" t="s">
        <v>218</v>
      </c>
    </row>
    <row r="1182" spans="1:9" ht="23.25" hidden="1" customHeight="1" outlineLevel="4" x14ac:dyDescent="0.2">
      <c r="A1182" s="60" t="s">
        <v>698</v>
      </c>
      <c r="B1182" s="45"/>
      <c r="C1182" s="45"/>
      <c r="D1182" s="46">
        <v>83531.67</v>
      </c>
      <c r="E1182" s="45"/>
      <c r="F1182" s="45"/>
      <c r="G1182" s="45"/>
      <c r="I1182" s="73" t="s">
        <v>219</v>
      </c>
    </row>
    <row r="1183" spans="1:9" ht="23.25" hidden="1" customHeight="1" outlineLevel="4" x14ac:dyDescent="0.2">
      <c r="A1183" s="60" t="s">
        <v>697</v>
      </c>
      <c r="B1183" s="45"/>
      <c r="C1183" s="45"/>
      <c r="D1183" s="46">
        <v>61301.97</v>
      </c>
      <c r="E1183" s="45"/>
      <c r="F1183" s="45"/>
      <c r="G1183" s="45"/>
      <c r="I1183" s="73" t="s">
        <v>220</v>
      </c>
    </row>
    <row r="1184" spans="1:9" ht="23.25" hidden="1" customHeight="1" outlineLevel="4" x14ac:dyDescent="0.2">
      <c r="A1184" s="60" t="s">
        <v>696</v>
      </c>
      <c r="B1184" s="45"/>
      <c r="C1184" s="45"/>
      <c r="D1184" s="46">
        <v>51030.39</v>
      </c>
      <c r="E1184" s="45"/>
      <c r="F1184" s="45"/>
      <c r="G1184" s="45"/>
      <c r="I1184" s="73" t="s">
        <v>221</v>
      </c>
    </row>
    <row r="1185" spans="1:9" ht="23.25" hidden="1" customHeight="1" outlineLevel="4" x14ac:dyDescent="0.2">
      <c r="A1185" s="60" t="s">
        <v>695</v>
      </c>
      <c r="B1185" s="45"/>
      <c r="C1185" s="45"/>
      <c r="D1185" s="46">
        <v>21068.639999999999</v>
      </c>
      <c r="E1185" s="45"/>
      <c r="F1185" s="45"/>
      <c r="G1185" s="45"/>
      <c r="I1185" s="73" t="s">
        <v>222</v>
      </c>
    </row>
    <row r="1186" spans="1:9" ht="23.25" hidden="1" customHeight="1" outlineLevel="4" x14ac:dyDescent="0.2">
      <c r="A1186" s="60" t="s">
        <v>694</v>
      </c>
      <c r="B1186" s="45"/>
      <c r="C1186" s="45"/>
      <c r="D1186" s="46">
        <v>69173.13</v>
      </c>
      <c r="E1186" s="45"/>
      <c r="F1186" s="45"/>
      <c r="G1186" s="45"/>
      <c r="I1186" s="73" t="s">
        <v>223</v>
      </c>
    </row>
    <row r="1187" spans="1:9" ht="23.25" hidden="1" customHeight="1" outlineLevel="4" x14ac:dyDescent="0.2">
      <c r="A1187" s="60" t="s">
        <v>693</v>
      </c>
      <c r="B1187" s="45"/>
      <c r="C1187" s="45"/>
      <c r="D1187" s="46">
        <v>88340.98</v>
      </c>
      <c r="E1187" s="45"/>
      <c r="F1187" s="45"/>
      <c r="G1187" s="45"/>
      <c r="I1187" s="73" t="s">
        <v>224</v>
      </c>
    </row>
    <row r="1188" spans="1:9" ht="23.25" hidden="1" customHeight="1" outlineLevel="4" x14ac:dyDescent="0.2">
      <c r="A1188" s="60" t="s">
        <v>692</v>
      </c>
      <c r="B1188" s="45"/>
      <c r="C1188" s="45"/>
      <c r="D1188" s="46">
        <v>63642.16</v>
      </c>
      <c r="E1188" s="45"/>
      <c r="F1188" s="45"/>
      <c r="G1188" s="45"/>
      <c r="I1188" s="73" t="s">
        <v>225</v>
      </c>
    </row>
    <row r="1189" spans="1:9" ht="23.25" hidden="1" customHeight="1" outlineLevel="4" x14ac:dyDescent="0.2">
      <c r="A1189" s="60" t="s">
        <v>691</v>
      </c>
      <c r="B1189" s="45"/>
      <c r="C1189" s="45"/>
      <c r="D1189" s="46">
        <v>57853.760000000002</v>
      </c>
      <c r="E1189" s="45"/>
      <c r="F1189" s="45"/>
      <c r="G1189" s="45"/>
      <c r="I1189" s="73" t="s">
        <v>226</v>
      </c>
    </row>
    <row r="1190" spans="1:9" ht="23.25" hidden="1" customHeight="1" outlineLevel="4" x14ac:dyDescent="0.2">
      <c r="A1190" s="60" t="s">
        <v>690</v>
      </c>
      <c r="B1190" s="45"/>
      <c r="C1190" s="45"/>
      <c r="D1190" s="46">
        <v>42526.75</v>
      </c>
      <c r="E1190" s="45"/>
      <c r="F1190" s="45"/>
      <c r="G1190" s="45"/>
      <c r="I1190" s="73" t="s">
        <v>227</v>
      </c>
    </row>
    <row r="1191" spans="1:9" ht="23.25" hidden="1" customHeight="1" outlineLevel="4" x14ac:dyDescent="0.2">
      <c r="A1191" s="60" t="s">
        <v>689</v>
      </c>
      <c r="B1191" s="45"/>
      <c r="C1191" s="45"/>
      <c r="D1191" s="46">
        <v>114735.09</v>
      </c>
      <c r="E1191" s="45"/>
      <c r="F1191" s="45"/>
      <c r="G1191" s="45"/>
      <c r="I1191" s="73" t="s">
        <v>228</v>
      </c>
    </row>
    <row r="1192" spans="1:9" ht="23.25" hidden="1" customHeight="1" outlineLevel="4" x14ac:dyDescent="0.2">
      <c r="A1192" s="60" t="s">
        <v>688</v>
      </c>
      <c r="B1192" s="45"/>
      <c r="C1192" s="45"/>
      <c r="D1192" s="46">
        <v>30241.79</v>
      </c>
      <c r="E1192" s="45"/>
      <c r="F1192" s="45"/>
      <c r="G1192" s="45"/>
      <c r="I1192" s="73" t="s">
        <v>229</v>
      </c>
    </row>
    <row r="1193" spans="1:9" ht="23.25" hidden="1" customHeight="1" outlineLevel="4" x14ac:dyDescent="0.2">
      <c r="A1193" s="60" t="s">
        <v>687</v>
      </c>
      <c r="B1193" s="45"/>
      <c r="C1193" s="45"/>
      <c r="D1193" s="46">
        <v>35755.1</v>
      </c>
      <c r="E1193" s="45"/>
      <c r="F1193" s="45"/>
      <c r="G1193" s="45"/>
      <c r="I1193" s="73" t="s">
        <v>230</v>
      </c>
    </row>
    <row r="1194" spans="1:9" ht="23.25" hidden="1" customHeight="1" outlineLevel="4" x14ac:dyDescent="0.2">
      <c r="A1194" s="60" t="s">
        <v>686</v>
      </c>
      <c r="B1194" s="45"/>
      <c r="C1194" s="45"/>
      <c r="D1194" s="46">
        <v>40261.1</v>
      </c>
      <c r="E1194" s="45"/>
      <c r="F1194" s="45"/>
      <c r="G1194" s="45"/>
      <c r="I1194" s="73" t="s">
        <v>231</v>
      </c>
    </row>
    <row r="1195" spans="1:9" ht="23.25" hidden="1" customHeight="1" outlineLevel="4" x14ac:dyDescent="0.2">
      <c r="A1195" s="60" t="s">
        <v>685</v>
      </c>
      <c r="B1195" s="45"/>
      <c r="C1195" s="45"/>
      <c r="D1195" s="46">
        <v>41527.11</v>
      </c>
      <c r="E1195" s="45"/>
      <c r="F1195" s="45"/>
      <c r="G1195" s="45"/>
      <c r="I1195" s="73" t="s">
        <v>232</v>
      </c>
    </row>
    <row r="1196" spans="1:9" ht="23.25" hidden="1" customHeight="1" outlineLevel="4" x14ac:dyDescent="0.2">
      <c r="A1196" s="60" t="s">
        <v>684</v>
      </c>
      <c r="B1196" s="45"/>
      <c r="C1196" s="45"/>
      <c r="D1196" s="46">
        <v>30131.88</v>
      </c>
      <c r="E1196" s="45"/>
      <c r="F1196" s="45"/>
      <c r="G1196" s="45"/>
      <c r="I1196" s="73" t="s">
        <v>233</v>
      </c>
    </row>
    <row r="1197" spans="1:9" ht="23.25" hidden="1" customHeight="1" outlineLevel="4" x14ac:dyDescent="0.2">
      <c r="A1197" s="60" t="s">
        <v>683</v>
      </c>
      <c r="B1197" s="45"/>
      <c r="C1197" s="45"/>
      <c r="D1197" s="46">
        <v>55034.11</v>
      </c>
      <c r="E1197" s="45"/>
      <c r="F1197" s="45"/>
      <c r="G1197" s="45"/>
      <c r="I1197" s="73" t="s">
        <v>234</v>
      </c>
    </row>
    <row r="1198" spans="1:9" ht="23.25" hidden="1" customHeight="1" outlineLevel="4" x14ac:dyDescent="0.2">
      <c r="A1198" s="60" t="s">
        <v>682</v>
      </c>
      <c r="B1198" s="45"/>
      <c r="C1198" s="45"/>
      <c r="D1198" s="46">
        <v>45205.18</v>
      </c>
      <c r="E1198" s="45"/>
      <c r="F1198" s="45"/>
      <c r="G1198" s="45"/>
      <c r="I1198" s="73" t="s">
        <v>235</v>
      </c>
    </row>
    <row r="1199" spans="1:9" ht="23.25" hidden="1" customHeight="1" outlineLevel="4" x14ac:dyDescent="0.2">
      <c r="A1199" s="60" t="s">
        <v>681</v>
      </c>
      <c r="B1199" s="45"/>
      <c r="C1199" s="45"/>
      <c r="D1199" s="46">
        <v>149436.03</v>
      </c>
      <c r="E1199" s="45"/>
      <c r="F1199" s="45"/>
      <c r="G1199" s="45"/>
      <c r="I1199" s="73" t="s">
        <v>236</v>
      </c>
    </row>
    <row r="1200" spans="1:9" ht="12" hidden="1" customHeight="1" outlineLevel="4" x14ac:dyDescent="0.2">
      <c r="A1200" s="60" t="s">
        <v>680</v>
      </c>
      <c r="B1200" s="45"/>
      <c r="C1200" s="45"/>
      <c r="D1200" s="46">
        <v>57440.24</v>
      </c>
      <c r="E1200" s="45"/>
      <c r="F1200" s="45"/>
      <c r="G1200" s="45"/>
      <c r="I1200" s="73" t="s">
        <v>289</v>
      </c>
    </row>
    <row r="1201" spans="1:57" ht="12" customHeight="1" outlineLevel="1" collapsed="1" x14ac:dyDescent="0.2">
      <c r="A1201" s="79" t="s">
        <v>679</v>
      </c>
      <c r="B1201" s="48"/>
      <c r="C1201" s="48"/>
      <c r="D1201" s="49">
        <v>13276664.17</v>
      </c>
      <c r="E1201" s="49">
        <v>13276664.17</v>
      </c>
      <c r="F1201" s="48"/>
      <c r="G1201" s="4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 t="s">
        <v>73</v>
      </c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</row>
    <row r="1202" spans="1:57" ht="12" hidden="1" customHeight="1" outlineLevel="2" collapsed="1" x14ac:dyDescent="0.2">
      <c r="A1202" s="63" t="s">
        <v>477</v>
      </c>
      <c r="B1202" s="62"/>
      <c r="C1202" s="62"/>
      <c r="D1202" s="64">
        <v>13276664.17</v>
      </c>
      <c r="E1202" s="64">
        <v>13276664.17</v>
      </c>
      <c r="F1202" s="62"/>
      <c r="G1202" s="62"/>
    </row>
    <row r="1203" spans="1:57" ht="12" hidden="1" customHeight="1" outlineLevel="3" x14ac:dyDescent="0.2">
      <c r="A1203" s="61" t="s">
        <v>472</v>
      </c>
      <c r="B1203" s="45"/>
      <c r="C1203" s="45"/>
      <c r="D1203" s="45"/>
      <c r="E1203" s="46">
        <v>13276664.17</v>
      </c>
      <c r="F1203" s="45"/>
      <c r="G1203" s="45"/>
    </row>
    <row r="1204" spans="1:57" ht="12" hidden="1" customHeight="1" outlineLevel="4" x14ac:dyDescent="0.2">
      <c r="A1204" s="60" t="s">
        <v>472</v>
      </c>
      <c r="B1204" s="45"/>
      <c r="C1204" s="45"/>
      <c r="D1204" s="45"/>
      <c r="E1204" s="46">
        <v>13276664.17</v>
      </c>
      <c r="F1204" s="45"/>
      <c r="G1204" s="45"/>
    </row>
    <row r="1205" spans="1:57" ht="12" hidden="1" customHeight="1" outlineLevel="3" x14ac:dyDescent="0.2">
      <c r="A1205" s="61" t="s">
        <v>549</v>
      </c>
      <c r="B1205" s="45"/>
      <c r="C1205" s="45"/>
      <c r="D1205" s="46">
        <v>10247349.189999999</v>
      </c>
      <c r="E1205" s="45"/>
      <c r="F1205" s="45"/>
      <c r="G1205" s="45"/>
    </row>
    <row r="1206" spans="1:57" ht="12" hidden="1" customHeight="1" outlineLevel="4" x14ac:dyDescent="0.2">
      <c r="A1206" s="60" t="s">
        <v>472</v>
      </c>
      <c r="B1206" s="45"/>
      <c r="C1206" s="45"/>
      <c r="D1206" s="46">
        <v>10247349.189999999</v>
      </c>
      <c r="E1206" s="45"/>
      <c r="F1206" s="45"/>
      <c r="G1206" s="45"/>
    </row>
    <row r="1207" spans="1:57" ht="12" hidden="1" customHeight="1" outlineLevel="3" x14ac:dyDescent="0.2">
      <c r="A1207" s="61" t="s">
        <v>392</v>
      </c>
      <c r="B1207" s="45"/>
      <c r="C1207" s="45"/>
      <c r="D1207" s="46">
        <v>3029314.98</v>
      </c>
      <c r="E1207" s="45"/>
      <c r="F1207" s="45"/>
      <c r="G1207" s="45"/>
    </row>
    <row r="1208" spans="1:57" ht="12" hidden="1" customHeight="1" outlineLevel="4" x14ac:dyDescent="0.2">
      <c r="A1208" s="60" t="s">
        <v>472</v>
      </c>
      <c r="B1208" s="45"/>
      <c r="C1208" s="45"/>
      <c r="D1208" s="46">
        <v>3029314.98</v>
      </c>
      <c r="E1208" s="45"/>
      <c r="F1208" s="45"/>
      <c r="G1208" s="45"/>
    </row>
    <row r="1209" spans="1:57" ht="12" customHeight="1" outlineLevel="1" collapsed="1" x14ac:dyDescent="0.2">
      <c r="A1209" s="50" t="s">
        <v>414</v>
      </c>
      <c r="B1209" s="48"/>
      <c r="C1209" s="48"/>
      <c r="D1209" s="68">
        <v>6453607.1100000003</v>
      </c>
      <c r="E1209" s="49">
        <v>6453607.1100000003</v>
      </c>
      <c r="F1209" s="48"/>
      <c r="G1209" s="48"/>
    </row>
    <row r="1210" spans="1:57" ht="12" hidden="1" customHeight="1" outlineLevel="2" collapsed="1" x14ac:dyDescent="0.2">
      <c r="A1210" s="63" t="s">
        <v>480</v>
      </c>
      <c r="B1210" s="62"/>
      <c r="C1210" s="62"/>
      <c r="D1210" s="62"/>
      <c r="E1210" s="62"/>
      <c r="F1210" s="62"/>
      <c r="G1210" s="62"/>
    </row>
    <row r="1211" spans="1:57" ht="12" hidden="1" customHeight="1" outlineLevel="3" x14ac:dyDescent="0.2">
      <c r="A1211" s="61" t="s">
        <v>472</v>
      </c>
      <c r="B1211" s="45"/>
      <c r="C1211" s="45"/>
      <c r="D1211" s="45"/>
      <c r="E1211" s="66">
        <v>6.35</v>
      </c>
      <c r="F1211" s="45"/>
      <c r="G1211" s="45"/>
    </row>
    <row r="1212" spans="1:57" ht="12" hidden="1" customHeight="1" outlineLevel="4" x14ac:dyDescent="0.2">
      <c r="A1212" s="60" t="s">
        <v>472</v>
      </c>
      <c r="B1212" s="45"/>
      <c r="C1212" s="45"/>
      <c r="D1212" s="45"/>
      <c r="E1212" s="66">
        <v>6.35</v>
      </c>
      <c r="F1212" s="45"/>
      <c r="G1212" s="45"/>
    </row>
    <row r="1213" spans="1:57" ht="12" hidden="1" customHeight="1" outlineLevel="3" x14ac:dyDescent="0.2">
      <c r="A1213" s="61" t="s">
        <v>472</v>
      </c>
      <c r="B1213" s="45"/>
      <c r="C1213" s="45"/>
      <c r="D1213" s="45"/>
      <c r="E1213" s="65">
        <v>-6.35</v>
      </c>
      <c r="F1213" s="45"/>
      <c r="G1213" s="45"/>
    </row>
    <row r="1214" spans="1:57" ht="12" hidden="1" customHeight="1" outlineLevel="4" x14ac:dyDescent="0.2">
      <c r="A1214" s="60" t="s">
        <v>472</v>
      </c>
      <c r="B1214" s="45"/>
      <c r="C1214" s="45"/>
      <c r="D1214" s="45"/>
      <c r="E1214" s="65">
        <v>-6.35</v>
      </c>
      <c r="F1214" s="45"/>
      <c r="G1214" s="45"/>
    </row>
    <row r="1215" spans="1:57" ht="12" hidden="1" customHeight="1" outlineLevel="2" collapsed="1" x14ac:dyDescent="0.2">
      <c r="A1215" s="63" t="s">
        <v>30</v>
      </c>
      <c r="B1215" s="62"/>
      <c r="C1215" s="62"/>
      <c r="D1215" s="62"/>
      <c r="E1215" s="62"/>
      <c r="F1215" s="62"/>
      <c r="G1215" s="62"/>
    </row>
    <row r="1216" spans="1:57" ht="12" hidden="1" customHeight="1" outlineLevel="3" x14ac:dyDescent="0.2">
      <c r="A1216" s="61" t="s">
        <v>472</v>
      </c>
      <c r="B1216" s="45"/>
      <c r="C1216" s="45"/>
      <c r="D1216" s="45"/>
      <c r="E1216" s="46">
        <v>423701.07</v>
      </c>
      <c r="F1216" s="45"/>
      <c r="G1216" s="45"/>
    </row>
    <row r="1217" spans="1:7" ht="12" hidden="1" customHeight="1" outlineLevel="4" x14ac:dyDescent="0.2">
      <c r="A1217" s="60" t="s">
        <v>472</v>
      </c>
      <c r="B1217" s="45"/>
      <c r="C1217" s="45"/>
      <c r="D1217" s="45"/>
      <c r="E1217" s="46">
        <v>423701.07</v>
      </c>
      <c r="F1217" s="45"/>
      <c r="G1217" s="45"/>
    </row>
    <row r="1218" spans="1:7" ht="12" hidden="1" customHeight="1" outlineLevel="3" x14ac:dyDescent="0.2">
      <c r="A1218" s="61" t="s">
        <v>472</v>
      </c>
      <c r="B1218" s="45"/>
      <c r="C1218" s="45"/>
      <c r="D1218" s="45"/>
      <c r="E1218" s="59">
        <v>-423701.07</v>
      </c>
      <c r="F1218" s="45"/>
      <c r="G1218" s="45"/>
    </row>
    <row r="1219" spans="1:7" ht="12" hidden="1" customHeight="1" outlineLevel="4" x14ac:dyDescent="0.2">
      <c r="A1219" s="60" t="s">
        <v>472</v>
      </c>
      <c r="B1219" s="45"/>
      <c r="C1219" s="45"/>
      <c r="D1219" s="45"/>
      <c r="E1219" s="59">
        <v>-423701.07</v>
      </c>
      <c r="F1219" s="45"/>
      <c r="G1219" s="45"/>
    </row>
    <row r="1220" spans="1:7" ht="12" hidden="1" customHeight="1" outlineLevel="2" collapsed="1" x14ac:dyDescent="0.2">
      <c r="A1220" s="63" t="s">
        <v>479</v>
      </c>
      <c r="B1220" s="62"/>
      <c r="C1220" s="62"/>
      <c r="D1220" s="62"/>
      <c r="E1220" s="62"/>
      <c r="F1220" s="62"/>
      <c r="G1220" s="62"/>
    </row>
    <row r="1221" spans="1:7" ht="12" hidden="1" customHeight="1" outlineLevel="3" x14ac:dyDescent="0.2">
      <c r="A1221" s="61" t="s">
        <v>472</v>
      </c>
      <c r="B1221" s="45"/>
      <c r="C1221" s="45"/>
      <c r="D1221" s="45"/>
      <c r="E1221" s="46">
        <v>860796.67</v>
      </c>
      <c r="F1221" s="45"/>
      <c r="G1221" s="45"/>
    </row>
    <row r="1222" spans="1:7" ht="12" hidden="1" customHeight="1" outlineLevel="4" x14ac:dyDescent="0.2">
      <c r="A1222" s="60" t="s">
        <v>472</v>
      </c>
      <c r="B1222" s="45"/>
      <c r="C1222" s="45"/>
      <c r="D1222" s="45"/>
      <c r="E1222" s="46">
        <v>860796.67</v>
      </c>
      <c r="F1222" s="45"/>
      <c r="G1222" s="45"/>
    </row>
    <row r="1223" spans="1:7" ht="12" hidden="1" customHeight="1" outlineLevel="3" x14ac:dyDescent="0.2">
      <c r="A1223" s="61" t="s">
        <v>472</v>
      </c>
      <c r="B1223" s="45"/>
      <c r="C1223" s="45"/>
      <c r="D1223" s="45"/>
      <c r="E1223" s="59">
        <v>-860796.67</v>
      </c>
      <c r="F1223" s="45"/>
      <c r="G1223" s="45"/>
    </row>
    <row r="1224" spans="1:7" ht="12" hidden="1" customHeight="1" outlineLevel="4" x14ac:dyDescent="0.2">
      <c r="A1224" s="60" t="s">
        <v>472</v>
      </c>
      <c r="B1224" s="45"/>
      <c r="C1224" s="45"/>
      <c r="D1224" s="45"/>
      <c r="E1224" s="59">
        <v>-860796.67</v>
      </c>
      <c r="F1224" s="45"/>
      <c r="G1224" s="45"/>
    </row>
    <row r="1225" spans="1:7" ht="12" hidden="1" customHeight="1" outlineLevel="2" collapsed="1" x14ac:dyDescent="0.2">
      <c r="A1225" s="63" t="s">
        <v>478</v>
      </c>
      <c r="B1225" s="62"/>
      <c r="C1225" s="62"/>
      <c r="D1225" s="62"/>
      <c r="E1225" s="62"/>
      <c r="F1225" s="62"/>
      <c r="G1225" s="62"/>
    </row>
    <row r="1226" spans="1:7" ht="12" hidden="1" customHeight="1" outlineLevel="3" x14ac:dyDescent="0.2">
      <c r="A1226" s="61" t="s">
        <v>472</v>
      </c>
      <c r="B1226" s="45"/>
      <c r="C1226" s="45"/>
      <c r="D1226" s="45"/>
      <c r="E1226" s="66">
        <v>135.04</v>
      </c>
      <c r="F1226" s="45"/>
      <c r="G1226" s="45"/>
    </row>
    <row r="1227" spans="1:7" ht="12" hidden="1" customHeight="1" outlineLevel="4" x14ac:dyDescent="0.2">
      <c r="A1227" s="60" t="s">
        <v>472</v>
      </c>
      <c r="B1227" s="45"/>
      <c r="C1227" s="45"/>
      <c r="D1227" s="45"/>
      <c r="E1227" s="66">
        <v>135.04</v>
      </c>
      <c r="F1227" s="45"/>
      <c r="G1227" s="45"/>
    </row>
    <row r="1228" spans="1:7" ht="12" hidden="1" customHeight="1" outlineLevel="3" x14ac:dyDescent="0.2">
      <c r="A1228" s="61" t="s">
        <v>472</v>
      </c>
      <c r="B1228" s="45"/>
      <c r="C1228" s="45"/>
      <c r="D1228" s="45"/>
      <c r="E1228" s="65">
        <v>-135.04</v>
      </c>
      <c r="F1228" s="45"/>
      <c r="G1228" s="45"/>
    </row>
    <row r="1229" spans="1:7" ht="12" hidden="1" customHeight="1" outlineLevel="4" x14ac:dyDescent="0.2">
      <c r="A1229" s="60" t="s">
        <v>472</v>
      </c>
      <c r="B1229" s="45"/>
      <c r="C1229" s="45"/>
      <c r="D1229" s="45"/>
      <c r="E1229" s="65">
        <v>-135.04</v>
      </c>
      <c r="F1229" s="45"/>
      <c r="G1229" s="45"/>
    </row>
    <row r="1230" spans="1:7" ht="12" hidden="1" customHeight="1" outlineLevel="2" collapsed="1" x14ac:dyDescent="0.2">
      <c r="A1230" s="63" t="s">
        <v>32</v>
      </c>
      <c r="B1230" s="62"/>
      <c r="C1230" s="62"/>
      <c r="D1230" s="62"/>
      <c r="E1230" s="62"/>
      <c r="F1230" s="62"/>
      <c r="G1230" s="62"/>
    </row>
    <row r="1231" spans="1:7" ht="12" hidden="1" customHeight="1" outlineLevel="3" x14ac:dyDescent="0.2">
      <c r="A1231" s="61" t="s">
        <v>472</v>
      </c>
      <c r="B1231" s="45"/>
      <c r="C1231" s="45"/>
      <c r="D1231" s="45"/>
      <c r="E1231" s="46">
        <v>1751459.69</v>
      </c>
      <c r="F1231" s="45"/>
      <c r="G1231" s="45"/>
    </row>
    <row r="1232" spans="1:7" ht="12" hidden="1" customHeight="1" outlineLevel="4" x14ac:dyDescent="0.2">
      <c r="A1232" s="60" t="s">
        <v>472</v>
      </c>
      <c r="B1232" s="45"/>
      <c r="C1232" s="45"/>
      <c r="D1232" s="45"/>
      <c r="E1232" s="46">
        <v>1751459.69</v>
      </c>
      <c r="F1232" s="45"/>
      <c r="G1232" s="45"/>
    </row>
    <row r="1233" spans="1:7" ht="12" hidden="1" customHeight="1" outlineLevel="3" x14ac:dyDescent="0.2">
      <c r="A1233" s="61" t="s">
        <v>472</v>
      </c>
      <c r="B1233" s="45"/>
      <c r="C1233" s="45"/>
      <c r="D1233" s="45"/>
      <c r="E1233" s="59">
        <v>-1751459.69</v>
      </c>
      <c r="F1233" s="45"/>
      <c r="G1233" s="45"/>
    </row>
    <row r="1234" spans="1:7" ht="12" hidden="1" customHeight="1" outlineLevel="4" x14ac:dyDescent="0.2">
      <c r="A1234" s="60" t="s">
        <v>472</v>
      </c>
      <c r="B1234" s="45"/>
      <c r="C1234" s="45"/>
      <c r="D1234" s="45"/>
      <c r="E1234" s="59">
        <v>-1751459.69</v>
      </c>
      <c r="F1234" s="45"/>
      <c r="G1234" s="45"/>
    </row>
    <row r="1235" spans="1:7" ht="12" hidden="1" customHeight="1" outlineLevel="2" collapsed="1" x14ac:dyDescent="0.2">
      <c r="A1235" s="63" t="s">
        <v>477</v>
      </c>
      <c r="B1235" s="62"/>
      <c r="C1235" s="62"/>
      <c r="D1235" s="64">
        <v>6453607.1100000003</v>
      </c>
      <c r="E1235" s="64">
        <v>6453607.1100000003</v>
      </c>
      <c r="F1235" s="62"/>
      <c r="G1235" s="62"/>
    </row>
    <row r="1236" spans="1:7" ht="12" hidden="1" customHeight="1" outlineLevel="3" x14ac:dyDescent="0.2">
      <c r="A1236" s="61" t="s">
        <v>472</v>
      </c>
      <c r="B1236" s="45"/>
      <c r="C1236" s="45"/>
      <c r="D1236" s="45"/>
      <c r="E1236" s="46">
        <v>9446628.8300000001</v>
      </c>
      <c r="F1236" s="45"/>
      <c r="G1236" s="45"/>
    </row>
    <row r="1237" spans="1:7" ht="12" hidden="1" customHeight="1" outlineLevel="4" x14ac:dyDescent="0.2">
      <c r="A1237" s="60" t="s">
        <v>472</v>
      </c>
      <c r="B1237" s="45"/>
      <c r="C1237" s="45"/>
      <c r="D1237" s="45"/>
      <c r="E1237" s="46">
        <v>9446628.8300000001</v>
      </c>
      <c r="F1237" s="45"/>
      <c r="G1237" s="45"/>
    </row>
    <row r="1238" spans="1:7" ht="12" hidden="1" customHeight="1" outlineLevel="3" x14ac:dyDescent="0.2">
      <c r="A1238" s="61" t="s">
        <v>472</v>
      </c>
      <c r="B1238" s="45"/>
      <c r="C1238" s="45"/>
      <c r="D1238" s="45"/>
      <c r="E1238" s="59">
        <v>-2993021.72</v>
      </c>
      <c r="F1238" s="45"/>
      <c r="G1238" s="45"/>
    </row>
    <row r="1239" spans="1:7" ht="12" hidden="1" customHeight="1" outlineLevel="4" x14ac:dyDescent="0.2">
      <c r="A1239" s="60" t="s">
        <v>472</v>
      </c>
      <c r="B1239" s="45"/>
      <c r="C1239" s="45"/>
      <c r="D1239" s="45"/>
      <c r="E1239" s="59">
        <v>-2993021.72</v>
      </c>
      <c r="F1239" s="45"/>
      <c r="G1239" s="45"/>
    </row>
    <row r="1240" spans="1:7" ht="23.25" hidden="1" customHeight="1" outlineLevel="3" x14ac:dyDescent="0.2">
      <c r="A1240" s="61" t="s">
        <v>393</v>
      </c>
      <c r="B1240" s="45"/>
      <c r="C1240" s="45"/>
      <c r="D1240" s="46">
        <v>4985955.8</v>
      </c>
      <c r="E1240" s="45"/>
      <c r="F1240" s="45"/>
      <c r="G1240" s="45"/>
    </row>
    <row r="1241" spans="1:7" ht="12" hidden="1" customHeight="1" outlineLevel="4" x14ac:dyDescent="0.2">
      <c r="A1241" s="60" t="s">
        <v>472</v>
      </c>
      <c r="B1241" s="45"/>
      <c r="C1241" s="45"/>
      <c r="D1241" s="46">
        <v>4985955.8</v>
      </c>
      <c r="E1241" s="45"/>
      <c r="F1241" s="45"/>
      <c r="G1241" s="45"/>
    </row>
    <row r="1242" spans="1:7" ht="12" hidden="1" customHeight="1" outlineLevel="3" x14ac:dyDescent="0.2">
      <c r="A1242" s="61" t="s">
        <v>392</v>
      </c>
      <c r="B1242" s="45"/>
      <c r="C1242" s="45"/>
      <c r="D1242" s="46">
        <v>1467651.31</v>
      </c>
      <c r="E1242" s="45"/>
      <c r="F1242" s="45"/>
      <c r="G1242" s="45"/>
    </row>
    <row r="1243" spans="1:7" ht="12" hidden="1" customHeight="1" outlineLevel="4" x14ac:dyDescent="0.2">
      <c r="A1243" s="60" t="s">
        <v>472</v>
      </c>
      <c r="B1243" s="45"/>
      <c r="C1243" s="45"/>
      <c r="D1243" s="46">
        <v>1467651.31</v>
      </c>
      <c r="E1243" s="45"/>
      <c r="F1243" s="45"/>
      <c r="G1243" s="45"/>
    </row>
    <row r="1244" spans="1:7" ht="12" hidden="1" customHeight="1" outlineLevel="2" collapsed="1" x14ac:dyDescent="0.2">
      <c r="A1244" s="63" t="s">
        <v>476</v>
      </c>
      <c r="B1244" s="62"/>
      <c r="C1244" s="62"/>
      <c r="D1244" s="62"/>
      <c r="E1244" s="62"/>
      <c r="F1244" s="62"/>
      <c r="G1244" s="62"/>
    </row>
    <row r="1245" spans="1:7" ht="12" hidden="1" customHeight="1" outlineLevel="3" x14ac:dyDescent="0.2">
      <c r="A1245" s="61" t="s">
        <v>472</v>
      </c>
      <c r="B1245" s="45"/>
      <c r="C1245" s="45"/>
      <c r="D1245" s="45"/>
      <c r="E1245" s="46">
        <v>238884.24</v>
      </c>
      <c r="F1245" s="45"/>
      <c r="G1245" s="45"/>
    </row>
    <row r="1246" spans="1:7" ht="12" hidden="1" customHeight="1" outlineLevel="4" x14ac:dyDescent="0.2">
      <c r="A1246" s="60" t="s">
        <v>472</v>
      </c>
      <c r="B1246" s="45"/>
      <c r="C1246" s="45"/>
      <c r="D1246" s="45"/>
      <c r="E1246" s="46">
        <v>238884.24</v>
      </c>
      <c r="F1246" s="45"/>
      <c r="G1246" s="45"/>
    </row>
    <row r="1247" spans="1:7" ht="12" hidden="1" customHeight="1" outlineLevel="3" x14ac:dyDescent="0.2">
      <c r="A1247" s="61" t="s">
        <v>472</v>
      </c>
      <c r="B1247" s="45"/>
      <c r="C1247" s="45"/>
      <c r="D1247" s="45"/>
      <c r="E1247" s="59">
        <v>-238884.24</v>
      </c>
      <c r="F1247" s="45"/>
      <c r="G1247" s="45"/>
    </row>
    <row r="1248" spans="1:7" ht="12" hidden="1" customHeight="1" outlineLevel="4" x14ac:dyDescent="0.2">
      <c r="A1248" s="60" t="s">
        <v>472</v>
      </c>
      <c r="B1248" s="45"/>
      <c r="C1248" s="45"/>
      <c r="D1248" s="45"/>
      <c r="E1248" s="59">
        <v>-238884.24</v>
      </c>
      <c r="F1248" s="45"/>
      <c r="G1248" s="45"/>
    </row>
    <row r="1249" spans="1:7" ht="12" hidden="1" customHeight="1" outlineLevel="2" collapsed="1" x14ac:dyDescent="0.2">
      <c r="A1249" s="63" t="s">
        <v>475</v>
      </c>
      <c r="B1249" s="62"/>
      <c r="C1249" s="62"/>
      <c r="D1249" s="62"/>
      <c r="E1249" s="62"/>
      <c r="F1249" s="62"/>
      <c r="G1249" s="62"/>
    </row>
    <row r="1250" spans="1:7" ht="12" hidden="1" customHeight="1" outlineLevel="3" x14ac:dyDescent="0.2">
      <c r="A1250" s="61" t="s">
        <v>472</v>
      </c>
      <c r="B1250" s="45"/>
      <c r="C1250" s="45"/>
      <c r="D1250" s="45"/>
      <c r="E1250" s="46">
        <v>185602.33</v>
      </c>
      <c r="F1250" s="45"/>
      <c r="G1250" s="45"/>
    </row>
    <row r="1251" spans="1:7" ht="12" hidden="1" customHeight="1" outlineLevel="4" x14ac:dyDescent="0.2">
      <c r="A1251" s="60" t="s">
        <v>472</v>
      </c>
      <c r="B1251" s="45"/>
      <c r="C1251" s="45"/>
      <c r="D1251" s="45"/>
      <c r="E1251" s="46">
        <v>185602.33</v>
      </c>
      <c r="F1251" s="45"/>
      <c r="G1251" s="45"/>
    </row>
    <row r="1252" spans="1:7" ht="12" hidden="1" customHeight="1" outlineLevel="3" x14ac:dyDescent="0.2">
      <c r="A1252" s="61" t="s">
        <v>472</v>
      </c>
      <c r="B1252" s="45"/>
      <c r="C1252" s="45"/>
      <c r="D1252" s="45"/>
      <c r="E1252" s="59">
        <v>-185602.33</v>
      </c>
      <c r="F1252" s="45"/>
      <c r="G1252" s="45"/>
    </row>
    <row r="1253" spans="1:7" ht="12" hidden="1" customHeight="1" outlineLevel="4" x14ac:dyDescent="0.2">
      <c r="A1253" s="60" t="s">
        <v>472</v>
      </c>
      <c r="B1253" s="45"/>
      <c r="C1253" s="45"/>
      <c r="D1253" s="45"/>
      <c r="E1253" s="59">
        <v>-185602.33</v>
      </c>
      <c r="F1253" s="45"/>
      <c r="G1253" s="45"/>
    </row>
    <row r="1254" spans="1:7" ht="12" customHeight="1" outlineLevel="1" collapsed="1" x14ac:dyDescent="0.2">
      <c r="A1254" s="50" t="s">
        <v>413</v>
      </c>
      <c r="B1254" s="48"/>
      <c r="C1254" s="48"/>
      <c r="D1254" s="68">
        <v>6057739.2800000003</v>
      </c>
      <c r="E1254" s="49">
        <v>6057739.2800000003</v>
      </c>
      <c r="F1254" s="48"/>
      <c r="G1254" s="48"/>
    </row>
    <row r="1255" spans="1:7" ht="12" hidden="1" customHeight="1" outlineLevel="2" collapsed="1" x14ac:dyDescent="0.2">
      <c r="A1255" s="63" t="s">
        <v>480</v>
      </c>
      <c r="B1255" s="62"/>
      <c r="C1255" s="62"/>
      <c r="D1255" s="62"/>
      <c r="E1255" s="62"/>
      <c r="F1255" s="62"/>
      <c r="G1255" s="62"/>
    </row>
    <row r="1256" spans="1:7" ht="12" hidden="1" customHeight="1" outlineLevel="3" x14ac:dyDescent="0.2">
      <c r="A1256" s="61" t="s">
        <v>472</v>
      </c>
      <c r="B1256" s="45"/>
      <c r="C1256" s="45"/>
      <c r="D1256" s="45"/>
      <c r="E1256" s="66">
        <v>6.59</v>
      </c>
      <c r="F1256" s="45"/>
      <c r="G1256" s="45"/>
    </row>
    <row r="1257" spans="1:7" ht="12" hidden="1" customHeight="1" outlineLevel="4" x14ac:dyDescent="0.2">
      <c r="A1257" s="60" t="s">
        <v>472</v>
      </c>
      <c r="B1257" s="45"/>
      <c r="C1257" s="45"/>
      <c r="D1257" s="45"/>
      <c r="E1257" s="66">
        <v>6.59</v>
      </c>
      <c r="F1257" s="45"/>
      <c r="G1257" s="45"/>
    </row>
    <row r="1258" spans="1:7" ht="12" hidden="1" customHeight="1" outlineLevel="3" x14ac:dyDescent="0.2">
      <c r="A1258" s="61" t="s">
        <v>472</v>
      </c>
      <c r="B1258" s="45"/>
      <c r="C1258" s="45"/>
      <c r="D1258" s="45"/>
      <c r="E1258" s="65">
        <v>-6.59</v>
      </c>
      <c r="F1258" s="45"/>
      <c r="G1258" s="45"/>
    </row>
    <row r="1259" spans="1:7" ht="12" hidden="1" customHeight="1" outlineLevel="4" x14ac:dyDescent="0.2">
      <c r="A1259" s="60" t="s">
        <v>472</v>
      </c>
      <c r="B1259" s="45"/>
      <c r="C1259" s="45"/>
      <c r="D1259" s="45"/>
      <c r="E1259" s="65">
        <v>-6.59</v>
      </c>
      <c r="F1259" s="45"/>
      <c r="G1259" s="45"/>
    </row>
    <row r="1260" spans="1:7" ht="12" hidden="1" customHeight="1" outlineLevel="2" collapsed="1" x14ac:dyDescent="0.2">
      <c r="A1260" s="63" t="s">
        <v>30</v>
      </c>
      <c r="B1260" s="62"/>
      <c r="C1260" s="62"/>
      <c r="D1260" s="62"/>
      <c r="E1260" s="62"/>
      <c r="F1260" s="62"/>
      <c r="G1260" s="62"/>
    </row>
    <row r="1261" spans="1:7" ht="12" hidden="1" customHeight="1" outlineLevel="3" x14ac:dyDescent="0.2">
      <c r="A1261" s="61" t="s">
        <v>472</v>
      </c>
      <c r="B1261" s="45"/>
      <c r="C1261" s="45"/>
      <c r="D1261" s="45"/>
      <c r="E1261" s="46">
        <v>397777.18</v>
      </c>
      <c r="F1261" s="45"/>
      <c r="G1261" s="45"/>
    </row>
    <row r="1262" spans="1:7" ht="12" hidden="1" customHeight="1" outlineLevel="4" x14ac:dyDescent="0.2">
      <c r="A1262" s="60" t="s">
        <v>472</v>
      </c>
      <c r="B1262" s="45"/>
      <c r="C1262" s="45"/>
      <c r="D1262" s="45"/>
      <c r="E1262" s="46">
        <v>397777.18</v>
      </c>
      <c r="F1262" s="45"/>
      <c r="G1262" s="45"/>
    </row>
    <row r="1263" spans="1:7" ht="12" hidden="1" customHeight="1" outlineLevel="3" x14ac:dyDescent="0.2">
      <c r="A1263" s="61" t="s">
        <v>472</v>
      </c>
      <c r="B1263" s="45"/>
      <c r="C1263" s="45"/>
      <c r="D1263" s="45"/>
      <c r="E1263" s="59">
        <v>-397777.18</v>
      </c>
      <c r="F1263" s="45"/>
      <c r="G1263" s="45"/>
    </row>
    <row r="1264" spans="1:7" ht="12" hidden="1" customHeight="1" outlineLevel="4" x14ac:dyDescent="0.2">
      <c r="A1264" s="60" t="s">
        <v>472</v>
      </c>
      <c r="B1264" s="45"/>
      <c r="C1264" s="45"/>
      <c r="D1264" s="45"/>
      <c r="E1264" s="59">
        <v>-397777.18</v>
      </c>
      <c r="F1264" s="45"/>
      <c r="G1264" s="45"/>
    </row>
    <row r="1265" spans="1:7" ht="12" hidden="1" customHeight="1" outlineLevel="2" collapsed="1" x14ac:dyDescent="0.2">
      <c r="A1265" s="63" t="s">
        <v>479</v>
      </c>
      <c r="B1265" s="62"/>
      <c r="C1265" s="62"/>
      <c r="D1265" s="62"/>
      <c r="E1265" s="62"/>
      <c r="F1265" s="62"/>
      <c r="G1265" s="62"/>
    </row>
    <row r="1266" spans="1:7" ht="12" hidden="1" customHeight="1" outlineLevel="3" x14ac:dyDescent="0.2">
      <c r="A1266" s="61" t="s">
        <v>472</v>
      </c>
      <c r="B1266" s="45"/>
      <c r="C1266" s="45"/>
      <c r="D1266" s="45"/>
      <c r="E1266" s="46">
        <v>808263.57</v>
      </c>
      <c r="F1266" s="45"/>
      <c r="G1266" s="45"/>
    </row>
    <row r="1267" spans="1:7" ht="12" hidden="1" customHeight="1" outlineLevel="4" x14ac:dyDescent="0.2">
      <c r="A1267" s="60" t="s">
        <v>472</v>
      </c>
      <c r="B1267" s="45"/>
      <c r="C1267" s="45"/>
      <c r="D1267" s="45"/>
      <c r="E1267" s="46">
        <v>808263.57</v>
      </c>
      <c r="F1267" s="45"/>
      <c r="G1267" s="45"/>
    </row>
    <row r="1268" spans="1:7" ht="12" hidden="1" customHeight="1" outlineLevel="3" x14ac:dyDescent="0.2">
      <c r="A1268" s="61" t="s">
        <v>472</v>
      </c>
      <c r="B1268" s="45"/>
      <c r="C1268" s="45"/>
      <c r="D1268" s="45"/>
      <c r="E1268" s="59">
        <v>-808263.57</v>
      </c>
      <c r="F1268" s="45"/>
      <c r="G1268" s="45"/>
    </row>
    <row r="1269" spans="1:7" ht="12" hidden="1" customHeight="1" outlineLevel="4" x14ac:dyDescent="0.2">
      <c r="A1269" s="60" t="s">
        <v>472</v>
      </c>
      <c r="B1269" s="45"/>
      <c r="C1269" s="45"/>
      <c r="D1269" s="45"/>
      <c r="E1269" s="59">
        <v>-808263.57</v>
      </c>
      <c r="F1269" s="45"/>
      <c r="G1269" s="45"/>
    </row>
    <row r="1270" spans="1:7" ht="12" hidden="1" customHeight="1" outlineLevel="2" collapsed="1" x14ac:dyDescent="0.2">
      <c r="A1270" s="63" t="s">
        <v>478</v>
      </c>
      <c r="B1270" s="62"/>
      <c r="C1270" s="62"/>
      <c r="D1270" s="62"/>
      <c r="E1270" s="62"/>
      <c r="F1270" s="62"/>
      <c r="G1270" s="62"/>
    </row>
    <row r="1271" spans="1:7" ht="12" hidden="1" customHeight="1" outlineLevel="3" x14ac:dyDescent="0.2">
      <c r="A1271" s="61" t="s">
        <v>472</v>
      </c>
      <c r="B1271" s="45"/>
      <c r="C1271" s="45"/>
      <c r="D1271" s="45"/>
      <c r="E1271" s="66">
        <v>127.61</v>
      </c>
      <c r="F1271" s="45"/>
      <c r="G1271" s="45"/>
    </row>
    <row r="1272" spans="1:7" ht="12" hidden="1" customHeight="1" outlineLevel="4" x14ac:dyDescent="0.2">
      <c r="A1272" s="60" t="s">
        <v>472</v>
      </c>
      <c r="B1272" s="45"/>
      <c r="C1272" s="45"/>
      <c r="D1272" s="45"/>
      <c r="E1272" s="66">
        <v>127.61</v>
      </c>
      <c r="F1272" s="45"/>
      <c r="G1272" s="45"/>
    </row>
    <row r="1273" spans="1:7" ht="12" hidden="1" customHeight="1" outlineLevel="3" x14ac:dyDescent="0.2">
      <c r="A1273" s="61" t="s">
        <v>472</v>
      </c>
      <c r="B1273" s="45"/>
      <c r="C1273" s="45"/>
      <c r="D1273" s="45"/>
      <c r="E1273" s="65">
        <v>-127.61</v>
      </c>
      <c r="F1273" s="45"/>
      <c r="G1273" s="45"/>
    </row>
    <row r="1274" spans="1:7" ht="12" hidden="1" customHeight="1" outlineLevel="4" x14ac:dyDescent="0.2">
      <c r="A1274" s="60" t="s">
        <v>472</v>
      </c>
      <c r="B1274" s="45"/>
      <c r="C1274" s="45"/>
      <c r="D1274" s="45"/>
      <c r="E1274" s="65">
        <v>-127.61</v>
      </c>
      <c r="F1274" s="45"/>
      <c r="G1274" s="45"/>
    </row>
    <row r="1275" spans="1:7" ht="12" hidden="1" customHeight="1" outlineLevel="2" collapsed="1" x14ac:dyDescent="0.2">
      <c r="A1275" s="63" t="s">
        <v>32</v>
      </c>
      <c r="B1275" s="62"/>
      <c r="C1275" s="62"/>
      <c r="D1275" s="62"/>
      <c r="E1275" s="62"/>
      <c r="F1275" s="62"/>
      <c r="G1275" s="62"/>
    </row>
    <row r="1276" spans="1:7" ht="12" hidden="1" customHeight="1" outlineLevel="3" x14ac:dyDescent="0.2">
      <c r="A1276" s="61" t="s">
        <v>472</v>
      </c>
      <c r="B1276" s="45"/>
      <c r="C1276" s="45"/>
      <c r="D1276" s="45"/>
      <c r="E1276" s="46">
        <v>1649693.49</v>
      </c>
      <c r="F1276" s="45"/>
      <c r="G1276" s="45"/>
    </row>
    <row r="1277" spans="1:7" ht="12" hidden="1" customHeight="1" outlineLevel="4" x14ac:dyDescent="0.2">
      <c r="A1277" s="60" t="s">
        <v>472</v>
      </c>
      <c r="B1277" s="45"/>
      <c r="C1277" s="45"/>
      <c r="D1277" s="45"/>
      <c r="E1277" s="46">
        <v>1649693.49</v>
      </c>
      <c r="F1277" s="45"/>
      <c r="G1277" s="45"/>
    </row>
    <row r="1278" spans="1:7" ht="12" hidden="1" customHeight="1" outlineLevel="3" x14ac:dyDescent="0.2">
      <c r="A1278" s="61" t="s">
        <v>472</v>
      </c>
      <c r="B1278" s="45"/>
      <c r="C1278" s="45"/>
      <c r="D1278" s="45"/>
      <c r="E1278" s="59">
        <v>-1649693.49</v>
      </c>
      <c r="F1278" s="45"/>
      <c r="G1278" s="45"/>
    </row>
    <row r="1279" spans="1:7" ht="12" hidden="1" customHeight="1" outlineLevel="4" x14ac:dyDescent="0.2">
      <c r="A1279" s="60" t="s">
        <v>472</v>
      </c>
      <c r="B1279" s="45"/>
      <c r="C1279" s="45"/>
      <c r="D1279" s="45"/>
      <c r="E1279" s="59">
        <v>-1649693.49</v>
      </c>
      <c r="F1279" s="45"/>
      <c r="G1279" s="45"/>
    </row>
    <row r="1280" spans="1:7" ht="12" hidden="1" customHeight="1" outlineLevel="2" collapsed="1" x14ac:dyDescent="0.2">
      <c r="A1280" s="63" t="s">
        <v>477</v>
      </c>
      <c r="B1280" s="62"/>
      <c r="C1280" s="62"/>
      <c r="D1280" s="64">
        <v>6057739.2800000003</v>
      </c>
      <c r="E1280" s="64">
        <v>6057739.2800000003</v>
      </c>
      <c r="F1280" s="62"/>
      <c r="G1280" s="62"/>
    </row>
    <row r="1281" spans="1:7" ht="12" hidden="1" customHeight="1" outlineLevel="3" x14ac:dyDescent="0.2">
      <c r="A1281" s="61" t="s">
        <v>472</v>
      </c>
      <c r="B1281" s="45"/>
      <c r="C1281" s="45"/>
      <c r="D1281" s="45"/>
      <c r="E1281" s="46">
        <v>8861166.8499999996</v>
      </c>
      <c r="F1281" s="45"/>
      <c r="G1281" s="45"/>
    </row>
    <row r="1282" spans="1:7" ht="12" hidden="1" customHeight="1" outlineLevel="4" x14ac:dyDescent="0.2">
      <c r="A1282" s="60" t="s">
        <v>472</v>
      </c>
      <c r="B1282" s="45"/>
      <c r="C1282" s="45"/>
      <c r="D1282" s="45"/>
      <c r="E1282" s="46">
        <v>8861166.8499999996</v>
      </c>
      <c r="F1282" s="45"/>
      <c r="G1282" s="45"/>
    </row>
    <row r="1283" spans="1:7" ht="12" hidden="1" customHeight="1" outlineLevel="3" x14ac:dyDescent="0.2">
      <c r="A1283" s="61" t="s">
        <v>472</v>
      </c>
      <c r="B1283" s="45"/>
      <c r="C1283" s="45"/>
      <c r="D1283" s="45"/>
      <c r="E1283" s="59">
        <v>-2803427.57</v>
      </c>
      <c r="F1283" s="45"/>
      <c r="G1283" s="45"/>
    </row>
    <row r="1284" spans="1:7" ht="12" hidden="1" customHeight="1" outlineLevel="4" x14ac:dyDescent="0.2">
      <c r="A1284" s="60" t="s">
        <v>472</v>
      </c>
      <c r="B1284" s="45"/>
      <c r="C1284" s="45"/>
      <c r="D1284" s="45"/>
      <c r="E1284" s="59">
        <v>-2803427.57</v>
      </c>
      <c r="F1284" s="45"/>
      <c r="G1284" s="45"/>
    </row>
    <row r="1285" spans="1:7" ht="23.25" hidden="1" customHeight="1" outlineLevel="3" x14ac:dyDescent="0.2">
      <c r="A1285" s="61" t="s">
        <v>393</v>
      </c>
      <c r="B1285" s="45"/>
      <c r="C1285" s="45"/>
      <c r="D1285" s="46">
        <v>4680881.05</v>
      </c>
      <c r="E1285" s="45"/>
      <c r="F1285" s="45"/>
      <c r="G1285" s="45"/>
    </row>
    <row r="1286" spans="1:7" ht="12" hidden="1" customHeight="1" outlineLevel="4" x14ac:dyDescent="0.2">
      <c r="A1286" s="60" t="s">
        <v>472</v>
      </c>
      <c r="B1286" s="45"/>
      <c r="C1286" s="45"/>
      <c r="D1286" s="46">
        <v>4680881.05</v>
      </c>
      <c r="E1286" s="45"/>
      <c r="F1286" s="45"/>
      <c r="G1286" s="45"/>
    </row>
    <row r="1287" spans="1:7" ht="12" hidden="1" customHeight="1" outlineLevel="3" x14ac:dyDescent="0.2">
      <c r="A1287" s="61" t="s">
        <v>392</v>
      </c>
      <c r="B1287" s="45"/>
      <c r="C1287" s="45"/>
      <c r="D1287" s="46">
        <v>1376858.23</v>
      </c>
      <c r="E1287" s="45"/>
      <c r="F1287" s="45"/>
      <c r="G1287" s="45"/>
    </row>
    <row r="1288" spans="1:7" ht="12" hidden="1" customHeight="1" outlineLevel="4" x14ac:dyDescent="0.2">
      <c r="A1288" s="60" t="s">
        <v>472</v>
      </c>
      <c r="B1288" s="45"/>
      <c r="C1288" s="45"/>
      <c r="D1288" s="46">
        <v>1376858.23</v>
      </c>
      <c r="E1288" s="45"/>
      <c r="F1288" s="45"/>
      <c r="G1288" s="45"/>
    </row>
    <row r="1289" spans="1:7" ht="12" hidden="1" customHeight="1" outlineLevel="2" collapsed="1" x14ac:dyDescent="0.2">
      <c r="A1289" s="63" t="s">
        <v>476</v>
      </c>
      <c r="B1289" s="62"/>
      <c r="C1289" s="62"/>
      <c r="D1289" s="62"/>
      <c r="E1289" s="62"/>
      <c r="F1289" s="62"/>
      <c r="G1289" s="62"/>
    </row>
    <row r="1290" spans="1:7" ht="12" hidden="1" customHeight="1" outlineLevel="3" x14ac:dyDescent="0.2">
      <c r="A1290" s="61" t="s">
        <v>472</v>
      </c>
      <c r="B1290" s="45"/>
      <c r="C1290" s="45"/>
      <c r="D1290" s="45"/>
      <c r="E1290" s="46">
        <v>224148.88</v>
      </c>
      <c r="F1290" s="45"/>
      <c r="G1290" s="45"/>
    </row>
    <row r="1291" spans="1:7" ht="12" hidden="1" customHeight="1" outlineLevel="4" x14ac:dyDescent="0.2">
      <c r="A1291" s="60" t="s">
        <v>472</v>
      </c>
      <c r="B1291" s="45"/>
      <c r="C1291" s="45"/>
      <c r="D1291" s="45"/>
      <c r="E1291" s="46">
        <v>224148.88</v>
      </c>
      <c r="F1291" s="45"/>
      <c r="G1291" s="45"/>
    </row>
    <row r="1292" spans="1:7" ht="12" hidden="1" customHeight="1" outlineLevel="3" x14ac:dyDescent="0.2">
      <c r="A1292" s="61" t="s">
        <v>472</v>
      </c>
      <c r="B1292" s="45"/>
      <c r="C1292" s="45"/>
      <c r="D1292" s="45"/>
      <c r="E1292" s="59">
        <v>-224148.88</v>
      </c>
      <c r="F1292" s="45"/>
      <c r="G1292" s="45"/>
    </row>
    <row r="1293" spans="1:7" ht="12" hidden="1" customHeight="1" outlineLevel="4" x14ac:dyDescent="0.2">
      <c r="A1293" s="60" t="s">
        <v>472</v>
      </c>
      <c r="B1293" s="45"/>
      <c r="C1293" s="45"/>
      <c r="D1293" s="45"/>
      <c r="E1293" s="59">
        <v>-224148.88</v>
      </c>
      <c r="F1293" s="45"/>
      <c r="G1293" s="45"/>
    </row>
    <row r="1294" spans="1:7" ht="12" hidden="1" customHeight="1" outlineLevel="2" collapsed="1" x14ac:dyDescent="0.2">
      <c r="A1294" s="63" t="s">
        <v>475</v>
      </c>
      <c r="B1294" s="62"/>
      <c r="C1294" s="62"/>
      <c r="D1294" s="62"/>
      <c r="E1294" s="62"/>
      <c r="F1294" s="62"/>
      <c r="G1294" s="62"/>
    </row>
    <row r="1295" spans="1:7" ht="12" hidden="1" customHeight="1" outlineLevel="3" x14ac:dyDescent="0.2">
      <c r="A1295" s="61" t="s">
        <v>472</v>
      </c>
      <c r="B1295" s="45"/>
      <c r="C1295" s="45"/>
      <c r="D1295" s="45"/>
      <c r="E1295" s="46">
        <v>174294.39</v>
      </c>
      <c r="F1295" s="45"/>
      <c r="G1295" s="45"/>
    </row>
    <row r="1296" spans="1:7" ht="12" hidden="1" customHeight="1" outlineLevel="4" x14ac:dyDescent="0.2">
      <c r="A1296" s="60" t="s">
        <v>472</v>
      </c>
      <c r="B1296" s="45"/>
      <c r="C1296" s="45"/>
      <c r="D1296" s="45"/>
      <c r="E1296" s="46">
        <v>174294.39</v>
      </c>
      <c r="F1296" s="45"/>
      <c r="G1296" s="45"/>
    </row>
    <row r="1297" spans="1:42" ht="12" hidden="1" customHeight="1" outlineLevel="3" x14ac:dyDescent="0.2">
      <c r="A1297" s="61" t="s">
        <v>472</v>
      </c>
      <c r="B1297" s="45"/>
      <c r="C1297" s="45"/>
      <c r="D1297" s="45"/>
      <c r="E1297" s="59">
        <v>-174294.39</v>
      </c>
      <c r="F1297" s="45"/>
      <c r="G1297" s="45"/>
    </row>
    <row r="1298" spans="1:42" ht="12" hidden="1" customHeight="1" outlineLevel="4" x14ac:dyDescent="0.2">
      <c r="A1298" s="60" t="s">
        <v>472</v>
      </c>
      <c r="B1298" s="45"/>
      <c r="C1298" s="45"/>
      <c r="D1298" s="45"/>
      <c r="E1298" s="59">
        <v>-174294.39</v>
      </c>
      <c r="F1298" s="45"/>
      <c r="G1298" s="45"/>
    </row>
    <row r="1299" spans="1:42" ht="12" customHeight="1" outlineLevel="1" collapsed="1" x14ac:dyDescent="0.2">
      <c r="A1299" s="79" t="s">
        <v>678</v>
      </c>
      <c r="B1299" s="48"/>
      <c r="C1299" s="48"/>
      <c r="D1299" s="49">
        <v>9859984.5800000001</v>
      </c>
      <c r="E1299" s="49">
        <v>9859984.5800000001</v>
      </c>
      <c r="F1299" s="48"/>
      <c r="G1299" s="48"/>
      <c r="AP1299" s="41" t="s">
        <v>102</v>
      </c>
    </row>
    <row r="1300" spans="1:42" ht="12" hidden="1" customHeight="1" outlineLevel="2" collapsed="1" x14ac:dyDescent="0.2">
      <c r="A1300" s="63" t="s">
        <v>477</v>
      </c>
      <c r="B1300" s="62"/>
      <c r="C1300" s="62"/>
      <c r="D1300" s="64">
        <v>9859984.5800000001</v>
      </c>
      <c r="E1300" s="64">
        <v>9859984.5800000001</v>
      </c>
      <c r="F1300" s="62"/>
      <c r="G1300" s="62"/>
    </row>
    <row r="1301" spans="1:42" ht="12" hidden="1" customHeight="1" outlineLevel="3" x14ac:dyDescent="0.2">
      <c r="A1301" s="61" t="s">
        <v>472</v>
      </c>
      <c r="B1301" s="45"/>
      <c r="C1301" s="45"/>
      <c r="D1301" s="45"/>
      <c r="E1301" s="46">
        <v>9859984.5800000001</v>
      </c>
      <c r="F1301" s="45"/>
      <c r="G1301" s="45"/>
    </row>
    <row r="1302" spans="1:42" ht="12" hidden="1" customHeight="1" outlineLevel="4" x14ac:dyDescent="0.2">
      <c r="A1302" s="60" t="s">
        <v>472</v>
      </c>
      <c r="B1302" s="45"/>
      <c r="C1302" s="45"/>
      <c r="D1302" s="45"/>
      <c r="E1302" s="46">
        <v>9859984.5800000001</v>
      </c>
      <c r="F1302" s="45"/>
      <c r="G1302" s="45"/>
    </row>
    <row r="1303" spans="1:42" ht="12" hidden="1" customHeight="1" outlineLevel="3" x14ac:dyDescent="0.2">
      <c r="A1303" s="61" t="s">
        <v>549</v>
      </c>
      <c r="B1303" s="45"/>
      <c r="C1303" s="45"/>
      <c r="D1303" s="46">
        <v>7612714.0300000003</v>
      </c>
      <c r="E1303" s="45"/>
      <c r="F1303" s="45"/>
      <c r="G1303" s="45"/>
    </row>
    <row r="1304" spans="1:42" ht="12" hidden="1" customHeight="1" outlineLevel="4" x14ac:dyDescent="0.2">
      <c r="A1304" s="60" t="s">
        <v>472</v>
      </c>
      <c r="B1304" s="45"/>
      <c r="C1304" s="45"/>
      <c r="D1304" s="46">
        <v>7612714.0300000003</v>
      </c>
      <c r="E1304" s="45"/>
      <c r="F1304" s="45"/>
      <c r="G1304" s="45"/>
    </row>
    <row r="1305" spans="1:42" ht="12" hidden="1" customHeight="1" outlineLevel="3" x14ac:dyDescent="0.2">
      <c r="A1305" s="61" t="s">
        <v>392</v>
      </c>
      <c r="B1305" s="45"/>
      <c r="C1305" s="45"/>
      <c r="D1305" s="46">
        <v>2247270.5499999998</v>
      </c>
      <c r="E1305" s="45"/>
      <c r="F1305" s="45"/>
      <c r="G1305" s="45"/>
    </row>
    <row r="1306" spans="1:42" ht="12" hidden="1" customHeight="1" outlineLevel="4" x14ac:dyDescent="0.2">
      <c r="A1306" s="60" t="s">
        <v>472</v>
      </c>
      <c r="B1306" s="45"/>
      <c r="C1306" s="45"/>
      <c r="D1306" s="46">
        <v>2247270.5499999998</v>
      </c>
      <c r="E1306" s="45"/>
      <c r="F1306" s="45"/>
      <c r="G1306" s="45"/>
    </row>
    <row r="1307" spans="1:42" ht="12" customHeight="1" outlineLevel="1" collapsed="1" x14ac:dyDescent="0.2">
      <c r="A1307" s="79" t="s">
        <v>412</v>
      </c>
      <c r="B1307" s="48"/>
      <c r="C1307" s="48"/>
      <c r="D1307" s="49">
        <v>208071.65</v>
      </c>
      <c r="E1307" s="49">
        <v>208071.65</v>
      </c>
      <c r="F1307" s="48"/>
      <c r="G1307" s="48"/>
    </row>
    <row r="1308" spans="1:42" ht="12" hidden="1" customHeight="1" outlineLevel="2" collapsed="1" x14ac:dyDescent="0.2">
      <c r="A1308" s="63" t="s">
        <v>477</v>
      </c>
      <c r="B1308" s="62"/>
      <c r="C1308" s="62"/>
      <c r="D1308" s="64">
        <v>208071.65</v>
      </c>
      <c r="E1308" s="64">
        <v>208071.65</v>
      </c>
      <c r="F1308" s="62"/>
      <c r="G1308" s="62"/>
    </row>
    <row r="1309" spans="1:42" ht="12" hidden="1" customHeight="1" outlineLevel="3" x14ac:dyDescent="0.2">
      <c r="A1309" s="61" t="s">
        <v>472</v>
      </c>
      <c r="B1309" s="45"/>
      <c r="C1309" s="45"/>
      <c r="D1309" s="45"/>
      <c r="E1309" s="46">
        <v>216804.85</v>
      </c>
      <c r="F1309" s="45"/>
      <c r="G1309" s="45"/>
    </row>
    <row r="1310" spans="1:42" ht="12" hidden="1" customHeight="1" outlineLevel="4" x14ac:dyDescent="0.2">
      <c r="A1310" s="60" t="s">
        <v>472</v>
      </c>
      <c r="B1310" s="45"/>
      <c r="C1310" s="45"/>
      <c r="D1310" s="45"/>
      <c r="E1310" s="46">
        <v>216804.85</v>
      </c>
      <c r="F1310" s="45"/>
      <c r="G1310" s="45"/>
    </row>
    <row r="1311" spans="1:42" ht="12" hidden="1" customHeight="1" outlineLevel="3" x14ac:dyDescent="0.2">
      <c r="A1311" s="61" t="s">
        <v>472</v>
      </c>
      <c r="B1311" s="45"/>
      <c r="C1311" s="45"/>
      <c r="D1311" s="45"/>
      <c r="E1311" s="59">
        <v>-8733.2000000000007</v>
      </c>
      <c r="F1311" s="45"/>
      <c r="G1311" s="45"/>
    </row>
    <row r="1312" spans="1:42" ht="12" hidden="1" customHeight="1" outlineLevel="4" x14ac:dyDescent="0.2">
      <c r="A1312" s="60" t="s">
        <v>472</v>
      </c>
      <c r="B1312" s="45"/>
      <c r="C1312" s="45"/>
      <c r="D1312" s="45"/>
      <c r="E1312" s="59">
        <v>-8733.2000000000007</v>
      </c>
      <c r="F1312" s="45"/>
      <c r="G1312" s="45"/>
    </row>
    <row r="1313" spans="1:9" ht="23.25" hidden="1" customHeight="1" outlineLevel="3" x14ac:dyDescent="0.2">
      <c r="A1313" s="61" t="s">
        <v>403</v>
      </c>
      <c r="B1313" s="45"/>
      <c r="C1313" s="45"/>
      <c r="D1313" s="83">
        <v>8733.2000000000007</v>
      </c>
      <c r="E1313" s="45"/>
      <c r="F1313" s="45"/>
      <c r="G1313" s="45"/>
      <c r="I1313" s="41" t="s">
        <v>143</v>
      </c>
    </row>
    <row r="1314" spans="1:9" ht="12" hidden="1" customHeight="1" outlineLevel="4" x14ac:dyDescent="0.2">
      <c r="A1314" s="60" t="s">
        <v>472</v>
      </c>
      <c r="B1314" s="45"/>
      <c r="C1314" s="45"/>
      <c r="D1314" s="46">
        <v>8733.2000000000007</v>
      </c>
      <c r="E1314" s="45"/>
      <c r="F1314" s="45"/>
      <c r="G1314" s="45"/>
    </row>
    <row r="1315" spans="1:9" ht="23.25" hidden="1" customHeight="1" outlineLevel="3" x14ac:dyDescent="0.2">
      <c r="A1315" s="61" t="s">
        <v>494</v>
      </c>
      <c r="B1315" s="45"/>
      <c r="C1315" s="45"/>
      <c r="D1315" s="83">
        <v>199338.45</v>
      </c>
      <c r="E1315" s="45"/>
      <c r="F1315" s="45"/>
      <c r="G1315" s="45"/>
    </row>
    <row r="1316" spans="1:9" ht="12" hidden="1" customHeight="1" outlineLevel="4" x14ac:dyDescent="0.2">
      <c r="A1316" s="60" t="s">
        <v>669</v>
      </c>
      <c r="B1316" s="45"/>
      <c r="C1316" s="45"/>
      <c r="D1316" s="46">
        <v>54667.39</v>
      </c>
      <c r="E1316" s="45"/>
      <c r="F1316" s="45"/>
      <c r="G1316" s="45"/>
      <c r="I1316" s="73" t="s">
        <v>164</v>
      </c>
    </row>
    <row r="1317" spans="1:9" ht="12" hidden="1" customHeight="1" outlineLevel="4" x14ac:dyDescent="0.2">
      <c r="A1317" s="60" t="s">
        <v>666</v>
      </c>
      <c r="B1317" s="45"/>
      <c r="C1317" s="45"/>
      <c r="D1317" s="66">
        <v>123.89</v>
      </c>
      <c r="E1317" s="45"/>
      <c r="F1317" s="45"/>
      <c r="G1317" s="45"/>
      <c r="I1317" s="73" t="s">
        <v>177</v>
      </c>
    </row>
    <row r="1318" spans="1:9" ht="12" hidden="1" customHeight="1" outlineLevel="4" x14ac:dyDescent="0.2">
      <c r="A1318" s="60" t="s">
        <v>489</v>
      </c>
      <c r="B1318" s="45"/>
      <c r="C1318" s="45"/>
      <c r="D1318" s="66">
        <v>123.89</v>
      </c>
      <c r="E1318" s="45"/>
      <c r="F1318" s="45"/>
      <c r="G1318" s="45"/>
      <c r="I1318" s="74" t="s">
        <v>179</v>
      </c>
    </row>
    <row r="1319" spans="1:9" ht="12" hidden="1" customHeight="1" outlineLevel="4" x14ac:dyDescent="0.2">
      <c r="A1319" s="60" t="s">
        <v>488</v>
      </c>
      <c r="B1319" s="45"/>
      <c r="C1319" s="45"/>
      <c r="D1319" s="46">
        <v>18663.72</v>
      </c>
      <c r="E1319" s="45"/>
      <c r="F1319" s="45"/>
      <c r="G1319" s="45"/>
      <c r="I1319" s="73" t="s">
        <v>180</v>
      </c>
    </row>
    <row r="1320" spans="1:9" ht="23.25" hidden="1" customHeight="1" outlineLevel="4" x14ac:dyDescent="0.2">
      <c r="A1320" s="60" t="s">
        <v>649</v>
      </c>
      <c r="B1320" s="45"/>
      <c r="C1320" s="45"/>
      <c r="D1320" s="66">
        <v>441.67</v>
      </c>
      <c r="E1320" s="45"/>
      <c r="F1320" s="45"/>
      <c r="G1320" s="45"/>
      <c r="I1320" s="73" t="s">
        <v>146</v>
      </c>
    </row>
    <row r="1321" spans="1:9" ht="12" hidden="1" customHeight="1" outlineLevel="4" x14ac:dyDescent="0.2">
      <c r="A1321" s="60" t="s">
        <v>485</v>
      </c>
      <c r="B1321" s="45"/>
      <c r="C1321" s="45"/>
      <c r="D1321" s="46">
        <v>2026.67</v>
      </c>
      <c r="E1321" s="45"/>
      <c r="F1321" s="45"/>
      <c r="G1321" s="45"/>
      <c r="I1321" s="73" t="s">
        <v>181</v>
      </c>
    </row>
    <row r="1322" spans="1:9" ht="12" hidden="1" customHeight="1" outlineLevel="4" x14ac:dyDescent="0.2">
      <c r="A1322" s="60" t="s">
        <v>645</v>
      </c>
      <c r="B1322" s="45"/>
      <c r="C1322" s="45"/>
      <c r="D1322" s="66">
        <v>191.66</v>
      </c>
      <c r="E1322" s="45"/>
      <c r="F1322" s="45"/>
      <c r="G1322" s="45"/>
      <c r="I1322" s="73" t="s">
        <v>185</v>
      </c>
    </row>
    <row r="1323" spans="1:9" ht="12" hidden="1" customHeight="1" outlineLevel="4" x14ac:dyDescent="0.2">
      <c r="A1323" s="60" t="s">
        <v>644</v>
      </c>
      <c r="B1323" s="45"/>
      <c r="C1323" s="45"/>
      <c r="D1323" s="66">
        <v>191.67</v>
      </c>
      <c r="E1323" s="45"/>
      <c r="F1323" s="45"/>
      <c r="G1323" s="45"/>
      <c r="I1323" s="73" t="s">
        <v>186</v>
      </c>
    </row>
    <row r="1324" spans="1:9" ht="12" hidden="1" customHeight="1" outlineLevel="4" x14ac:dyDescent="0.2">
      <c r="A1324" s="60" t="s">
        <v>630</v>
      </c>
      <c r="B1324" s="45"/>
      <c r="C1324" s="45"/>
      <c r="D1324" s="46">
        <v>1056.67</v>
      </c>
      <c r="E1324" s="45"/>
      <c r="F1324" s="45"/>
      <c r="G1324" s="45"/>
      <c r="I1324" s="73" t="s">
        <v>182</v>
      </c>
    </row>
    <row r="1325" spans="1:9" ht="12" hidden="1" customHeight="1" outlineLevel="4" x14ac:dyDescent="0.2">
      <c r="A1325" s="60" t="s">
        <v>624</v>
      </c>
      <c r="B1325" s="45"/>
      <c r="C1325" s="45"/>
      <c r="D1325" s="66">
        <v>191.67</v>
      </c>
      <c r="E1325" s="45"/>
      <c r="F1325" s="45"/>
      <c r="G1325" s="45"/>
      <c r="I1325" s="74" t="s">
        <v>183</v>
      </c>
    </row>
    <row r="1326" spans="1:9" ht="23.25" hidden="1" customHeight="1" outlineLevel="4" x14ac:dyDescent="0.2">
      <c r="A1326" s="60" t="s">
        <v>619</v>
      </c>
      <c r="B1326" s="45"/>
      <c r="C1326" s="45"/>
      <c r="D1326" s="46">
        <v>18539.830000000002</v>
      </c>
      <c r="E1326" s="45"/>
      <c r="F1326" s="45"/>
      <c r="G1326" s="45"/>
      <c r="I1326" s="73" t="s">
        <v>209</v>
      </c>
    </row>
    <row r="1327" spans="1:9" ht="12" hidden="1" customHeight="1" outlineLevel="4" x14ac:dyDescent="0.2">
      <c r="A1327" s="60" t="s">
        <v>586</v>
      </c>
      <c r="B1327" s="45"/>
      <c r="C1327" s="45"/>
      <c r="D1327" s="46">
        <v>17087.05</v>
      </c>
      <c r="E1327" s="45"/>
      <c r="F1327" s="45"/>
      <c r="G1327" s="45"/>
      <c r="I1327" s="73" t="s">
        <v>262</v>
      </c>
    </row>
    <row r="1328" spans="1:9" ht="12" hidden="1" customHeight="1" outlineLevel="4" x14ac:dyDescent="0.2">
      <c r="A1328" s="60" t="s">
        <v>613</v>
      </c>
      <c r="B1328" s="45"/>
      <c r="C1328" s="45"/>
      <c r="D1328" s="46">
        <v>56709.42</v>
      </c>
      <c r="E1328" s="45"/>
      <c r="F1328" s="45"/>
      <c r="G1328" s="45"/>
      <c r="I1328" s="73" t="s">
        <v>263</v>
      </c>
    </row>
    <row r="1329" spans="1:9" ht="12" hidden="1" customHeight="1" outlineLevel="4" x14ac:dyDescent="0.2">
      <c r="A1329" s="60" t="s">
        <v>612</v>
      </c>
      <c r="B1329" s="45"/>
      <c r="C1329" s="45"/>
      <c r="D1329" s="66">
        <v>971.67</v>
      </c>
      <c r="E1329" s="45"/>
      <c r="F1329" s="45"/>
      <c r="G1329" s="45"/>
      <c r="I1329" s="73" t="s">
        <v>264</v>
      </c>
    </row>
    <row r="1330" spans="1:9" ht="12" hidden="1" customHeight="1" outlineLevel="4" x14ac:dyDescent="0.2">
      <c r="A1330" s="60" t="s">
        <v>610</v>
      </c>
      <c r="B1330" s="45"/>
      <c r="C1330" s="45"/>
      <c r="D1330" s="66">
        <v>971.66</v>
      </c>
      <c r="E1330" s="45"/>
      <c r="F1330" s="45"/>
      <c r="G1330" s="45"/>
      <c r="I1330" s="73" t="s">
        <v>265</v>
      </c>
    </row>
    <row r="1331" spans="1:9" ht="12" hidden="1" customHeight="1" outlineLevel="4" x14ac:dyDescent="0.2">
      <c r="A1331" s="60" t="s">
        <v>609</v>
      </c>
      <c r="B1331" s="45"/>
      <c r="C1331" s="45"/>
      <c r="D1331" s="66">
        <v>971.67</v>
      </c>
      <c r="E1331" s="45"/>
      <c r="F1331" s="45"/>
      <c r="G1331" s="45"/>
      <c r="I1331" s="73" t="s">
        <v>266</v>
      </c>
    </row>
    <row r="1332" spans="1:9" ht="12" hidden="1" customHeight="1" outlineLevel="4" x14ac:dyDescent="0.2">
      <c r="A1332" s="60" t="s">
        <v>608</v>
      </c>
      <c r="B1332" s="45"/>
      <c r="C1332" s="45"/>
      <c r="D1332" s="46">
        <v>1023.58</v>
      </c>
      <c r="E1332" s="45"/>
      <c r="F1332" s="45"/>
      <c r="G1332" s="45"/>
      <c r="I1332" s="73" t="s">
        <v>270</v>
      </c>
    </row>
    <row r="1333" spans="1:9" ht="12" hidden="1" customHeight="1" outlineLevel="4" x14ac:dyDescent="0.2">
      <c r="A1333" s="60" t="s">
        <v>607</v>
      </c>
      <c r="B1333" s="45"/>
      <c r="C1333" s="45"/>
      <c r="D1333" s="66">
        <v>865</v>
      </c>
      <c r="E1333" s="45"/>
      <c r="F1333" s="45"/>
      <c r="G1333" s="45"/>
      <c r="I1333" s="73" t="s">
        <v>271</v>
      </c>
    </row>
    <row r="1334" spans="1:9" ht="12" hidden="1" customHeight="1" outlineLevel="4" x14ac:dyDescent="0.2">
      <c r="A1334" s="60" t="s">
        <v>606</v>
      </c>
      <c r="B1334" s="45"/>
      <c r="C1334" s="45"/>
      <c r="D1334" s="66">
        <v>865</v>
      </c>
      <c r="E1334" s="45"/>
      <c r="F1334" s="45"/>
      <c r="G1334" s="45"/>
      <c r="I1334" s="73" t="s">
        <v>272</v>
      </c>
    </row>
    <row r="1335" spans="1:9" ht="12" hidden="1" customHeight="1" outlineLevel="4" x14ac:dyDescent="0.2">
      <c r="A1335" s="60" t="s">
        <v>605</v>
      </c>
      <c r="B1335" s="45"/>
      <c r="C1335" s="45"/>
      <c r="D1335" s="66">
        <v>865</v>
      </c>
      <c r="E1335" s="45"/>
      <c r="F1335" s="45"/>
      <c r="G1335" s="45"/>
      <c r="I1335" s="73" t="s">
        <v>273</v>
      </c>
    </row>
    <row r="1336" spans="1:9" ht="12" hidden="1" customHeight="1" outlineLevel="4" x14ac:dyDescent="0.2">
      <c r="A1336" s="60" t="s">
        <v>604</v>
      </c>
      <c r="B1336" s="45"/>
      <c r="C1336" s="45"/>
      <c r="D1336" s="66">
        <v>865</v>
      </c>
      <c r="E1336" s="45"/>
      <c r="F1336" s="45"/>
      <c r="G1336" s="45"/>
      <c r="I1336" s="73" t="s">
        <v>274</v>
      </c>
    </row>
    <row r="1337" spans="1:9" ht="12" hidden="1" customHeight="1" outlineLevel="4" x14ac:dyDescent="0.2">
      <c r="A1337" s="60" t="s">
        <v>603</v>
      </c>
      <c r="B1337" s="45"/>
      <c r="C1337" s="45"/>
      <c r="D1337" s="66">
        <v>865</v>
      </c>
      <c r="E1337" s="45"/>
      <c r="F1337" s="45"/>
      <c r="G1337" s="45"/>
      <c r="I1337" s="73" t="s">
        <v>275</v>
      </c>
    </row>
    <row r="1338" spans="1:9" ht="12" hidden="1" customHeight="1" outlineLevel="4" x14ac:dyDescent="0.2">
      <c r="A1338" s="60" t="s">
        <v>602</v>
      </c>
      <c r="B1338" s="45"/>
      <c r="C1338" s="45"/>
      <c r="D1338" s="66">
        <v>865</v>
      </c>
      <c r="E1338" s="45"/>
      <c r="F1338" s="45"/>
      <c r="G1338" s="45"/>
      <c r="I1338" s="73" t="s">
        <v>276</v>
      </c>
    </row>
    <row r="1339" spans="1:9" ht="12" hidden="1" customHeight="1" outlineLevel="4" x14ac:dyDescent="0.2">
      <c r="A1339" s="60" t="s">
        <v>601</v>
      </c>
      <c r="B1339" s="45"/>
      <c r="C1339" s="45"/>
      <c r="D1339" s="66">
        <v>865</v>
      </c>
      <c r="E1339" s="45"/>
      <c r="F1339" s="45"/>
      <c r="G1339" s="45"/>
      <c r="I1339" s="73" t="s">
        <v>277</v>
      </c>
    </row>
    <row r="1340" spans="1:9" ht="12" hidden="1" customHeight="1" outlineLevel="4" x14ac:dyDescent="0.2">
      <c r="A1340" s="60" t="s">
        <v>600</v>
      </c>
      <c r="B1340" s="45"/>
      <c r="C1340" s="45"/>
      <c r="D1340" s="46">
        <v>5988.34</v>
      </c>
      <c r="E1340" s="45"/>
      <c r="F1340" s="45"/>
      <c r="G1340" s="45"/>
      <c r="I1340" s="73" t="s">
        <v>278</v>
      </c>
    </row>
    <row r="1341" spans="1:9" ht="12" hidden="1" customHeight="1" outlineLevel="4" x14ac:dyDescent="0.2">
      <c r="A1341" s="60" t="s">
        <v>599</v>
      </c>
      <c r="B1341" s="45"/>
      <c r="C1341" s="45"/>
      <c r="D1341" s="66">
        <v>971.66</v>
      </c>
      <c r="E1341" s="45"/>
      <c r="F1341" s="45"/>
      <c r="G1341" s="45"/>
      <c r="I1341" s="73" t="s">
        <v>267</v>
      </c>
    </row>
    <row r="1342" spans="1:9" ht="12" hidden="1" customHeight="1" outlineLevel="4" x14ac:dyDescent="0.2">
      <c r="A1342" s="60" t="s">
        <v>598</v>
      </c>
      <c r="B1342" s="45"/>
      <c r="C1342" s="45"/>
      <c r="D1342" s="46">
        <v>1445</v>
      </c>
      <c r="E1342" s="45"/>
      <c r="F1342" s="45"/>
      <c r="G1342" s="45"/>
      <c r="I1342" s="73" t="s">
        <v>279</v>
      </c>
    </row>
    <row r="1343" spans="1:9" ht="12" hidden="1" customHeight="1" outlineLevel="4" x14ac:dyDescent="0.2">
      <c r="A1343" s="60" t="s">
        <v>597</v>
      </c>
      <c r="B1343" s="45"/>
      <c r="C1343" s="45"/>
      <c r="D1343" s="46">
        <v>1244</v>
      </c>
      <c r="E1343" s="45"/>
      <c r="F1343" s="45"/>
      <c r="G1343" s="45"/>
      <c r="I1343" s="73" t="s">
        <v>280</v>
      </c>
    </row>
    <row r="1344" spans="1:9" ht="12" hidden="1" customHeight="1" outlineLevel="4" x14ac:dyDescent="0.2">
      <c r="A1344" s="60" t="s">
        <v>596</v>
      </c>
      <c r="B1344" s="45"/>
      <c r="C1344" s="45"/>
      <c r="D1344" s="66">
        <v>865</v>
      </c>
      <c r="E1344" s="45"/>
      <c r="F1344" s="45"/>
      <c r="G1344" s="45"/>
      <c r="I1344" s="73" t="s">
        <v>281</v>
      </c>
    </row>
    <row r="1345" spans="1:39" ht="12" hidden="1" customHeight="1" outlineLevel="4" x14ac:dyDescent="0.2">
      <c r="A1345" s="60" t="s">
        <v>595</v>
      </c>
      <c r="B1345" s="45"/>
      <c r="C1345" s="45"/>
      <c r="D1345" s="46">
        <v>1219</v>
      </c>
      <c r="E1345" s="45"/>
      <c r="F1345" s="45"/>
      <c r="G1345" s="45"/>
      <c r="I1345" s="73" t="s">
        <v>282</v>
      </c>
    </row>
    <row r="1346" spans="1:39" ht="12" hidden="1" customHeight="1" outlineLevel="4" x14ac:dyDescent="0.2">
      <c r="A1346" s="60" t="s">
        <v>594</v>
      </c>
      <c r="B1346" s="45"/>
      <c r="C1346" s="45"/>
      <c r="D1346" s="46">
        <v>1175</v>
      </c>
      <c r="E1346" s="45"/>
      <c r="F1346" s="45"/>
      <c r="G1346" s="45"/>
      <c r="I1346" s="73" t="s">
        <v>283</v>
      </c>
    </row>
    <row r="1347" spans="1:39" ht="12" hidden="1" customHeight="1" outlineLevel="4" x14ac:dyDescent="0.2">
      <c r="A1347" s="60" t="s">
        <v>593</v>
      </c>
      <c r="B1347" s="45"/>
      <c r="C1347" s="45"/>
      <c r="D1347" s="46">
        <v>1175</v>
      </c>
      <c r="E1347" s="45"/>
      <c r="F1347" s="45"/>
      <c r="G1347" s="45"/>
      <c r="I1347" s="73" t="s">
        <v>284</v>
      </c>
    </row>
    <row r="1348" spans="1:39" ht="12" hidden="1" customHeight="1" outlineLevel="4" x14ac:dyDescent="0.2">
      <c r="A1348" s="60" t="s">
        <v>592</v>
      </c>
      <c r="B1348" s="45"/>
      <c r="C1348" s="45"/>
      <c r="D1348" s="46">
        <v>1175</v>
      </c>
      <c r="E1348" s="45"/>
      <c r="F1348" s="45"/>
      <c r="G1348" s="45"/>
      <c r="I1348" s="73" t="s">
        <v>285</v>
      </c>
    </row>
    <row r="1349" spans="1:39" ht="12" hidden="1" customHeight="1" outlineLevel="4" x14ac:dyDescent="0.2">
      <c r="A1349" s="60" t="s">
        <v>591</v>
      </c>
      <c r="B1349" s="45"/>
      <c r="C1349" s="45"/>
      <c r="D1349" s="66">
        <v>971.67</v>
      </c>
      <c r="E1349" s="45"/>
      <c r="F1349" s="45"/>
      <c r="G1349" s="45"/>
      <c r="I1349" s="73" t="s">
        <v>268</v>
      </c>
    </row>
    <row r="1350" spans="1:39" ht="12" hidden="1" customHeight="1" outlineLevel="4" x14ac:dyDescent="0.2">
      <c r="A1350" s="60" t="s">
        <v>590</v>
      </c>
      <c r="B1350" s="45"/>
      <c r="C1350" s="45"/>
      <c r="D1350" s="46">
        <v>1071.67</v>
      </c>
      <c r="E1350" s="45"/>
      <c r="F1350" s="45"/>
      <c r="G1350" s="45"/>
      <c r="I1350" s="74" t="s">
        <v>286</v>
      </c>
    </row>
    <row r="1351" spans="1:39" ht="12" hidden="1" customHeight="1" outlineLevel="4" x14ac:dyDescent="0.2">
      <c r="A1351" s="60" t="s">
        <v>589</v>
      </c>
      <c r="B1351" s="45"/>
      <c r="C1351" s="45"/>
      <c r="D1351" s="46">
        <v>1056.67</v>
      </c>
      <c r="E1351" s="45"/>
      <c r="F1351" s="45"/>
      <c r="G1351" s="45"/>
      <c r="I1351" s="73" t="s">
        <v>288</v>
      </c>
    </row>
    <row r="1352" spans="1:39" ht="12" hidden="1" customHeight="1" outlineLevel="4" x14ac:dyDescent="0.2">
      <c r="A1352" s="60" t="s">
        <v>588</v>
      </c>
      <c r="B1352" s="45"/>
      <c r="C1352" s="45"/>
      <c r="D1352" s="66">
        <v>971.66</v>
      </c>
      <c r="E1352" s="45"/>
      <c r="F1352" s="45"/>
      <c r="G1352" s="45"/>
      <c r="I1352" s="73" t="s">
        <v>269</v>
      </c>
    </row>
    <row r="1353" spans="1:39" ht="12" customHeight="1" outlineLevel="1" collapsed="1" x14ac:dyDescent="0.2">
      <c r="A1353" s="79" t="s">
        <v>411</v>
      </c>
      <c r="B1353" s="48"/>
      <c r="C1353" s="48"/>
      <c r="D1353" s="49">
        <v>9586075.3399999999</v>
      </c>
      <c r="E1353" s="49">
        <v>9586075.3399999999</v>
      </c>
      <c r="F1353" s="48"/>
      <c r="G1353" s="48"/>
    </row>
    <row r="1354" spans="1:39" ht="12" hidden="1" customHeight="1" outlineLevel="2" collapsed="1" x14ac:dyDescent="0.2">
      <c r="A1354" s="86" t="s">
        <v>477</v>
      </c>
      <c r="B1354" s="62"/>
      <c r="C1354" s="62"/>
      <c r="D1354" s="64">
        <v>9586075.3399999999</v>
      </c>
      <c r="E1354" s="64">
        <v>9586075.3399999999</v>
      </c>
      <c r="F1354" s="62"/>
      <c r="G1354" s="62"/>
    </row>
    <row r="1355" spans="1:39" ht="12" hidden="1" customHeight="1" outlineLevel="3" x14ac:dyDescent="0.2">
      <c r="A1355" s="61" t="s">
        <v>472</v>
      </c>
      <c r="B1355" s="45"/>
      <c r="C1355" s="45"/>
      <c r="D1355" s="45"/>
      <c r="E1355" s="46">
        <v>10148400.5</v>
      </c>
      <c r="F1355" s="45"/>
      <c r="G1355" s="45"/>
    </row>
    <row r="1356" spans="1:39" ht="12" hidden="1" customHeight="1" outlineLevel="4" x14ac:dyDescent="0.2">
      <c r="A1356" s="60" t="s">
        <v>472</v>
      </c>
      <c r="B1356" s="45"/>
      <c r="C1356" s="45"/>
      <c r="D1356" s="45"/>
      <c r="E1356" s="46">
        <v>10148400.5</v>
      </c>
      <c r="F1356" s="45"/>
      <c r="G1356" s="45"/>
    </row>
    <row r="1357" spans="1:39" ht="12" hidden="1" customHeight="1" outlineLevel="3" x14ac:dyDescent="0.2">
      <c r="A1357" s="61" t="s">
        <v>472</v>
      </c>
      <c r="B1357" s="45"/>
      <c r="C1357" s="45"/>
      <c r="D1357" s="45"/>
      <c r="E1357" s="59">
        <v>-562325.16</v>
      </c>
      <c r="F1357" s="45"/>
      <c r="G1357" s="45"/>
    </row>
    <row r="1358" spans="1:39" ht="12" hidden="1" customHeight="1" outlineLevel="4" x14ac:dyDescent="0.2">
      <c r="A1358" s="60" t="s">
        <v>472</v>
      </c>
      <c r="B1358" s="45"/>
      <c r="C1358" s="45"/>
      <c r="D1358" s="45"/>
      <c r="E1358" s="59">
        <v>-562325.16</v>
      </c>
      <c r="F1358" s="45"/>
      <c r="G1358" s="45"/>
    </row>
    <row r="1359" spans="1:39" ht="23.25" hidden="1" customHeight="1" outlineLevel="3" x14ac:dyDescent="0.2">
      <c r="A1359" s="61" t="s">
        <v>677</v>
      </c>
      <c r="B1359" s="45"/>
      <c r="C1359" s="45"/>
      <c r="D1359" s="83">
        <v>17200</v>
      </c>
      <c r="E1359" s="45"/>
      <c r="F1359" s="45"/>
      <c r="G1359" s="45"/>
    </row>
    <row r="1360" spans="1:39" ht="12" hidden="1" customHeight="1" outlineLevel="4" x14ac:dyDescent="0.2">
      <c r="A1360" s="60" t="s">
        <v>600</v>
      </c>
      <c r="B1360" s="45"/>
      <c r="C1360" s="45"/>
      <c r="D1360" s="46">
        <v>17200</v>
      </c>
      <c r="E1360" s="45"/>
      <c r="F1360" s="45"/>
      <c r="G1360" s="45"/>
      <c r="AM1360" s="73" t="s">
        <v>278</v>
      </c>
    </row>
    <row r="1361" spans="1:41" ht="23.25" hidden="1" customHeight="1" outlineLevel="3" x14ac:dyDescent="0.2">
      <c r="A1361" s="61" t="s">
        <v>676</v>
      </c>
      <c r="B1361" s="45"/>
      <c r="C1361" s="45"/>
      <c r="D1361" s="83">
        <v>22931.919999999998</v>
      </c>
      <c r="E1361" s="45"/>
      <c r="F1361" s="45"/>
      <c r="G1361" s="45"/>
    </row>
    <row r="1362" spans="1:41" ht="12" hidden="1" customHeight="1" outlineLevel="4" x14ac:dyDescent="0.2">
      <c r="A1362" s="60" t="s">
        <v>590</v>
      </c>
      <c r="B1362" s="45"/>
      <c r="C1362" s="45"/>
      <c r="D1362" s="46">
        <v>22931.919999999998</v>
      </c>
      <c r="E1362" s="45"/>
      <c r="F1362" s="45"/>
      <c r="G1362" s="45"/>
      <c r="AM1362" s="74" t="s">
        <v>286</v>
      </c>
    </row>
    <row r="1363" spans="1:41" ht="34.5" hidden="1" customHeight="1" outlineLevel="3" x14ac:dyDescent="0.2">
      <c r="A1363" s="61" t="s">
        <v>548</v>
      </c>
      <c r="B1363" s="45"/>
      <c r="C1363" s="45"/>
      <c r="D1363" s="83">
        <v>2864.17</v>
      </c>
      <c r="E1363" s="45"/>
      <c r="F1363" s="45"/>
      <c r="G1363" s="45"/>
    </row>
    <row r="1364" spans="1:41" ht="12" hidden="1" customHeight="1" outlineLevel="4" x14ac:dyDescent="0.2">
      <c r="A1364" s="60" t="s">
        <v>669</v>
      </c>
      <c r="B1364" s="45"/>
      <c r="C1364" s="45"/>
      <c r="D1364" s="46">
        <v>2864.17</v>
      </c>
      <c r="E1364" s="45"/>
      <c r="F1364" s="45"/>
      <c r="G1364" s="45"/>
      <c r="AO1364" s="73" t="s">
        <v>164</v>
      </c>
    </row>
    <row r="1365" spans="1:41" ht="23.25" hidden="1" customHeight="1" outlineLevel="3" x14ac:dyDescent="0.2">
      <c r="A1365" s="61" t="s">
        <v>403</v>
      </c>
      <c r="B1365" s="45"/>
      <c r="C1365" s="45"/>
      <c r="D1365" s="83">
        <v>1095981.7</v>
      </c>
      <c r="E1365" s="45"/>
      <c r="F1365" s="45"/>
      <c r="G1365" s="45"/>
      <c r="I1365" s="41" t="s">
        <v>143</v>
      </c>
    </row>
    <row r="1366" spans="1:41" ht="12" hidden="1" customHeight="1" outlineLevel="4" x14ac:dyDescent="0.2">
      <c r="A1366" s="60" t="s">
        <v>472</v>
      </c>
      <c r="B1366" s="45"/>
      <c r="C1366" s="45"/>
      <c r="D1366" s="46">
        <v>562325.16</v>
      </c>
      <c r="E1366" s="45"/>
      <c r="F1366" s="45"/>
      <c r="G1366" s="45"/>
    </row>
    <row r="1367" spans="1:41" ht="12" hidden="1" customHeight="1" outlineLevel="4" x14ac:dyDescent="0.2">
      <c r="A1367" s="60" t="s">
        <v>495</v>
      </c>
      <c r="B1367" s="45"/>
      <c r="C1367" s="45"/>
      <c r="D1367" s="46">
        <v>533656.54</v>
      </c>
      <c r="E1367" s="45"/>
      <c r="F1367" s="45"/>
      <c r="G1367" s="45"/>
    </row>
    <row r="1368" spans="1:41" ht="23.25" hidden="1" customHeight="1" outlineLevel="3" x14ac:dyDescent="0.2">
      <c r="A1368" s="61" t="s">
        <v>494</v>
      </c>
      <c r="B1368" s="45"/>
      <c r="C1368" s="45"/>
      <c r="D1368" s="83">
        <v>8433597.5500000007</v>
      </c>
      <c r="E1368" s="45"/>
      <c r="F1368" s="45"/>
      <c r="G1368" s="45"/>
    </row>
    <row r="1369" spans="1:41" ht="12" hidden="1" customHeight="1" outlineLevel="4" x14ac:dyDescent="0.2">
      <c r="A1369" s="60" t="s">
        <v>675</v>
      </c>
      <c r="B1369" s="45"/>
      <c r="C1369" s="45"/>
      <c r="D1369" s="46">
        <v>54583.18</v>
      </c>
      <c r="E1369" s="45"/>
      <c r="F1369" s="45"/>
      <c r="G1369" s="45"/>
      <c r="I1369" s="74" t="s">
        <v>168</v>
      </c>
    </row>
    <row r="1370" spans="1:41" ht="12" hidden="1" customHeight="1" outlineLevel="4" x14ac:dyDescent="0.2">
      <c r="A1370" s="60" t="s">
        <v>674</v>
      </c>
      <c r="B1370" s="45"/>
      <c r="C1370" s="45"/>
      <c r="D1370" s="46">
        <v>63263.19</v>
      </c>
      <c r="E1370" s="45"/>
      <c r="F1370" s="45"/>
      <c r="G1370" s="45"/>
      <c r="I1370" s="73" t="s">
        <v>170</v>
      </c>
    </row>
    <row r="1371" spans="1:41" ht="12" hidden="1" customHeight="1" outlineLevel="4" x14ac:dyDescent="0.2">
      <c r="A1371" s="60" t="s">
        <v>673</v>
      </c>
      <c r="B1371" s="45"/>
      <c r="C1371" s="45"/>
      <c r="D1371" s="46">
        <v>4547.5600000000004</v>
      </c>
      <c r="E1371" s="45"/>
      <c r="F1371" s="45"/>
      <c r="G1371" s="45"/>
      <c r="I1371" s="73" t="s">
        <v>171</v>
      </c>
    </row>
    <row r="1372" spans="1:41" ht="12" hidden="1" customHeight="1" outlineLevel="4" x14ac:dyDescent="0.2">
      <c r="A1372" s="60" t="s">
        <v>673</v>
      </c>
      <c r="B1372" s="45"/>
      <c r="C1372" s="45"/>
      <c r="D1372" s="46">
        <v>44654.31</v>
      </c>
      <c r="E1372" s="45"/>
      <c r="F1372" s="45"/>
      <c r="G1372" s="45"/>
      <c r="I1372" s="73" t="s">
        <v>171</v>
      </c>
    </row>
    <row r="1373" spans="1:41" ht="12" hidden="1" customHeight="1" outlineLevel="4" x14ac:dyDescent="0.2">
      <c r="A1373" s="60" t="s">
        <v>672</v>
      </c>
      <c r="B1373" s="45"/>
      <c r="C1373" s="45"/>
      <c r="D1373" s="46">
        <v>67920.320000000007</v>
      </c>
      <c r="E1373" s="45"/>
      <c r="F1373" s="45"/>
      <c r="G1373" s="45"/>
      <c r="I1373" s="73" t="s">
        <v>172</v>
      </c>
    </row>
    <row r="1374" spans="1:41" ht="12" hidden="1" customHeight="1" outlineLevel="4" x14ac:dyDescent="0.2">
      <c r="A1374" s="60" t="s">
        <v>671</v>
      </c>
      <c r="B1374" s="45"/>
      <c r="C1374" s="45"/>
      <c r="D1374" s="46">
        <v>44333.27</v>
      </c>
      <c r="E1374" s="45"/>
      <c r="F1374" s="45"/>
      <c r="G1374" s="45"/>
      <c r="I1374" s="73" t="s">
        <v>173</v>
      </c>
    </row>
    <row r="1375" spans="1:41" ht="12" hidden="1" customHeight="1" outlineLevel="4" x14ac:dyDescent="0.2">
      <c r="A1375" s="60" t="s">
        <v>670</v>
      </c>
      <c r="B1375" s="45"/>
      <c r="C1375" s="45"/>
      <c r="D1375" s="46">
        <v>83596.460000000006</v>
      </c>
      <c r="E1375" s="45"/>
      <c r="F1375" s="45"/>
      <c r="G1375" s="45"/>
      <c r="I1375" s="73" t="s">
        <v>163</v>
      </c>
    </row>
    <row r="1376" spans="1:41" ht="12" hidden="1" customHeight="1" outlineLevel="4" x14ac:dyDescent="0.2">
      <c r="A1376" s="60" t="s">
        <v>669</v>
      </c>
      <c r="B1376" s="45"/>
      <c r="C1376" s="45"/>
      <c r="D1376" s="46">
        <v>879108.61</v>
      </c>
      <c r="E1376" s="45"/>
      <c r="F1376" s="45"/>
      <c r="G1376" s="45"/>
      <c r="I1376" s="73" t="s">
        <v>164</v>
      </c>
    </row>
    <row r="1377" spans="1:9" ht="12" hidden="1" customHeight="1" outlineLevel="4" x14ac:dyDescent="0.2">
      <c r="A1377" s="60" t="s">
        <v>668</v>
      </c>
      <c r="B1377" s="45"/>
      <c r="C1377" s="45"/>
      <c r="D1377" s="46">
        <v>46378.82</v>
      </c>
      <c r="E1377" s="45"/>
      <c r="F1377" s="45"/>
      <c r="G1377" s="45"/>
      <c r="I1377" s="73" t="s">
        <v>174</v>
      </c>
    </row>
    <row r="1378" spans="1:9" ht="12" hidden="1" customHeight="1" outlineLevel="4" x14ac:dyDescent="0.2">
      <c r="A1378" s="60" t="s">
        <v>667</v>
      </c>
      <c r="B1378" s="45"/>
      <c r="C1378" s="45"/>
      <c r="D1378" s="46">
        <v>29851.88</v>
      </c>
      <c r="E1378" s="45"/>
      <c r="F1378" s="45"/>
      <c r="G1378" s="45"/>
      <c r="I1378" s="74" t="s">
        <v>175</v>
      </c>
    </row>
    <row r="1379" spans="1:9" ht="12" hidden="1" customHeight="1" outlineLevel="4" x14ac:dyDescent="0.2">
      <c r="A1379" s="60" t="s">
        <v>492</v>
      </c>
      <c r="B1379" s="45"/>
      <c r="C1379" s="45"/>
      <c r="D1379" s="66">
        <v>69.09</v>
      </c>
      <c r="E1379" s="45"/>
      <c r="F1379" s="45"/>
      <c r="G1379" s="45"/>
      <c r="I1379" s="73" t="s">
        <v>175</v>
      </c>
    </row>
    <row r="1380" spans="1:9" ht="12" hidden="1" customHeight="1" outlineLevel="4" x14ac:dyDescent="0.2">
      <c r="A1380" s="60" t="s">
        <v>491</v>
      </c>
      <c r="B1380" s="45"/>
      <c r="C1380" s="45"/>
      <c r="D1380" s="66">
        <v>69.08</v>
      </c>
      <c r="E1380" s="45"/>
      <c r="F1380" s="45"/>
      <c r="G1380" s="45"/>
      <c r="I1380" s="73" t="s">
        <v>176</v>
      </c>
    </row>
    <row r="1381" spans="1:9" ht="12" hidden="1" customHeight="1" outlineLevel="4" x14ac:dyDescent="0.2">
      <c r="A1381" s="60" t="s">
        <v>666</v>
      </c>
      <c r="B1381" s="45"/>
      <c r="C1381" s="45"/>
      <c r="D1381" s="46">
        <v>70870.41</v>
      </c>
      <c r="E1381" s="45"/>
      <c r="F1381" s="45"/>
      <c r="G1381" s="45"/>
      <c r="I1381" s="73" t="s">
        <v>177</v>
      </c>
    </row>
    <row r="1382" spans="1:9" ht="12" hidden="1" customHeight="1" outlineLevel="4" x14ac:dyDescent="0.2">
      <c r="A1382" s="60" t="s">
        <v>490</v>
      </c>
      <c r="B1382" s="45"/>
      <c r="C1382" s="45"/>
      <c r="D1382" s="46">
        <v>36209.75</v>
      </c>
      <c r="E1382" s="45"/>
      <c r="F1382" s="45"/>
      <c r="G1382" s="45"/>
      <c r="I1382" s="73" t="s">
        <v>178</v>
      </c>
    </row>
    <row r="1383" spans="1:9" ht="23.25" hidden="1" customHeight="1" outlineLevel="4" x14ac:dyDescent="0.2">
      <c r="A1383" s="60" t="s">
        <v>665</v>
      </c>
      <c r="B1383" s="45"/>
      <c r="C1383" s="45"/>
      <c r="D1383" s="66">
        <v>69.09</v>
      </c>
      <c r="E1383" s="45"/>
      <c r="F1383" s="45"/>
      <c r="G1383" s="45"/>
      <c r="I1383" s="73" t="s">
        <v>178</v>
      </c>
    </row>
    <row r="1384" spans="1:9" ht="12" hidden="1" customHeight="1" outlineLevel="4" x14ac:dyDescent="0.2">
      <c r="A1384" s="60" t="s">
        <v>664</v>
      </c>
      <c r="B1384" s="45"/>
      <c r="C1384" s="45"/>
      <c r="D1384" s="66">
        <v>219.06</v>
      </c>
      <c r="E1384" s="45"/>
      <c r="F1384" s="45"/>
      <c r="G1384" s="45"/>
      <c r="I1384" s="73" t="s">
        <v>178</v>
      </c>
    </row>
    <row r="1385" spans="1:9" ht="12" hidden="1" customHeight="1" outlineLevel="4" x14ac:dyDescent="0.2">
      <c r="A1385" s="60" t="s">
        <v>489</v>
      </c>
      <c r="B1385" s="45"/>
      <c r="C1385" s="45"/>
      <c r="D1385" s="46">
        <v>56698.34</v>
      </c>
      <c r="E1385" s="45"/>
      <c r="F1385" s="45"/>
      <c r="G1385" s="45"/>
      <c r="I1385" s="74" t="s">
        <v>179</v>
      </c>
    </row>
    <row r="1386" spans="1:9" ht="12" hidden="1" customHeight="1" outlineLevel="4" x14ac:dyDescent="0.2">
      <c r="A1386" s="60" t="s">
        <v>488</v>
      </c>
      <c r="B1386" s="45"/>
      <c r="C1386" s="45"/>
      <c r="D1386" s="46">
        <v>34959.19</v>
      </c>
      <c r="E1386" s="45"/>
      <c r="F1386" s="45"/>
      <c r="G1386" s="45"/>
      <c r="I1386" s="73" t="s">
        <v>180</v>
      </c>
    </row>
    <row r="1387" spans="1:9" ht="12" hidden="1" customHeight="1" outlineLevel="4" x14ac:dyDescent="0.2">
      <c r="A1387" s="60" t="s">
        <v>663</v>
      </c>
      <c r="B1387" s="45"/>
      <c r="C1387" s="45"/>
      <c r="D1387" s="46">
        <v>69715.59</v>
      </c>
      <c r="E1387" s="45"/>
      <c r="F1387" s="45"/>
      <c r="G1387" s="45"/>
      <c r="I1387" s="73" t="s">
        <v>165</v>
      </c>
    </row>
    <row r="1388" spans="1:9" ht="12" hidden="1" customHeight="1" outlineLevel="4" x14ac:dyDescent="0.2">
      <c r="A1388" s="60" t="s">
        <v>662</v>
      </c>
      <c r="B1388" s="45"/>
      <c r="C1388" s="45"/>
      <c r="D1388" s="46">
        <v>54377.77</v>
      </c>
      <c r="E1388" s="45"/>
      <c r="F1388" s="45"/>
      <c r="G1388" s="45"/>
      <c r="I1388" s="73" t="s">
        <v>166</v>
      </c>
    </row>
    <row r="1389" spans="1:9" ht="12" hidden="1" customHeight="1" outlineLevel="4" x14ac:dyDescent="0.2">
      <c r="A1389" s="60" t="s">
        <v>661</v>
      </c>
      <c r="B1389" s="45"/>
      <c r="C1389" s="45"/>
      <c r="D1389" s="46">
        <v>38462.01</v>
      </c>
      <c r="E1389" s="45"/>
      <c r="F1389" s="45"/>
      <c r="G1389" s="45"/>
      <c r="I1389" s="73" t="s">
        <v>167</v>
      </c>
    </row>
    <row r="1390" spans="1:9" ht="23.25" hidden="1" customHeight="1" outlineLevel="4" x14ac:dyDescent="0.2">
      <c r="A1390" s="60" t="s">
        <v>660</v>
      </c>
      <c r="B1390" s="45"/>
      <c r="C1390" s="45"/>
      <c r="D1390" s="46">
        <v>44059.16</v>
      </c>
      <c r="E1390" s="45"/>
      <c r="F1390" s="45"/>
      <c r="G1390" s="45"/>
      <c r="I1390" s="73" t="s">
        <v>142</v>
      </c>
    </row>
    <row r="1391" spans="1:9" ht="23.25" hidden="1" customHeight="1" outlineLevel="4" x14ac:dyDescent="0.2">
      <c r="A1391" s="60" t="s">
        <v>659</v>
      </c>
      <c r="B1391" s="45"/>
      <c r="C1391" s="45"/>
      <c r="D1391" s="46">
        <v>19682.96</v>
      </c>
      <c r="E1391" s="45"/>
      <c r="F1391" s="45"/>
      <c r="G1391" s="45"/>
      <c r="I1391" s="74" t="s">
        <v>152</v>
      </c>
    </row>
    <row r="1392" spans="1:9" ht="23.25" hidden="1" customHeight="1" outlineLevel="4" x14ac:dyDescent="0.2">
      <c r="A1392" s="60" t="s">
        <v>658</v>
      </c>
      <c r="B1392" s="45"/>
      <c r="C1392" s="45"/>
      <c r="D1392" s="46">
        <v>14048.25</v>
      </c>
      <c r="E1392" s="45"/>
      <c r="F1392" s="45"/>
      <c r="G1392" s="45"/>
      <c r="I1392" s="73" t="s">
        <v>152</v>
      </c>
    </row>
    <row r="1393" spans="1:9" ht="23.25" hidden="1" customHeight="1" outlineLevel="4" x14ac:dyDescent="0.2">
      <c r="A1393" s="60" t="s">
        <v>657</v>
      </c>
      <c r="B1393" s="45"/>
      <c r="C1393" s="45"/>
      <c r="D1393" s="46">
        <v>61084.09</v>
      </c>
      <c r="E1393" s="45"/>
      <c r="F1393" s="45"/>
      <c r="G1393" s="45"/>
      <c r="I1393" s="73" t="s">
        <v>154</v>
      </c>
    </row>
    <row r="1394" spans="1:9" ht="23.25" hidden="1" customHeight="1" outlineLevel="4" x14ac:dyDescent="0.2">
      <c r="A1394" s="60" t="s">
        <v>656</v>
      </c>
      <c r="B1394" s="45"/>
      <c r="C1394" s="45"/>
      <c r="D1394" s="46">
        <v>80564.27</v>
      </c>
      <c r="E1394" s="45"/>
      <c r="F1394" s="45"/>
      <c r="G1394" s="45"/>
      <c r="I1394" s="73" t="s">
        <v>155</v>
      </c>
    </row>
    <row r="1395" spans="1:9" ht="23.25" hidden="1" customHeight="1" outlineLevel="4" x14ac:dyDescent="0.2">
      <c r="A1395" s="60" t="s">
        <v>655</v>
      </c>
      <c r="B1395" s="45"/>
      <c r="C1395" s="45"/>
      <c r="D1395" s="46">
        <v>5789.14</v>
      </c>
      <c r="E1395" s="45"/>
      <c r="F1395" s="45"/>
      <c r="G1395" s="45"/>
      <c r="I1395" s="74" t="s">
        <v>156</v>
      </c>
    </row>
    <row r="1396" spans="1:9" ht="23.25" hidden="1" customHeight="1" outlineLevel="4" x14ac:dyDescent="0.2">
      <c r="A1396" s="60" t="s">
        <v>654</v>
      </c>
      <c r="B1396" s="45"/>
      <c r="C1396" s="45"/>
      <c r="D1396" s="46">
        <v>79370.710000000006</v>
      </c>
      <c r="E1396" s="45"/>
      <c r="F1396" s="45"/>
      <c r="G1396" s="45"/>
      <c r="I1396" s="73" t="s">
        <v>158</v>
      </c>
    </row>
    <row r="1397" spans="1:9" ht="23.25" hidden="1" customHeight="1" outlineLevel="4" x14ac:dyDescent="0.2">
      <c r="A1397" s="60" t="s">
        <v>653</v>
      </c>
      <c r="B1397" s="45"/>
      <c r="C1397" s="45"/>
      <c r="D1397" s="46">
        <v>166521.35</v>
      </c>
      <c r="E1397" s="45"/>
      <c r="F1397" s="45"/>
      <c r="G1397" s="45"/>
      <c r="I1397" s="73" t="s">
        <v>159</v>
      </c>
    </row>
    <row r="1398" spans="1:9" ht="23.25" hidden="1" customHeight="1" outlineLevel="4" x14ac:dyDescent="0.2">
      <c r="A1398" s="60" t="s">
        <v>652</v>
      </c>
      <c r="B1398" s="45"/>
      <c r="C1398" s="45"/>
      <c r="D1398" s="46">
        <v>35635.449999999997</v>
      </c>
      <c r="E1398" s="45"/>
      <c r="F1398" s="45"/>
      <c r="G1398" s="45"/>
      <c r="I1398" s="73" t="s">
        <v>161</v>
      </c>
    </row>
    <row r="1399" spans="1:9" ht="23.25" hidden="1" customHeight="1" outlineLevel="4" x14ac:dyDescent="0.2">
      <c r="A1399" s="60" t="s">
        <v>651</v>
      </c>
      <c r="B1399" s="45"/>
      <c r="C1399" s="45"/>
      <c r="D1399" s="46">
        <v>121004.38</v>
      </c>
      <c r="E1399" s="45"/>
      <c r="F1399" s="45"/>
      <c r="G1399" s="45"/>
      <c r="I1399" s="73" t="s">
        <v>162</v>
      </c>
    </row>
    <row r="1400" spans="1:9" ht="23.25" hidden="1" customHeight="1" outlineLevel="4" x14ac:dyDescent="0.2">
      <c r="A1400" s="60" t="s">
        <v>650</v>
      </c>
      <c r="B1400" s="45"/>
      <c r="C1400" s="45"/>
      <c r="D1400" s="46">
        <v>355745.45</v>
      </c>
      <c r="E1400" s="45"/>
      <c r="F1400" s="45"/>
      <c r="G1400" s="45"/>
      <c r="I1400" s="74" t="s">
        <v>144</v>
      </c>
    </row>
    <row r="1401" spans="1:9" ht="23.25" hidden="1" customHeight="1" outlineLevel="4" x14ac:dyDescent="0.2">
      <c r="A1401" s="60" t="s">
        <v>649</v>
      </c>
      <c r="B1401" s="45"/>
      <c r="C1401" s="45"/>
      <c r="D1401" s="46">
        <v>96578.35</v>
      </c>
      <c r="E1401" s="45"/>
      <c r="F1401" s="45"/>
      <c r="G1401" s="45"/>
      <c r="I1401" s="73" t="s">
        <v>146</v>
      </c>
    </row>
    <row r="1402" spans="1:9" ht="23.25" hidden="1" customHeight="1" outlineLevel="4" x14ac:dyDescent="0.2">
      <c r="A1402" s="60" t="s">
        <v>648</v>
      </c>
      <c r="B1402" s="45"/>
      <c r="C1402" s="45"/>
      <c r="D1402" s="46">
        <v>5956.87</v>
      </c>
      <c r="E1402" s="45"/>
      <c r="F1402" s="45"/>
      <c r="G1402" s="45"/>
      <c r="I1402" s="74" t="s">
        <v>147</v>
      </c>
    </row>
    <row r="1403" spans="1:9" ht="23.25" hidden="1" customHeight="1" outlineLevel="4" x14ac:dyDescent="0.2">
      <c r="A1403" s="60" t="s">
        <v>647</v>
      </c>
      <c r="B1403" s="45"/>
      <c r="C1403" s="45"/>
      <c r="D1403" s="46">
        <v>145998.94</v>
      </c>
      <c r="E1403" s="45"/>
      <c r="F1403" s="45"/>
      <c r="G1403" s="45"/>
      <c r="I1403" s="73" t="s">
        <v>149</v>
      </c>
    </row>
    <row r="1404" spans="1:9" ht="23.25" hidden="1" customHeight="1" outlineLevel="4" x14ac:dyDescent="0.2">
      <c r="A1404" s="60" t="s">
        <v>646</v>
      </c>
      <c r="B1404" s="45"/>
      <c r="C1404" s="45"/>
      <c r="D1404" s="46">
        <v>53508.21</v>
      </c>
      <c r="E1404" s="45"/>
      <c r="F1404" s="45"/>
      <c r="G1404" s="45"/>
      <c r="I1404" s="74" t="s">
        <v>150</v>
      </c>
    </row>
    <row r="1405" spans="1:9" ht="12" hidden="1" customHeight="1" outlineLevel="4" x14ac:dyDescent="0.2">
      <c r="A1405" s="60" t="s">
        <v>485</v>
      </c>
      <c r="B1405" s="45"/>
      <c r="C1405" s="45"/>
      <c r="D1405" s="46">
        <v>128426.37</v>
      </c>
      <c r="E1405" s="45"/>
      <c r="F1405" s="45"/>
      <c r="G1405" s="45"/>
      <c r="I1405" s="73" t="s">
        <v>181</v>
      </c>
    </row>
    <row r="1406" spans="1:9" ht="12" hidden="1" customHeight="1" outlineLevel="4" x14ac:dyDescent="0.2">
      <c r="A1406" s="60" t="s">
        <v>645</v>
      </c>
      <c r="B1406" s="45"/>
      <c r="C1406" s="45"/>
      <c r="D1406" s="46">
        <v>38379.800000000003</v>
      </c>
      <c r="E1406" s="45"/>
      <c r="F1406" s="45"/>
      <c r="G1406" s="45"/>
      <c r="I1406" s="73" t="s">
        <v>185</v>
      </c>
    </row>
    <row r="1407" spans="1:9" ht="12" hidden="1" customHeight="1" outlineLevel="4" x14ac:dyDescent="0.2">
      <c r="A1407" s="60" t="s">
        <v>644</v>
      </c>
      <c r="B1407" s="45"/>
      <c r="C1407" s="45"/>
      <c r="D1407" s="46">
        <v>112839.19</v>
      </c>
      <c r="E1407" s="45"/>
      <c r="F1407" s="45"/>
      <c r="G1407" s="45"/>
      <c r="I1407" s="73" t="s">
        <v>186</v>
      </c>
    </row>
    <row r="1408" spans="1:9" ht="12" hidden="1" customHeight="1" outlineLevel="4" x14ac:dyDescent="0.2">
      <c r="A1408" s="60" t="s">
        <v>643</v>
      </c>
      <c r="B1408" s="45"/>
      <c r="C1408" s="45"/>
      <c r="D1408" s="46">
        <v>117155.21</v>
      </c>
      <c r="E1408" s="45"/>
      <c r="F1408" s="45"/>
      <c r="G1408" s="45"/>
      <c r="I1408" s="73" t="s">
        <v>187</v>
      </c>
    </row>
    <row r="1409" spans="1:9" ht="12" hidden="1" customHeight="1" outlineLevel="4" x14ac:dyDescent="0.2">
      <c r="A1409" s="60" t="s">
        <v>642</v>
      </c>
      <c r="B1409" s="45"/>
      <c r="C1409" s="45"/>
      <c r="D1409" s="46">
        <v>155604.5</v>
      </c>
      <c r="E1409" s="45"/>
      <c r="F1409" s="45"/>
      <c r="G1409" s="45"/>
      <c r="I1409" s="73" t="s">
        <v>188</v>
      </c>
    </row>
    <row r="1410" spans="1:9" ht="23.25" hidden="1" customHeight="1" outlineLevel="4" x14ac:dyDescent="0.2">
      <c r="A1410" s="60" t="s">
        <v>641</v>
      </c>
      <c r="B1410" s="45"/>
      <c r="C1410" s="45"/>
      <c r="D1410" s="46">
        <v>67242.75</v>
      </c>
      <c r="E1410" s="45"/>
      <c r="F1410" s="45"/>
      <c r="G1410" s="45"/>
      <c r="I1410" s="73" t="s">
        <v>189</v>
      </c>
    </row>
    <row r="1411" spans="1:9" ht="12" hidden="1" customHeight="1" outlineLevel="4" x14ac:dyDescent="0.2">
      <c r="A1411" s="60" t="s">
        <v>640</v>
      </c>
      <c r="B1411" s="45"/>
      <c r="C1411" s="45"/>
      <c r="D1411" s="46">
        <v>114609.42</v>
      </c>
      <c r="E1411" s="45"/>
      <c r="F1411" s="45"/>
      <c r="G1411" s="45"/>
      <c r="I1411" s="73" t="s">
        <v>190</v>
      </c>
    </row>
    <row r="1412" spans="1:9" ht="12" hidden="1" customHeight="1" outlineLevel="4" x14ac:dyDescent="0.2">
      <c r="A1412" s="60" t="s">
        <v>639</v>
      </c>
      <c r="B1412" s="45"/>
      <c r="C1412" s="45"/>
      <c r="D1412" s="46">
        <v>64923.03</v>
      </c>
      <c r="E1412" s="45"/>
      <c r="F1412" s="45"/>
      <c r="G1412" s="45"/>
      <c r="I1412" s="73" t="s">
        <v>191</v>
      </c>
    </row>
    <row r="1413" spans="1:9" ht="12" hidden="1" customHeight="1" outlineLevel="4" x14ac:dyDescent="0.2">
      <c r="A1413" s="60" t="s">
        <v>638</v>
      </c>
      <c r="B1413" s="45"/>
      <c r="C1413" s="45"/>
      <c r="D1413" s="46">
        <v>74598.820000000007</v>
      </c>
      <c r="E1413" s="45"/>
      <c r="F1413" s="45"/>
      <c r="G1413" s="45"/>
      <c r="I1413" s="73" t="s">
        <v>192</v>
      </c>
    </row>
    <row r="1414" spans="1:9" ht="12" hidden="1" customHeight="1" outlineLevel="4" x14ac:dyDescent="0.2">
      <c r="A1414" s="60" t="s">
        <v>637</v>
      </c>
      <c r="B1414" s="45"/>
      <c r="C1414" s="45"/>
      <c r="D1414" s="46">
        <v>59018.49</v>
      </c>
      <c r="E1414" s="45"/>
      <c r="F1414" s="45"/>
      <c r="G1414" s="45"/>
      <c r="I1414" s="73" t="s">
        <v>193</v>
      </c>
    </row>
    <row r="1415" spans="1:9" ht="12" hidden="1" customHeight="1" outlineLevel="4" x14ac:dyDescent="0.2">
      <c r="A1415" s="60" t="s">
        <v>636</v>
      </c>
      <c r="B1415" s="45"/>
      <c r="C1415" s="45"/>
      <c r="D1415" s="46">
        <v>161162.14000000001</v>
      </c>
      <c r="E1415" s="45"/>
      <c r="F1415" s="45"/>
      <c r="G1415" s="45"/>
      <c r="I1415" s="74" t="s">
        <v>194</v>
      </c>
    </row>
    <row r="1416" spans="1:9" ht="12" hidden="1" customHeight="1" outlineLevel="4" x14ac:dyDescent="0.2">
      <c r="A1416" s="60" t="s">
        <v>635</v>
      </c>
      <c r="B1416" s="45"/>
      <c r="C1416" s="45"/>
      <c r="D1416" s="46">
        <v>7131.15</v>
      </c>
      <c r="E1416" s="45"/>
      <c r="F1416" s="45"/>
      <c r="G1416" s="45"/>
      <c r="I1416" s="74" t="s">
        <v>196</v>
      </c>
    </row>
    <row r="1417" spans="1:9" ht="12" hidden="1" customHeight="1" outlineLevel="4" x14ac:dyDescent="0.2">
      <c r="A1417" s="60" t="s">
        <v>634</v>
      </c>
      <c r="B1417" s="45"/>
      <c r="C1417" s="45"/>
      <c r="D1417" s="46">
        <v>116760.08</v>
      </c>
      <c r="E1417" s="45"/>
      <c r="F1417" s="45"/>
      <c r="G1417" s="45"/>
      <c r="I1417" s="73" t="s">
        <v>198</v>
      </c>
    </row>
    <row r="1418" spans="1:9" ht="12" hidden="1" customHeight="1" outlineLevel="4" x14ac:dyDescent="0.2">
      <c r="A1418" s="60" t="s">
        <v>633</v>
      </c>
      <c r="B1418" s="45"/>
      <c r="C1418" s="45"/>
      <c r="D1418" s="46">
        <v>37890.230000000003</v>
      </c>
      <c r="E1418" s="45"/>
      <c r="F1418" s="45"/>
      <c r="G1418" s="45"/>
      <c r="I1418" s="73" t="s">
        <v>199</v>
      </c>
    </row>
    <row r="1419" spans="1:9" ht="12" hidden="1" customHeight="1" outlineLevel="4" x14ac:dyDescent="0.2">
      <c r="A1419" s="60" t="s">
        <v>632</v>
      </c>
      <c r="B1419" s="45"/>
      <c r="C1419" s="45"/>
      <c r="D1419" s="46">
        <v>23772.03</v>
      </c>
      <c r="E1419" s="45"/>
      <c r="F1419" s="45"/>
      <c r="G1419" s="45"/>
      <c r="I1419" s="73" t="s">
        <v>200</v>
      </c>
    </row>
    <row r="1420" spans="1:9" ht="12" hidden="1" customHeight="1" outlineLevel="4" x14ac:dyDescent="0.2">
      <c r="A1420" s="60" t="s">
        <v>631</v>
      </c>
      <c r="B1420" s="45"/>
      <c r="C1420" s="45"/>
      <c r="D1420" s="46">
        <v>55206.46</v>
      </c>
      <c r="E1420" s="45"/>
      <c r="F1420" s="45"/>
      <c r="G1420" s="45"/>
      <c r="I1420" s="73" t="s">
        <v>201</v>
      </c>
    </row>
    <row r="1421" spans="1:9" ht="12" hidden="1" customHeight="1" outlineLevel="4" x14ac:dyDescent="0.2">
      <c r="A1421" s="60" t="s">
        <v>630</v>
      </c>
      <c r="B1421" s="45"/>
      <c r="C1421" s="45"/>
      <c r="D1421" s="46">
        <v>65642.679999999993</v>
      </c>
      <c r="E1421" s="45"/>
      <c r="F1421" s="45"/>
      <c r="G1421" s="45"/>
      <c r="I1421" s="73" t="s">
        <v>182</v>
      </c>
    </row>
    <row r="1422" spans="1:9" ht="12" hidden="1" customHeight="1" outlineLevel="4" x14ac:dyDescent="0.2">
      <c r="A1422" s="60" t="s">
        <v>629</v>
      </c>
      <c r="B1422" s="45"/>
      <c r="C1422" s="45"/>
      <c r="D1422" s="46">
        <v>28447.15</v>
      </c>
      <c r="E1422" s="45"/>
      <c r="F1422" s="45"/>
      <c r="G1422" s="45"/>
      <c r="I1422" s="73" t="s">
        <v>202</v>
      </c>
    </row>
    <row r="1423" spans="1:9" ht="12" hidden="1" customHeight="1" outlineLevel="4" x14ac:dyDescent="0.2">
      <c r="A1423" s="60" t="s">
        <v>628</v>
      </c>
      <c r="B1423" s="45"/>
      <c r="C1423" s="45"/>
      <c r="D1423" s="46">
        <v>5640.13</v>
      </c>
      <c r="E1423" s="45"/>
      <c r="F1423" s="45"/>
      <c r="G1423" s="45"/>
      <c r="I1423" s="73" t="s">
        <v>203</v>
      </c>
    </row>
    <row r="1424" spans="1:9" ht="12" hidden="1" customHeight="1" outlineLevel="4" x14ac:dyDescent="0.2">
      <c r="A1424" s="60" t="s">
        <v>627</v>
      </c>
      <c r="B1424" s="45"/>
      <c r="C1424" s="45"/>
      <c r="D1424" s="46">
        <v>8442.6</v>
      </c>
      <c r="E1424" s="45"/>
      <c r="F1424" s="45"/>
      <c r="G1424" s="45"/>
      <c r="I1424" s="73" t="s">
        <v>204</v>
      </c>
    </row>
    <row r="1425" spans="1:9" ht="12" hidden="1" customHeight="1" outlineLevel="4" x14ac:dyDescent="0.2">
      <c r="A1425" s="60" t="s">
        <v>626</v>
      </c>
      <c r="B1425" s="45"/>
      <c r="C1425" s="45"/>
      <c r="D1425" s="46">
        <v>3613.75</v>
      </c>
      <c r="E1425" s="45"/>
      <c r="F1425" s="45"/>
      <c r="G1425" s="45"/>
      <c r="I1425" s="73" t="s">
        <v>205</v>
      </c>
    </row>
    <row r="1426" spans="1:9" ht="12" hidden="1" customHeight="1" outlineLevel="4" x14ac:dyDescent="0.2">
      <c r="A1426" s="60" t="s">
        <v>625</v>
      </c>
      <c r="B1426" s="45"/>
      <c r="C1426" s="45"/>
      <c r="D1426" s="46">
        <v>116718.86</v>
      </c>
      <c r="E1426" s="45"/>
      <c r="F1426" s="45"/>
      <c r="G1426" s="45"/>
      <c r="I1426" s="73" t="s">
        <v>206</v>
      </c>
    </row>
    <row r="1427" spans="1:9" ht="12" hidden="1" customHeight="1" outlineLevel="4" x14ac:dyDescent="0.2">
      <c r="A1427" s="60" t="s">
        <v>624</v>
      </c>
      <c r="B1427" s="45"/>
      <c r="C1427" s="45"/>
      <c r="D1427" s="46">
        <v>116917.98</v>
      </c>
      <c r="E1427" s="45"/>
      <c r="F1427" s="45"/>
      <c r="G1427" s="45"/>
      <c r="I1427" s="74" t="s">
        <v>183</v>
      </c>
    </row>
    <row r="1428" spans="1:9" ht="12" hidden="1" customHeight="1" outlineLevel="4" x14ac:dyDescent="0.2">
      <c r="A1428" s="60" t="s">
        <v>623</v>
      </c>
      <c r="B1428" s="45"/>
      <c r="C1428" s="45"/>
      <c r="D1428" s="66">
        <v>219.07</v>
      </c>
      <c r="E1428" s="45"/>
      <c r="F1428" s="45"/>
      <c r="G1428" s="45"/>
      <c r="I1428" s="73" t="s">
        <v>183</v>
      </c>
    </row>
    <row r="1429" spans="1:9" ht="12" hidden="1" customHeight="1" outlineLevel="4" x14ac:dyDescent="0.2">
      <c r="A1429" s="60" t="s">
        <v>622</v>
      </c>
      <c r="B1429" s="45"/>
      <c r="C1429" s="45"/>
      <c r="D1429" s="66">
        <v>219.07</v>
      </c>
      <c r="E1429" s="45"/>
      <c r="F1429" s="45"/>
      <c r="G1429" s="45"/>
      <c r="I1429" s="73" t="s">
        <v>184</v>
      </c>
    </row>
    <row r="1430" spans="1:9" ht="23.25" hidden="1" customHeight="1" outlineLevel="4" x14ac:dyDescent="0.2">
      <c r="A1430" s="60" t="s">
        <v>621</v>
      </c>
      <c r="B1430" s="45"/>
      <c r="C1430" s="45"/>
      <c r="D1430" s="46">
        <v>4847</v>
      </c>
      <c r="E1430" s="45"/>
      <c r="F1430" s="45"/>
      <c r="G1430" s="45"/>
      <c r="I1430" s="73" t="s">
        <v>207</v>
      </c>
    </row>
    <row r="1431" spans="1:9" ht="23.25" hidden="1" customHeight="1" outlineLevel="4" x14ac:dyDescent="0.2">
      <c r="A1431" s="60" t="s">
        <v>620</v>
      </c>
      <c r="B1431" s="45"/>
      <c r="C1431" s="45"/>
      <c r="D1431" s="46">
        <v>167931.22</v>
      </c>
      <c r="E1431" s="45"/>
      <c r="F1431" s="45"/>
      <c r="G1431" s="45"/>
      <c r="I1431" s="73" t="s">
        <v>208</v>
      </c>
    </row>
    <row r="1432" spans="1:9" ht="23.25" hidden="1" customHeight="1" outlineLevel="4" x14ac:dyDescent="0.2">
      <c r="A1432" s="60" t="s">
        <v>619</v>
      </c>
      <c r="B1432" s="45"/>
      <c r="C1432" s="45"/>
      <c r="D1432" s="46">
        <v>144839.18</v>
      </c>
      <c r="E1432" s="45"/>
      <c r="F1432" s="45"/>
      <c r="G1432" s="45"/>
      <c r="I1432" s="73" t="s">
        <v>209</v>
      </c>
    </row>
    <row r="1433" spans="1:9" ht="23.25" hidden="1" customHeight="1" outlineLevel="4" x14ac:dyDescent="0.2">
      <c r="A1433" s="60" t="s">
        <v>618</v>
      </c>
      <c r="B1433" s="45"/>
      <c r="C1433" s="45"/>
      <c r="D1433" s="46">
        <v>11453.6</v>
      </c>
      <c r="E1433" s="45"/>
      <c r="F1433" s="45"/>
      <c r="G1433" s="45"/>
      <c r="I1433" s="73" t="s">
        <v>216</v>
      </c>
    </row>
    <row r="1434" spans="1:9" ht="12" hidden="1" customHeight="1" outlineLevel="4" x14ac:dyDescent="0.2">
      <c r="A1434" s="60" t="s">
        <v>617</v>
      </c>
      <c r="B1434" s="45"/>
      <c r="C1434" s="45"/>
      <c r="D1434" s="46">
        <v>30247.34</v>
      </c>
      <c r="E1434" s="45"/>
      <c r="F1434" s="45"/>
      <c r="G1434" s="45"/>
      <c r="I1434" s="73" t="s">
        <v>253</v>
      </c>
    </row>
    <row r="1435" spans="1:9" ht="12" hidden="1" customHeight="1" outlineLevel="4" x14ac:dyDescent="0.2">
      <c r="A1435" s="60" t="s">
        <v>616</v>
      </c>
      <c r="B1435" s="45"/>
      <c r="C1435" s="45"/>
      <c r="D1435" s="46">
        <v>30735.77</v>
      </c>
      <c r="E1435" s="45"/>
      <c r="F1435" s="45"/>
      <c r="G1435" s="45"/>
      <c r="I1435" s="73" t="s">
        <v>254</v>
      </c>
    </row>
    <row r="1436" spans="1:9" ht="12" hidden="1" customHeight="1" outlineLevel="4" x14ac:dyDescent="0.2">
      <c r="A1436" s="60" t="s">
        <v>615</v>
      </c>
      <c r="B1436" s="45"/>
      <c r="C1436" s="45"/>
      <c r="D1436" s="46">
        <v>98475.87</v>
      </c>
      <c r="E1436" s="45"/>
      <c r="F1436" s="45"/>
      <c r="G1436" s="45"/>
      <c r="I1436" s="73" t="s">
        <v>255</v>
      </c>
    </row>
    <row r="1437" spans="1:9" ht="12" hidden="1" customHeight="1" outlineLevel="4" x14ac:dyDescent="0.2">
      <c r="A1437" s="60" t="s">
        <v>614</v>
      </c>
      <c r="B1437" s="45"/>
      <c r="C1437" s="45"/>
      <c r="D1437" s="46">
        <v>76878.37</v>
      </c>
      <c r="E1437" s="45"/>
      <c r="F1437" s="45"/>
      <c r="G1437" s="45"/>
      <c r="I1437" s="73" t="s">
        <v>256</v>
      </c>
    </row>
    <row r="1438" spans="1:9" ht="12" hidden="1" customHeight="1" outlineLevel="4" x14ac:dyDescent="0.2">
      <c r="A1438" s="60" t="s">
        <v>586</v>
      </c>
      <c r="B1438" s="45"/>
      <c r="C1438" s="45"/>
      <c r="D1438" s="46">
        <v>439728.1</v>
      </c>
      <c r="E1438" s="45"/>
      <c r="F1438" s="45"/>
      <c r="G1438" s="45"/>
      <c r="I1438" s="73" t="s">
        <v>262</v>
      </c>
    </row>
    <row r="1439" spans="1:9" ht="12" hidden="1" customHeight="1" outlineLevel="4" x14ac:dyDescent="0.2">
      <c r="A1439" s="60" t="s">
        <v>613</v>
      </c>
      <c r="B1439" s="45"/>
      <c r="C1439" s="45"/>
      <c r="D1439" s="46">
        <v>925289.91</v>
      </c>
      <c r="E1439" s="45"/>
      <c r="F1439" s="45"/>
      <c r="G1439" s="45"/>
      <c r="I1439" s="73" t="s">
        <v>263</v>
      </c>
    </row>
    <row r="1440" spans="1:9" ht="12" hidden="1" customHeight="1" outlineLevel="4" x14ac:dyDescent="0.2">
      <c r="A1440" s="60" t="s">
        <v>612</v>
      </c>
      <c r="B1440" s="45"/>
      <c r="C1440" s="45"/>
      <c r="D1440" s="46">
        <v>36431.17</v>
      </c>
      <c r="E1440" s="45"/>
      <c r="F1440" s="45"/>
      <c r="G1440" s="45"/>
      <c r="I1440" s="73" t="s">
        <v>264</v>
      </c>
    </row>
    <row r="1441" spans="1:9" ht="12" hidden="1" customHeight="1" outlineLevel="4" x14ac:dyDescent="0.2">
      <c r="A1441" s="60" t="s">
        <v>611</v>
      </c>
      <c r="B1441" s="45"/>
      <c r="C1441" s="45"/>
      <c r="D1441" s="46">
        <v>25210.959999999999</v>
      </c>
      <c r="E1441" s="45"/>
      <c r="F1441" s="45"/>
      <c r="G1441" s="45"/>
      <c r="I1441" s="41" t="s">
        <v>143</v>
      </c>
    </row>
    <row r="1442" spans="1:9" ht="12" hidden="1" customHeight="1" outlineLevel="4" x14ac:dyDescent="0.2">
      <c r="A1442" s="60" t="s">
        <v>610</v>
      </c>
      <c r="B1442" s="45"/>
      <c r="C1442" s="45"/>
      <c r="D1442" s="46">
        <v>40461.730000000003</v>
      </c>
      <c r="E1442" s="45"/>
      <c r="F1442" s="45"/>
      <c r="G1442" s="45"/>
      <c r="I1442" s="73" t="s">
        <v>265</v>
      </c>
    </row>
    <row r="1443" spans="1:9" ht="12" hidden="1" customHeight="1" outlineLevel="4" x14ac:dyDescent="0.2">
      <c r="A1443" s="60" t="s">
        <v>609</v>
      </c>
      <c r="B1443" s="45"/>
      <c r="C1443" s="45"/>
      <c r="D1443" s="46">
        <v>15952.81</v>
      </c>
      <c r="E1443" s="45"/>
      <c r="F1443" s="45"/>
      <c r="G1443" s="45"/>
      <c r="I1443" s="73" t="s">
        <v>266</v>
      </c>
    </row>
    <row r="1444" spans="1:9" ht="12" hidden="1" customHeight="1" outlineLevel="4" x14ac:dyDescent="0.2">
      <c r="A1444" s="60" t="s">
        <v>608</v>
      </c>
      <c r="B1444" s="45"/>
      <c r="C1444" s="45"/>
      <c r="D1444" s="46">
        <v>67761.48</v>
      </c>
      <c r="E1444" s="45"/>
      <c r="F1444" s="45"/>
      <c r="G1444" s="45"/>
      <c r="I1444" s="73" t="s">
        <v>270</v>
      </c>
    </row>
    <row r="1445" spans="1:9" ht="12" hidden="1" customHeight="1" outlineLevel="4" x14ac:dyDescent="0.2">
      <c r="A1445" s="60" t="s">
        <v>607</v>
      </c>
      <c r="B1445" s="45"/>
      <c r="C1445" s="45"/>
      <c r="D1445" s="46">
        <v>109533.95</v>
      </c>
      <c r="E1445" s="45"/>
      <c r="F1445" s="45"/>
      <c r="G1445" s="45"/>
      <c r="I1445" s="73" t="s">
        <v>271</v>
      </c>
    </row>
    <row r="1446" spans="1:9" ht="12" hidden="1" customHeight="1" outlineLevel="4" x14ac:dyDescent="0.2">
      <c r="A1446" s="60" t="s">
        <v>606</v>
      </c>
      <c r="B1446" s="45"/>
      <c r="C1446" s="45"/>
      <c r="D1446" s="46">
        <v>53749.62</v>
      </c>
      <c r="E1446" s="45"/>
      <c r="F1446" s="45"/>
      <c r="G1446" s="45"/>
      <c r="I1446" s="73" t="s">
        <v>272</v>
      </c>
    </row>
    <row r="1447" spans="1:9" ht="12" hidden="1" customHeight="1" outlineLevel="4" x14ac:dyDescent="0.2">
      <c r="A1447" s="60" t="s">
        <v>605</v>
      </c>
      <c r="B1447" s="45"/>
      <c r="C1447" s="45"/>
      <c r="D1447" s="46">
        <v>72675</v>
      </c>
      <c r="E1447" s="45"/>
      <c r="F1447" s="45"/>
      <c r="G1447" s="45"/>
      <c r="I1447" s="73" t="s">
        <v>273</v>
      </c>
    </row>
    <row r="1448" spans="1:9" ht="12" hidden="1" customHeight="1" outlineLevel="4" x14ac:dyDescent="0.2">
      <c r="A1448" s="60" t="s">
        <v>604</v>
      </c>
      <c r="B1448" s="45"/>
      <c r="C1448" s="45"/>
      <c r="D1448" s="46">
        <v>77953.039999999994</v>
      </c>
      <c r="E1448" s="45"/>
      <c r="F1448" s="45"/>
      <c r="G1448" s="45"/>
      <c r="I1448" s="73" t="s">
        <v>274</v>
      </c>
    </row>
    <row r="1449" spans="1:9" ht="12" hidden="1" customHeight="1" outlineLevel="4" x14ac:dyDescent="0.2">
      <c r="A1449" s="60" t="s">
        <v>603</v>
      </c>
      <c r="B1449" s="45"/>
      <c r="C1449" s="45"/>
      <c r="D1449" s="46">
        <v>39081.86</v>
      </c>
      <c r="E1449" s="45"/>
      <c r="F1449" s="45"/>
      <c r="G1449" s="45"/>
      <c r="I1449" s="73" t="s">
        <v>275</v>
      </c>
    </row>
    <row r="1450" spans="1:9" ht="12" hidden="1" customHeight="1" outlineLevel="4" x14ac:dyDescent="0.2">
      <c r="A1450" s="60" t="s">
        <v>602</v>
      </c>
      <c r="B1450" s="45"/>
      <c r="C1450" s="45"/>
      <c r="D1450" s="46">
        <v>75805.63</v>
      </c>
      <c r="E1450" s="45"/>
      <c r="F1450" s="45"/>
      <c r="G1450" s="45"/>
      <c r="I1450" s="73" t="s">
        <v>276</v>
      </c>
    </row>
    <row r="1451" spans="1:9" ht="12" hidden="1" customHeight="1" outlineLevel="4" x14ac:dyDescent="0.2">
      <c r="A1451" s="60" t="s">
        <v>601</v>
      </c>
      <c r="B1451" s="45"/>
      <c r="C1451" s="45"/>
      <c r="D1451" s="46">
        <v>74098.83</v>
      </c>
      <c r="E1451" s="45"/>
      <c r="F1451" s="45"/>
      <c r="G1451" s="45"/>
      <c r="I1451" s="73" t="s">
        <v>277</v>
      </c>
    </row>
    <row r="1452" spans="1:9" ht="12" hidden="1" customHeight="1" outlineLevel="4" x14ac:dyDescent="0.2">
      <c r="A1452" s="60" t="s">
        <v>600</v>
      </c>
      <c r="B1452" s="45"/>
      <c r="C1452" s="45"/>
      <c r="D1452" s="46">
        <v>301892.08</v>
      </c>
      <c r="E1452" s="45"/>
      <c r="F1452" s="45"/>
      <c r="G1452" s="45"/>
      <c r="I1452" s="73" t="s">
        <v>278</v>
      </c>
    </row>
    <row r="1453" spans="1:9" ht="12" hidden="1" customHeight="1" outlineLevel="4" x14ac:dyDescent="0.2">
      <c r="A1453" s="60" t="s">
        <v>599</v>
      </c>
      <c r="B1453" s="45"/>
      <c r="C1453" s="45"/>
      <c r="D1453" s="46">
        <v>90361.87</v>
      </c>
      <c r="E1453" s="45"/>
      <c r="F1453" s="45"/>
      <c r="G1453" s="45"/>
      <c r="I1453" s="73" t="s">
        <v>267</v>
      </c>
    </row>
    <row r="1454" spans="1:9" ht="12" hidden="1" customHeight="1" outlineLevel="4" x14ac:dyDescent="0.2">
      <c r="A1454" s="60" t="s">
        <v>598</v>
      </c>
      <c r="B1454" s="45"/>
      <c r="C1454" s="45"/>
      <c r="D1454" s="46">
        <v>91032.28</v>
      </c>
      <c r="E1454" s="45"/>
      <c r="F1454" s="45"/>
      <c r="G1454" s="45"/>
      <c r="I1454" s="73" t="s">
        <v>279</v>
      </c>
    </row>
    <row r="1455" spans="1:9" ht="12" hidden="1" customHeight="1" outlineLevel="4" x14ac:dyDescent="0.2">
      <c r="A1455" s="60" t="s">
        <v>597</v>
      </c>
      <c r="B1455" s="45"/>
      <c r="C1455" s="45"/>
      <c r="D1455" s="46">
        <v>49017.27</v>
      </c>
      <c r="E1455" s="45"/>
      <c r="F1455" s="45"/>
      <c r="G1455" s="45"/>
      <c r="I1455" s="73" t="s">
        <v>280</v>
      </c>
    </row>
    <row r="1456" spans="1:9" ht="12" hidden="1" customHeight="1" outlineLevel="4" x14ac:dyDescent="0.2">
      <c r="A1456" s="60" t="s">
        <v>596</v>
      </c>
      <c r="B1456" s="45"/>
      <c r="C1456" s="45"/>
      <c r="D1456" s="46">
        <v>50262.27</v>
      </c>
      <c r="E1456" s="45"/>
      <c r="F1456" s="45"/>
      <c r="G1456" s="45"/>
      <c r="I1456" s="73" t="s">
        <v>281</v>
      </c>
    </row>
    <row r="1457" spans="1:50" ht="12" hidden="1" customHeight="1" outlineLevel="4" x14ac:dyDescent="0.2">
      <c r="A1457" s="60" t="s">
        <v>595</v>
      </c>
      <c r="B1457" s="45"/>
      <c r="C1457" s="45"/>
      <c r="D1457" s="46">
        <v>65785.42</v>
      </c>
      <c r="E1457" s="45"/>
      <c r="F1457" s="45"/>
      <c r="G1457" s="45"/>
      <c r="I1457" s="73" t="s">
        <v>282</v>
      </c>
    </row>
    <row r="1458" spans="1:50" ht="12" hidden="1" customHeight="1" outlineLevel="4" x14ac:dyDescent="0.2">
      <c r="A1458" s="60" t="s">
        <v>594</v>
      </c>
      <c r="B1458" s="45"/>
      <c r="C1458" s="45"/>
      <c r="D1458" s="46">
        <v>66441.78</v>
      </c>
      <c r="E1458" s="45"/>
      <c r="F1458" s="45"/>
      <c r="G1458" s="45"/>
      <c r="I1458" s="73" t="s">
        <v>283</v>
      </c>
    </row>
    <row r="1459" spans="1:50" ht="12" hidden="1" customHeight="1" outlineLevel="4" x14ac:dyDescent="0.2">
      <c r="A1459" s="60" t="s">
        <v>593</v>
      </c>
      <c r="B1459" s="45"/>
      <c r="C1459" s="45"/>
      <c r="D1459" s="46">
        <v>48184.63</v>
      </c>
      <c r="E1459" s="45"/>
      <c r="F1459" s="45"/>
      <c r="G1459" s="45"/>
      <c r="I1459" s="73" t="s">
        <v>284</v>
      </c>
    </row>
    <row r="1460" spans="1:50" ht="12" hidden="1" customHeight="1" outlineLevel="4" x14ac:dyDescent="0.2">
      <c r="A1460" s="60" t="s">
        <v>592</v>
      </c>
      <c r="B1460" s="45"/>
      <c r="C1460" s="45"/>
      <c r="D1460" s="46">
        <v>70205.45</v>
      </c>
      <c r="E1460" s="45"/>
      <c r="F1460" s="45"/>
      <c r="G1460" s="45"/>
      <c r="I1460" s="73" t="s">
        <v>285</v>
      </c>
    </row>
    <row r="1461" spans="1:50" ht="12" hidden="1" customHeight="1" outlineLevel="4" x14ac:dyDescent="0.2">
      <c r="A1461" s="60" t="s">
        <v>591</v>
      </c>
      <c r="B1461" s="45"/>
      <c r="C1461" s="45"/>
      <c r="D1461" s="46">
        <v>73381.78</v>
      </c>
      <c r="E1461" s="45"/>
      <c r="F1461" s="45"/>
      <c r="G1461" s="45"/>
      <c r="I1461" s="73" t="s">
        <v>268</v>
      </c>
    </row>
    <row r="1462" spans="1:50" ht="12" hidden="1" customHeight="1" outlineLevel="4" x14ac:dyDescent="0.2">
      <c r="A1462" s="60" t="s">
        <v>590</v>
      </c>
      <c r="B1462" s="45"/>
      <c r="C1462" s="45"/>
      <c r="D1462" s="46">
        <v>134299.21</v>
      </c>
      <c r="E1462" s="45"/>
      <c r="F1462" s="45"/>
      <c r="G1462" s="45"/>
      <c r="I1462" s="74" t="s">
        <v>286</v>
      </c>
    </row>
    <row r="1463" spans="1:50" ht="12" hidden="1" customHeight="1" outlineLevel="4" x14ac:dyDescent="0.2">
      <c r="A1463" s="60" t="s">
        <v>589</v>
      </c>
      <c r="B1463" s="45"/>
      <c r="C1463" s="45"/>
      <c r="D1463" s="46">
        <v>15205.78</v>
      </c>
      <c r="E1463" s="45"/>
      <c r="F1463" s="45"/>
      <c r="G1463" s="45"/>
      <c r="I1463" s="73" t="s">
        <v>288</v>
      </c>
    </row>
    <row r="1464" spans="1:50" ht="12" hidden="1" customHeight="1" outlineLevel="4" x14ac:dyDescent="0.2">
      <c r="A1464" s="60" t="s">
        <v>588</v>
      </c>
      <c r="B1464" s="45"/>
      <c r="C1464" s="45"/>
      <c r="D1464" s="46">
        <v>112299.77</v>
      </c>
      <c r="E1464" s="45"/>
      <c r="F1464" s="45"/>
      <c r="G1464" s="45"/>
      <c r="I1464" s="73" t="s">
        <v>269</v>
      </c>
    </row>
    <row r="1465" spans="1:50" ht="34.5" hidden="1" customHeight="1" outlineLevel="3" x14ac:dyDescent="0.2">
      <c r="A1465" s="61" t="s">
        <v>587</v>
      </c>
      <c r="B1465" s="45"/>
      <c r="C1465" s="45"/>
      <c r="D1465" s="83">
        <v>13500</v>
      </c>
      <c r="E1465" s="45"/>
      <c r="F1465" s="45"/>
      <c r="G1465" s="45"/>
    </row>
    <row r="1466" spans="1:50" ht="12" hidden="1" customHeight="1" outlineLevel="4" x14ac:dyDescent="0.2">
      <c r="A1466" s="60" t="s">
        <v>586</v>
      </c>
      <c r="B1466" s="45"/>
      <c r="C1466" s="45"/>
      <c r="D1466" s="46">
        <v>13500</v>
      </c>
      <c r="E1466" s="45"/>
      <c r="F1466" s="45"/>
      <c r="G1466" s="45"/>
      <c r="AX1466" s="73" t="s">
        <v>262</v>
      </c>
    </row>
    <row r="1467" spans="1:50" ht="12" customHeight="1" outlineLevel="1" collapsed="1" x14ac:dyDescent="0.2">
      <c r="A1467" s="50" t="s">
        <v>410</v>
      </c>
      <c r="B1467" s="48"/>
      <c r="C1467" s="48"/>
      <c r="D1467" s="68">
        <v>556496.38</v>
      </c>
      <c r="E1467" s="49">
        <v>556496.38</v>
      </c>
      <c r="F1467" s="48"/>
      <c r="G1467" s="48"/>
    </row>
    <row r="1468" spans="1:50" ht="12" hidden="1" customHeight="1" outlineLevel="2" collapsed="1" x14ac:dyDescent="0.2">
      <c r="A1468" s="63" t="s">
        <v>480</v>
      </c>
      <c r="B1468" s="62"/>
      <c r="C1468" s="62"/>
      <c r="D1468" s="62"/>
      <c r="E1468" s="62"/>
      <c r="F1468" s="62"/>
      <c r="G1468" s="62"/>
    </row>
    <row r="1469" spans="1:50" ht="12" hidden="1" customHeight="1" outlineLevel="3" x14ac:dyDescent="0.2">
      <c r="A1469" s="61" t="s">
        <v>472</v>
      </c>
      <c r="B1469" s="45"/>
      <c r="C1469" s="45"/>
      <c r="D1469" s="45"/>
      <c r="E1469" s="66">
        <v>0.08</v>
      </c>
      <c r="F1469" s="45"/>
      <c r="G1469" s="45"/>
    </row>
    <row r="1470" spans="1:50" ht="12" hidden="1" customHeight="1" outlineLevel="4" x14ac:dyDescent="0.2">
      <c r="A1470" s="60" t="s">
        <v>472</v>
      </c>
      <c r="B1470" s="45"/>
      <c r="C1470" s="45"/>
      <c r="D1470" s="45"/>
      <c r="E1470" s="66">
        <v>0.08</v>
      </c>
      <c r="F1470" s="45"/>
      <c r="G1470" s="45"/>
    </row>
    <row r="1471" spans="1:50" ht="12" hidden="1" customHeight="1" outlineLevel="3" x14ac:dyDescent="0.2">
      <c r="A1471" s="61" t="s">
        <v>472</v>
      </c>
      <c r="B1471" s="45"/>
      <c r="C1471" s="45"/>
      <c r="D1471" s="45"/>
      <c r="E1471" s="65">
        <v>-0.08</v>
      </c>
      <c r="F1471" s="45"/>
      <c r="G1471" s="45"/>
    </row>
    <row r="1472" spans="1:50" ht="12" hidden="1" customHeight="1" outlineLevel="4" x14ac:dyDescent="0.2">
      <c r="A1472" s="60" t="s">
        <v>472</v>
      </c>
      <c r="B1472" s="45"/>
      <c r="C1472" s="45"/>
      <c r="D1472" s="45"/>
      <c r="E1472" s="65">
        <v>-0.08</v>
      </c>
      <c r="F1472" s="45"/>
      <c r="G1472" s="45"/>
    </row>
    <row r="1473" spans="1:7" ht="12" hidden="1" customHeight="1" outlineLevel="2" collapsed="1" x14ac:dyDescent="0.2">
      <c r="A1473" s="63" t="s">
        <v>30</v>
      </c>
      <c r="B1473" s="62"/>
      <c r="C1473" s="62"/>
      <c r="D1473" s="62"/>
      <c r="E1473" s="62"/>
      <c r="F1473" s="62"/>
      <c r="G1473" s="62"/>
    </row>
    <row r="1474" spans="1:7" ht="12" hidden="1" customHeight="1" outlineLevel="3" x14ac:dyDescent="0.2">
      <c r="A1474" s="61" t="s">
        <v>472</v>
      </c>
      <c r="B1474" s="45"/>
      <c r="C1474" s="45"/>
      <c r="D1474" s="45"/>
      <c r="E1474" s="46">
        <v>38234.39</v>
      </c>
      <c r="F1474" s="45"/>
      <c r="G1474" s="45"/>
    </row>
    <row r="1475" spans="1:7" ht="12" hidden="1" customHeight="1" outlineLevel="4" x14ac:dyDescent="0.2">
      <c r="A1475" s="60" t="s">
        <v>472</v>
      </c>
      <c r="B1475" s="45"/>
      <c r="C1475" s="45"/>
      <c r="D1475" s="45"/>
      <c r="E1475" s="46">
        <v>38234.39</v>
      </c>
      <c r="F1475" s="45"/>
      <c r="G1475" s="45"/>
    </row>
    <row r="1476" spans="1:7" ht="12" hidden="1" customHeight="1" outlineLevel="3" x14ac:dyDescent="0.2">
      <c r="A1476" s="61" t="s">
        <v>472</v>
      </c>
      <c r="B1476" s="45"/>
      <c r="C1476" s="45"/>
      <c r="D1476" s="45"/>
      <c r="E1476" s="59">
        <v>-38234.39</v>
      </c>
      <c r="F1476" s="45"/>
      <c r="G1476" s="45"/>
    </row>
    <row r="1477" spans="1:7" ht="12" hidden="1" customHeight="1" outlineLevel="4" x14ac:dyDescent="0.2">
      <c r="A1477" s="60" t="s">
        <v>472</v>
      </c>
      <c r="B1477" s="45"/>
      <c r="C1477" s="45"/>
      <c r="D1477" s="45"/>
      <c r="E1477" s="59">
        <v>-38234.39</v>
      </c>
      <c r="F1477" s="45"/>
      <c r="G1477" s="45"/>
    </row>
    <row r="1478" spans="1:7" ht="12" hidden="1" customHeight="1" outlineLevel="2" collapsed="1" x14ac:dyDescent="0.2">
      <c r="A1478" s="63" t="s">
        <v>479</v>
      </c>
      <c r="B1478" s="62"/>
      <c r="C1478" s="62"/>
      <c r="D1478" s="62"/>
      <c r="E1478" s="62"/>
      <c r="F1478" s="62"/>
      <c r="G1478" s="62"/>
    </row>
    <row r="1479" spans="1:7" ht="12" hidden="1" customHeight="1" outlineLevel="3" x14ac:dyDescent="0.2">
      <c r="A1479" s="61" t="s">
        <v>472</v>
      </c>
      <c r="B1479" s="45"/>
      <c r="C1479" s="45"/>
      <c r="D1479" s="45"/>
      <c r="E1479" s="46">
        <v>77333.56</v>
      </c>
      <c r="F1479" s="45"/>
      <c r="G1479" s="45"/>
    </row>
    <row r="1480" spans="1:7" ht="12" hidden="1" customHeight="1" outlineLevel="4" x14ac:dyDescent="0.2">
      <c r="A1480" s="60" t="s">
        <v>472</v>
      </c>
      <c r="B1480" s="45"/>
      <c r="C1480" s="45"/>
      <c r="D1480" s="45"/>
      <c r="E1480" s="46">
        <v>77333.56</v>
      </c>
      <c r="F1480" s="45"/>
      <c r="G1480" s="45"/>
    </row>
    <row r="1481" spans="1:7" ht="12" hidden="1" customHeight="1" outlineLevel="3" x14ac:dyDescent="0.2">
      <c r="A1481" s="61" t="s">
        <v>472</v>
      </c>
      <c r="B1481" s="45"/>
      <c r="C1481" s="45"/>
      <c r="D1481" s="45"/>
      <c r="E1481" s="59">
        <v>-77333.56</v>
      </c>
      <c r="F1481" s="45"/>
      <c r="G1481" s="45"/>
    </row>
    <row r="1482" spans="1:7" ht="12" hidden="1" customHeight="1" outlineLevel="4" x14ac:dyDescent="0.2">
      <c r="A1482" s="60" t="s">
        <v>472</v>
      </c>
      <c r="B1482" s="45"/>
      <c r="C1482" s="45"/>
      <c r="D1482" s="45"/>
      <c r="E1482" s="59">
        <v>-77333.56</v>
      </c>
      <c r="F1482" s="45"/>
      <c r="G1482" s="45"/>
    </row>
    <row r="1483" spans="1:7" ht="12" hidden="1" customHeight="1" outlineLevel="2" collapsed="1" x14ac:dyDescent="0.2">
      <c r="A1483" s="63" t="s">
        <v>478</v>
      </c>
      <c r="B1483" s="62"/>
      <c r="C1483" s="62"/>
      <c r="D1483" s="62"/>
      <c r="E1483" s="62"/>
      <c r="F1483" s="62"/>
      <c r="G1483" s="62"/>
    </row>
    <row r="1484" spans="1:7" ht="12" hidden="1" customHeight="1" outlineLevel="3" x14ac:dyDescent="0.2">
      <c r="A1484" s="61" t="s">
        <v>472</v>
      </c>
      <c r="B1484" s="45"/>
      <c r="C1484" s="45"/>
      <c r="D1484" s="45"/>
      <c r="E1484" s="66">
        <v>12.29</v>
      </c>
      <c r="F1484" s="45"/>
      <c r="G1484" s="45"/>
    </row>
    <row r="1485" spans="1:7" ht="12" hidden="1" customHeight="1" outlineLevel="4" x14ac:dyDescent="0.2">
      <c r="A1485" s="60" t="s">
        <v>472</v>
      </c>
      <c r="B1485" s="45"/>
      <c r="C1485" s="45"/>
      <c r="D1485" s="45"/>
      <c r="E1485" s="66">
        <v>12.29</v>
      </c>
      <c r="F1485" s="45"/>
      <c r="G1485" s="45"/>
    </row>
    <row r="1486" spans="1:7" ht="12" hidden="1" customHeight="1" outlineLevel="3" x14ac:dyDescent="0.2">
      <c r="A1486" s="61" t="s">
        <v>472</v>
      </c>
      <c r="B1486" s="45"/>
      <c r="C1486" s="45"/>
      <c r="D1486" s="45"/>
      <c r="E1486" s="65">
        <v>-12.29</v>
      </c>
      <c r="F1486" s="45"/>
      <c r="G1486" s="45"/>
    </row>
    <row r="1487" spans="1:7" ht="12" hidden="1" customHeight="1" outlineLevel="4" x14ac:dyDescent="0.2">
      <c r="A1487" s="60" t="s">
        <v>472</v>
      </c>
      <c r="B1487" s="45"/>
      <c r="C1487" s="45"/>
      <c r="D1487" s="45"/>
      <c r="E1487" s="65">
        <v>-12.29</v>
      </c>
      <c r="F1487" s="45"/>
      <c r="G1487" s="45"/>
    </row>
    <row r="1488" spans="1:7" ht="12" hidden="1" customHeight="1" outlineLevel="2" collapsed="1" x14ac:dyDescent="0.2">
      <c r="A1488" s="63" t="s">
        <v>32</v>
      </c>
      <c r="B1488" s="62"/>
      <c r="C1488" s="62"/>
      <c r="D1488" s="62"/>
      <c r="E1488" s="62"/>
      <c r="F1488" s="62"/>
      <c r="G1488" s="62"/>
    </row>
    <row r="1489" spans="1:7" ht="12" hidden="1" customHeight="1" outlineLevel="3" x14ac:dyDescent="0.2">
      <c r="A1489" s="61" t="s">
        <v>472</v>
      </c>
      <c r="B1489" s="45"/>
      <c r="C1489" s="45"/>
      <c r="D1489" s="45"/>
      <c r="E1489" s="46">
        <v>136825.99</v>
      </c>
      <c r="F1489" s="45"/>
      <c r="G1489" s="45"/>
    </row>
    <row r="1490" spans="1:7" ht="12" hidden="1" customHeight="1" outlineLevel="4" x14ac:dyDescent="0.2">
      <c r="A1490" s="60" t="s">
        <v>472</v>
      </c>
      <c r="B1490" s="45"/>
      <c r="C1490" s="45"/>
      <c r="D1490" s="45"/>
      <c r="E1490" s="46">
        <v>136825.99</v>
      </c>
      <c r="F1490" s="45"/>
      <c r="G1490" s="45"/>
    </row>
    <row r="1491" spans="1:7" ht="12" hidden="1" customHeight="1" outlineLevel="3" x14ac:dyDescent="0.2">
      <c r="A1491" s="61" t="s">
        <v>472</v>
      </c>
      <c r="B1491" s="45"/>
      <c r="C1491" s="45"/>
      <c r="D1491" s="45"/>
      <c r="E1491" s="59">
        <v>-136825.99</v>
      </c>
      <c r="F1491" s="45"/>
      <c r="G1491" s="45"/>
    </row>
    <row r="1492" spans="1:7" ht="12" hidden="1" customHeight="1" outlineLevel="4" x14ac:dyDescent="0.2">
      <c r="A1492" s="60" t="s">
        <v>472</v>
      </c>
      <c r="B1492" s="45"/>
      <c r="C1492" s="45"/>
      <c r="D1492" s="45"/>
      <c r="E1492" s="59">
        <v>-136825.99</v>
      </c>
      <c r="F1492" s="45"/>
      <c r="G1492" s="45"/>
    </row>
    <row r="1493" spans="1:7" ht="12" hidden="1" customHeight="1" outlineLevel="2" collapsed="1" x14ac:dyDescent="0.2">
      <c r="A1493" s="63" t="s">
        <v>477</v>
      </c>
      <c r="B1493" s="62"/>
      <c r="C1493" s="62"/>
      <c r="D1493" s="64">
        <v>556496.38</v>
      </c>
      <c r="E1493" s="64">
        <v>556496.38</v>
      </c>
      <c r="F1493" s="62"/>
      <c r="G1493" s="62"/>
    </row>
    <row r="1494" spans="1:7" ht="12" hidden="1" customHeight="1" outlineLevel="3" x14ac:dyDescent="0.2">
      <c r="A1494" s="61" t="s">
        <v>472</v>
      </c>
      <c r="B1494" s="45"/>
      <c r="C1494" s="45"/>
      <c r="D1494" s="45"/>
      <c r="E1494" s="46">
        <v>821839.69</v>
      </c>
      <c r="F1494" s="45"/>
      <c r="G1494" s="45"/>
    </row>
    <row r="1495" spans="1:7" ht="12" hidden="1" customHeight="1" outlineLevel="4" x14ac:dyDescent="0.2">
      <c r="A1495" s="60" t="s">
        <v>472</v>
      </c>
      <c r="B1495" s="45"/>
      <c r="C1495" s="45"/>
      <c r="D1495" s="45"/>
      <c r="E1495" s="46">
        <v>821839.69</v>
      </c>
      <c r="F1495" s="45"/>
      <c r="G1495" s="45"/>
    </row>
    <row r="1496" spans="1:7" ht="12" hidden="1" customHeight="1" outlineLevel="3" x14ac:dyDescent="0.2">
      <c r="A1496" s="61" t="s">
        <v>472</v>
      </c>
      <c r="B1496" s="45"/>
      <c r="C1496" s="45"/>
      <c r="D1496" s="45"/>
      <c r="E1496" s="59">
        <v>-265343.31</v>
      </c>
      <c r="F1496" s="45"/>
      <c r="G1496" s="45"/>
    </row>
    <row r="1497" spans="1:7" ht="12" hidden="1" customHeight="1" outlineLevel="4" x14ac:dyDescent="0.2">
      <c r="A1497" s="60" t="s">
        <v>472</v>
      </c>
      <c r="B1497" s="45"/>
      <c r="C1497" s="45"/>
      <c r="D1497" s="45"/>
      <c r="E1497" s="59">
        <v>-265343.31</v>
      </c>
      <c r="F1497" s="45"/>
      <c r="G1497" s="45"/>
    </row>
    <row r="1498" spans="1:7" ht="23.25" hidden="1" customHeight="1" outlineLevel="3" x14ac:dyDescent="0.2">
      <c r="A1498" s="61" t="s">
        <v>393</v>
      </c>
      <c r="B1498" s="45"/>
      <c r="C1498" s="45"/>
      <c r="D1498" s="46">
        <v>430554.92</v>
      </c>
      <c r="E1498" s="45"/>
      <c r="F1498" s="45"/>
      <c r="G1498" s="45"/>
    </row>
    <row r="1499" spans="1:7" ht="12" hidden="1" customHeight="1" outlineLevel="4" x14ac:dyDescent="0.2">
      <c r="A1499" s="60" t="s">
        <v>472</v>
      </c>
      <c r="B1499" s="45"/>
      <c r="C1499" s="45"/>
      <c r="D1499" s="46">
        <v>430554.92</v>
      </c>
      <c r="E1499" s="45"/>
      <c r="F1499" s="45"/>
      <c r="G1499" s="45"/>
    </row>
    <row r="1500" spans="1:7" ht="12" hidden="1" customHeight="1" outlineLevel="3" x14ac:dyDescent="0.2">
      <c r="A1500" s="61" t="s">
        <v>392</v>
      </c>
      <c r="B1500" s="45"/>
      <c r="C1500" s="45"/>
      <c r="D1500" s="46">
        <v>125941.46</v>
      </c>
      <c r="E1500" s="45"/>
      <c r="F1500" s="45"/>
      <c r="G1500" s="45"/>
    </row>
    <row r="1501" spans="1:7" ht="12" hidden="1" customHeight="1" outlineLevel="4" x14ac:dyDescent="0.2">
      <c r="A1501" s="60" t="s">
        <v>472</v>
      </c>
      <c r="B1501" s="45"/>
      <c r="C1501" s="45"/>
      <c r="D1501" s="46">
        <v>125941.46</v>
      </c>
      <c r="E1501" s="45"/>
      <c r="F1501" s="45"/>
      <c r="G1501" s="45"/>
    </row>
    <row r="1502" spans="1:7" ht="12" hidden="1" customHeight="1" outlineLevel="2" collapsed="1" x14ac:dyDescent="0.2">
      <c r="A1502" s="63" t="s">
        <v>476</v>
      </c>
      <c r="B1502" s="62"/>
      <c r="C1502" s="62"/>
      <c r="D1502" s="62"/>
      <c r="E1502" s="62"/>
      <c r="F1502" s="62"/>
      <c r="G1502" s="62"/>
    </row>
    <row r="1503" spans="1:7" ht="12" hidden="1" customHeight="1" outlineLevel="3" x14ac:dyDescent="0.2">
      <c r="A1503" s="61" t="s">
        <v>472</v>
      </c>
      <c r="B1503" s="45"/>
      <c r="C1503" s="45"/>
      <c r="D1503" s="45"/>
      <c r="E1503" s="46">
        <v>21651.68</v>
      </c>
      <c r="F1503" s="45"/>
      <c r="G1503" s="45"/>
    </row>
    <row r="1504" spans="1:7" ht="12" hidden="1" customHeight="1" outlineLevel="4" x14ac:dyDescent="0.2">
      <c r="A1504" s="60" t="s">
        <v>472</v>
      </c>
      <c r="B1504" s="45"/>
      <c r="C1504" s="45"/>
      <c r="D1504" s="45"/>
      <c r="E1504" s="46">
        <v>21651.68</v>
      </c>
      <c r="F1504" s="45"/>
      <c r="G1504" s="45"/>
    </row>
    <row r="1505" spans="1:9" ht="12" hidden="1" customHeight="1" outlineLevel="3" x14ac:dyDescent="0.2">
      <c r="A1505" s="61" t="s">
        <v>472</v>
      </c>
      <c r="B1505" s="45"/>
      <c r="C1505" s="45"/>
      <c r="D1505" s="45"/>
      <c r="E1505" s="59">
        <v>-21651.68</v>
      </c>
      <c r="F1505" s="45"/>
      <c r="G1505" s="45"/>
    </row>
    <row r="1506" spans="1:9" ht="12" hidden="1" customHeight="1" outlineLevel="4" x14ac:dyDescent="0.2">
      <c r="A1506" s="60" t="s">
        <v>472</v>
      </c>
      <c r="B1506" s="45"/>
      <c r="C1506" s="45"/>
      <c r="D1506" s="45"/>
      <c r="E1506" s="59">
        <v>-21651.68</v>
      </c>
      <c r="F1506" s="45"/>
      <c r="G1506" s="45"/>
    </row>
    <row r="1507" spans="1:9" ht="12" hidden="1" customHeight="1" outlineLevel="2" collapsed="1" x14ac:dyDescent="0.2">
      <c r="A1507" s="63" t="s">
        <v>475</v>
      </c>
      <c r="B1507" s="62"/>
      <c r="C1507" s="62"/>
      <c r="D1507" s="62"/>
      <c r="E1507" s="62"/>
      <c r="F1507" s="62"/>
      <c r="G1507" s="62"/>
    </row>
    <row r="1508" spans="1:9" ht="12" hidden="1" customHeight="1" outlineLevel="3" x14ac:dyDescent="0.2">
      <c r="A1508" s="61" t="s">
        <v>472</v>
      </c>
      <c r="B1508" s="45"/>
      <c r="C1508" s="45"/>
      <c r="D1508" s="45"/>
      <c r="E1508" s="46">
        <v>17095.080000000002</v>
      </c>
      <c r="F1508" s="45"/>
      <c r="G1508" s="45"/>
    </row>
    <row r="1509" spans="1:9" ht="12" hidden="1" customHeight="1" outlineLevel="4" x14ac:dyDescent="0.2">
      <c r="A1509" s="60" t="s">
        <v>472</v>
      </c>
      <c r="B1509" s="45"/>
      <c r="C1509" s="45"/>
      <c r="D1509" s="45"/>
      <c r="E1509" s="46">
        <v>17095.080000000002</v>
      </c>
      <c r="F1509" s="45"/>
      <c r="G1509" s="45"/>
    </row>
    <row r="1510" spans="1:9" ht="12" hidden="1" customHeight="1" outlineLevel="3" x14ac:dyDescent="0.2">
      <c r="A1510" s="61" t="s">
        <v>472</v>
      </c>
      <c r="B1510" s="45"/>
      <c r="C1510" s="45"/>
      <c r="D1510" s="45"/>
      <c r="E1510" s="59">
        <v>-17095.080000000002</v>
      </c>
      <c r="F1510" s="45"/>
      <c r="G1510" s="45"/>
    </row>
    <row r="1511" spans="1:9" ht="12" hidden="1" customHeight="1" outlineLevel="4" x14ac:dyDescent="0.2">
      <c r="A1511" s="60" t="s">
        <v>472</v>
      </c>
      <c r="B1511" s="45"/>
      <c r="C1511" s="45"/>
      <c r="D1511" s="45"/>
      <c r="E1511" s="59">
        <v>-17095.080000000002</v>
      </c>
      <c r="F1511" s="45"/>
      <c r="G1511" s="45"/>
    </row>
    <row r="1512" spans="1:9" ht="12" customHeight="1" outlineLevel="1" collapsed="1" x14ac:dyDescent="0.2">
      <c r="A1512" s="79" t="s">
        <v>409</v>
      </c>
      <c r="B1512" s="48"/>
      <c r="C1512" s="48"/>
      <c r="D1512" s="49">
        <v>25888.07</v>
      </c>
      <c r="E1512" s="49">
        <v>25888.07</v>
      </c>
      <c r="F1512" s="48"/>
      <c r="G1512" s="48"/>
    </row>
    <row r="1513" spans="1:9" ht="12" hidden="1" customHeight="1" outlineLevel="2" collapsed="1" x14ac:dyDescent="0.2">
      <c r="A1513" s="63" t="s">
        <v>477</v>
      </c>
      <c r="B1513" s="62"/>
      <c r="C1513" s="62"/>
      <c r="D1513" s="64">
        <v>25888.07</v>
      </c>
      <c r="E1513" s="64">
        <v>25888.07</v>
      </c>
      <c r="F1513" s="62"/>
      <c r="G1513" s="62"/>
    </row>
    <row r="1514" spans="1:9" ht="12" hidden="1" customHeight="1" outlineLevel="3" x14ac:dyDescent="0.2">
      <c r="A1514" s="61" t="s">
        <v>472</v>
      </c>
      <c r="B1514" s="45"/>
      <c r="C1514" s="45"/>
      <c r="D1514" s="45"/>
      <c r="E1514" s="46">
        <v>32427.91</v>
      </c>
      <c r="F1514" s="45"/>
      <c r="G1514" s="45"/>
    </row>
    <row r="1515" spans="1:9" ht="12" hidden="1" customHeight="1" outlineLevel="4" x14ac:dyDescent="0.2">
      <c r="A1515" s="60" t="s">
        <v>472</v>
      </c>
      <c r="B1515" s="45"/>
      <c r="C1515" s="45"/>
      <c r="D1515" s="45"/>
      <c r="E1515" s="46">
        <v>32427.91</v>
      </c>
      <c r="F1515" s="45"/>
      <c r="G1515" s="45"/>
    </row>
    <row r="1516" spans="1:9" ht="12" hidden="1" customHeight="1" outlineLevel="3" x14ac:dyDescent="0.2">
      <c r="A1516" s="61" t="s">
        <v>472</v>
      </c>
      <c r="B1516" s="45"/>
      <c r="C1516" s="45"/>
      <c r="D1516" s="45"/>
      <c r="E1516" s="59">
        <v>-6539.84</v>
      </c>
      <c r="F1516" s="45"/>
      <c r="G1516" s="45"/>
    </row>
    <row r="1517" spans="1:9" ht="12" hidden="1" customHeight="1" outlineLevel="4" x14ac:dyDescent="0.2">
      <c r="A1517" s="60" t="s">
        <v>472</v>
      </c>
      <c r="B1517" s="45"/>
      <c r="C1517" s="45"/>
      <c r="D1517" s="45"/>
      <c r="E1517" s="59">
        <v>-6539.84</v>
      </c>
      <c r="F1517" s="45"/>
      <c r="G1517" s="45"/>
    </row>
    <row r="1518" spans="1:9" ht="23.25" hidden="1" customHeight="1" outlineLevel="3" x14ac:dyDescent="0.2">
      <c r="A1518" s="61" t="s">
        <v>403</v>
      </c>
      <c r="B1518" s="45"/>
      <c r="C1518" s="45"/>
      <c r="D1518" s="83">
        <v>6539.84</v>
      </c>
      <c r="E1518" s="45"/>
      <c r="F1518" s="45"/>
      <c r="G1518" s="45"/>
      <c r="I1518" s="41" t="s">
        <v>95</v>
      </c>
    </row>
    <row r="1519" spans="1:9" ht="12" hidden="1" customHeight="1" outlineLevel="4" x14ac:dyDescent="0.2">
      <c r="A1519" s="60" t="s">
        <v>472</v>
      </c>
      <c r="B1519" s="45"/>
      <c r="C1519" s="45"/>
      <c r="D1519" s="46">
        <v>6539.84</v>
      </c>
      <c r="E1519" s="45"/>
      <c r="F1519" s="45"/>
      <c r="G1519" s="45"/>
    </row>
    <row r="1520" spans="1:9" ht="23.25" hidden="1" customHeight="1" outlineLevel="3" x14ac:dyDescent="0.2">
      <c r="A1520" s="61" t="s">
        <v>494</v>
      </c>
      <c r="B1520" s="45"/>
      <c r="C1520" s="45"/>
      <c r="D1520" s="83">
        <v>19348.23</v>
      </c>
      <c r="E1520" s="45"/>
      <c r="F1520" s="45"/>
      <c r="G1520" s="45"/>
    </row>
    <row r="1521" spans="1:9" ht="23.25" hidden="1" customHeight="1" outlineLevel="4" x14ac:dyDescent="0.2">
      <c r="A1521" s="60" t="s">
        <v>585</v>
      </c>
      <c r="B1521" s="45"/>
      <c r="C1521" s="45"/>
      <c r="D1521" s="46">
        <v>7123.74</v>
      </c>
      <c r="E1521" s="45"/>
      <c r="F1521" s="45"/>
      <c r="G1521" s="45"/>
      <c r="I1521" s="73" t="s">
        <v>96</v>
      </c>
    </row>
    <row r="1522" spans="1:9" ht="23.25" hidden="1" customHeight="1" outlineLevel="4" x14ac:dyDescent="0.2">
      <c r="A1522" s="60" t="s">
        <v>584</v>
      </c>
      <c r="B1522" s="45"/>
      <c r="C1522" s="45"/>
      <c r="D1522" s="46">
        <v>1146</v>
      </c>
      <c r="E1522" s="45"/>
      <c r="F1522" s="45"/>
      <c r="G1522" s="45"/>
      <c r="I1522" s="76" t="s">
        <v>95</v>
      </c>
    </row>
    <row r="1523" spans="1:9" ht="23.25" hidden="1" customHeight="1" outlineLevel="4" x14ac:dyDescent="0.2">
      <c r="A1523" s="60" t="s">
        <v>583</v>
      </c>
      <c r="B1523" s="45"/>
      <c r="C1523" s="45"/>
      <c r="D1523" s="46">
        <v>5616.03</v>
      </c>
      <c r="E1523" s="45"/>
      <c r="F1523" s="45"/>
      <c r="G1523" s="45"/>
      <c r="I1523" s="73" t="s">
        <v>94</v>
      </c>
    </row>
    <row r="1524" spans="1:9" ht="23.25" hidden="1" customHeight="1" outlineLevel="4" x14ac:dyDescent="0.2">
      <c r="A1524" s="60" t="s">
        <v>582</v>
      </c>
      <c r="B1524" s="45"/>
      <c r="C1524" s="45"/>
      <c r="D1524" s="46">
        <v>3009.3</v>
      </c>
      <c r="E1524" s="45"/>
      <c r="F1524" s="45"/>
      <c r="G1524" s="45"/>
      <c r="I1524" s="73" t="s">
        <v>328</v>
      </c>
    </row>
    <row r="1525" spans="1:9" ht="23.25" hidden="1" customHeight="1" outlineLevel="4" x14ac:dyDescent="0.2">
      <c r="A1525" s="60" t="s">
        <v>581</v>
      </c>
      <c r="B1525" s="45"/>
      <c r="C1525" s="45"/>
      <c r="D1525" s="46">
        <v>2384.08</v>
      </c>
      <c r="E1525" s="45"/>
      <c r="F1525" s="45"/>
      <c r="G1525" s="45"/>
      <c r="I1525" s="73" t="s">
        <v>329</v>
      </c>
    </row>
    <row r="1526" spans="1:9" ht="12" hidden="1" customHeight="1" outlineLevel="4" x14ac:dyDescent="0.2">
      <c r="A1526" s="60" t="s">
        <v>580</v>
      </c>
      <c r="B1526" s="45"/>
      <c r="C1526" s="45"/>
      <c r="D1526" s="66">
        <v>69.08</v>
      </c>
      <c r="E1526" s="45"/>
      <c r="F1526" s="45"/>
      <c r="G1526" s="45"/>
      <c r="I1526" s="73" t="s">
        <v>327</v>
      </c>
    </row>
    <row r="1527" spans="1:9" ht="12" customHeight="1" outlineLevel="1" collapsed="1" x14ac:dyDescent="0.2">
      <c r="A1527" s="50" t="s">
        <v>408</v>
      </c>
      <c r="B1527" s="48"/>
      <c r="C1527" s="48"/>
      <c r="D1527" s="68">
        <v>1648118.24</v>
      </c>
      <c r="E1527" s="49">
        <v>1648118.24</v>
      </c>
      <c r="F1527" s="48"/>
      <c r="G1527" s="48"/>
    </row>
    <row r="1528" spans="1:9" ht="12" hidden="1" customHeight="1" outlineLevel="2" collapsed="1" x14ac:dyDescent="0.2">
      <c r="A1528" s="63" t="s">
        <v>480</v>
      </c>
      <c r="B1528" s="62"/>
      <c r="C1528" s="62"/>
      <c r="D1528" s="62"/>
      <c r="E1528" s="62"/>
      <c r="F1528" s="62"/>
      <c r="G1528" s="62"/>
    </row>
    <row r="1529" spans="1:9" ht="12" hidden="1" customHeight="1" outlineLevel="3" x14ac:dyDescent="0.2">
      <c r="A1529" s="61" t="s">
        <v>472</v>
      </c>
      <c r="B1529" s="45"/>
      <c r="C1529" s="45"/>
      <c r="D1529" s="45"/>
      <c r="E1529" s="66">
        <v>1.6</v>
      </c>
      <c r="F1529" s="45"/>
      <c r="G1529" s="45"/>
    </row>
    <row r="1530" spans="1:9" ht="12" hidden="1" customHeight="1" outlineLevel="4" x14ac:dyDescent="0.2">
      <c r="A1530" s="60" t="s">
        <v>472</v>
      </c>
      <c r="B1530" s="45"/>
      <c r="C1530" s="45"/>
      <c r="D1530" s="45"/>
      <c r="E1530" s="66">
        <v>1.6</v>
      </c>
      <c r="F1530" s="45"/>
      <c r="G1530" s="45"/>
    </row>
    <row r="1531" spans="1:9" ht="12" hidden="1" customHeight="1" outlineLevel="3" x14ac:dyDescent="0.2">
      <c r="A1531" s="61" t="s">
        <v>472</v>
      </c>
      <c r="B1531" s="45"/>
      <c r="C1531" s="45"/>
      <c r="D1531" s="45"/>
      <c r="E1531" s="65">
        <v>-1.6</v>
      </c>
      <c r="F1531" s="45"/>
      <c r="G1531" s="45"/>
    </row>
    <row r="1532" spans="1:9" ht="12" hidden="1" customHeight="1" outlineLevel="4" x14ac:dyDescent="0.2">
      <c r="A1532" s="60" t="s">
        <v>472</v>
      </c>
      <c r="B1532" s="45"/>
      <c r="C1532" s="45"/>
      <c r="D1532" s="45"/>
      <c r="E1532" s="65">
        <v>-1.6</v>
      </c>
      <c r="F1532" s="45"/>
      <c r="G1532" s="45"/>
    </row>
    <row r="1533" spans="1:9" ht="12" hidden="1" customHeight="1" outlineLevel="2" collapsed="1" x14ac:dyDescent="0.2">
      <c r="A1533" s="63" t="s">
        <v>30</v>
      </c>
      <c r="B1533" s="62"/>
      <c r="C1533" s="62"/>
      <c r="D1533" s="62"/>
      <c r="E1533" s="62"/>
      <c r="F1533" s="62"/>
      <c r="G1533" s="62"/>
    </row>
    <row r="1534" spans="1:9" ht="12" hidden="1" customHeight="1" outlineLevel="3" x14ac:dyDescent="0.2">
      <c r="A1534" s="61" t="s">
        <v>472</v>
      </c>
      <c r="B1534" s="45"/>
      <c r="C1534" s="45"/>
      <c r="D1534" s="45"/>
      <c r="E1534" s="46">
        <v>107509.93</v>
      </c>
      <c r="F1534" s="45"/>
      <c r="G1534" s="45"/>
    </row>
    <row r="1535" spans="1:9" ht="12" hidden="1" customHeight="1" outlineLevel="4" x14ac:dyDescent="0.2">
      <c r="A1535" s="60" t="s">
        <v>472</v>
      </c>
      <c r="B1535" s="45"/>
      <c r="C1535" s="45"/>
      <c r="D1535" s="45"/>
      <c r="E1535" s="46">
        <v>107509.93</v>
      </c>
      <c r="F1535" s="45"/>
      <c r="G1535" s="45"/>
    </row>
    <row r="1536" spans="1:9" ht="12" hidden="1" customHeight="1" outlineLevel="3" x14ac:dyDescent="0.2">
      <c r="A1536" s="61" t="s">
        <v>472</v>
      </c>
      <c r="B1536" s="45"/>
      <c r="C1536" s="45"/>
      <c r="D1536" s="45"/>
      <c r="E1536" s="59">
        <v>-107509.93</v>
      </c>
      <c r="F1536" s="45"/>
      <c r="G1536" s="45"/>
    </row>
    <row r="1537" spans="1:7" ht="12" hidden="1" customHeight="1" outlineLevel="4" x14ac:dyDescent="0.2">
      <c r="A1537" s="60" t="s">
        <v>472</v>
      </c>
      <c r="B1537" s="45"/>
      <c r="C1537" s="45"/>
      <c r="D1537" s="45"/>
      <c r="E1537" s="59">
        <v>-107509.93</v>
      </c>
      <c r="F1537" s="45"/>
      <c r="G1537" s="45"/>
    </row>
    <row r="1538" spans="1:7" ht="12" hidden="1" customHeight="1" outlineLevel="2" collapsed="1" x14ac:dyDescent="0.2">
      <c r="A1538" s="63" t="s">
        <v>479</v>
      </c>
      <c r="B1538" s="62"/>
      <c r="C1538" s="62"/>
      <c r="D1538" s="62"/>
      <c r="E1538" s="62"/>
      <c r="F1538" s="62"/>
      <c r="G1538" s="62"/>
    </row>
    <row r="1539" spans="1:7" ht="12" hidden="1" customHeight="1" outlineLevel="3" x14ac:dyDescent="0.2">
      <c r="A1539" s="61" t="s">
        <v>472</v>
      </c>
      <c r="B1539" s="45"/>
      <c r="C1539" s="45"/>
      <c r="D1539" s="45"/>
      <c r="E1539" s="46">
        <v>218451.67</v>
      </c>
      <c r="F1539" s="45"/>
      <c r="G1539" s="45"/>
    </row>
    <row r="1540" spans="1:7" ht="12" hidden="1" customHeight="1" outlineLevel="4" x14ac:dyDescent="0.2">
      <c r="A1540" s="60" t="s">
        <v>472</v>
      </c>
      <c r="B1540" s="45"/>
      <c r="C1540" s="45"/>
      <c r="D1540" s="45"/>
      <c r="E1540" s="46">
        <v>218451.67</v>
      </c>
      <c r="F1540" s="45"/>
      <c r="G1540" s="45"/>
    </row>
    <row r="1541" spans="1:7" ht="12" hidden="1" customHeight="1" outlineLevel="3" x14ac:dyDescent="0.2">
      <c r="A1541" s="61" t="s">
        <v>472</v>
      </c>
      <c r="B1541" s="45"/>
      <c r="C1541" s="45"/>
      <c r="D1541" s="45"/>
      <c r="E1541" s="59">
        <v>-218451.67</v>
      </c>
      <c r="F1541" s="45"/>
      <c r="G1541" s="45"/>
    </row>
    <row r="1542" spans="1:7" ht="12" hidden="1" customHeight="1" outlineLevel="4" x14ac:dyDescent="0.2">
      <c r="A1542" s="60" t="s">
        <v>472</v>
      </c>
      <c r="B1542" s="45"/>
      <c r="C1542" s="45"/>
      <c r="D1542" s="45"/>
      <c r="E1542" s="59">
        <v>-218451.67</v>
      </c>
      <c r="F1542" s="45"/>
      <c r="G1542" s="45"/>
    </row>
    <row r="1543" spans="1:7" ht="12" hidden="1" customHeight="1" outlineLevel="2" collapsed="1" x14ac:dyDescent="0.2">
      <c r="A1543" s="63" t="s">
        <v>478</v>
      </c>
      <c r="B1543" s="62"/>
      <c r="C1543" s="62"/>
      <c r="D1543" s="62"/>
      <c r="E1543" s="62"/>
      <c r="F1543" s="62"/>
      <c r="G1543" s="62"/>
    </row>
    <row r="1544" spans="1:7" ht="12" hidden="1" customHeight="1" outlineLevel="3" x14ac:dyDescent="0.2">
      <c r="A1544" s="61" t="s">
        <v>472</v>
      </c>
      <c r="B1544" s="45"/>
      <c r="C1544" s="45"/>
      <c r="D1544" s="45"/>
      <c r="E1544" s="66">
        <v>34.29</v>
      </c>
      <c r="F1544" s="45"/>
      <c r="G1544" s="45"/>
    </row>
    <row r="1545" spans="1:7" ht="12" hidden="1" customHeight="1" outlineLevel="4" x14ac:dyDescent="0.2">
      <c r="A1545" s="60" t="s">
        <v>472</v>
      </c>
      <c r="B1545" s="45"/>
      <c r="C1545" s="45"/>
      <c r="D1545" s="45"/>
      <c r="E1545" s="66">
        <v>34.29</v>
      </c>
      <c r="F1545" s="45"/>
      <c r="G1545" s="45"/>
    </row>
    <row r="1546" spans="1:7" ht="12" hidden="1" customHeight="1" outlineLevel="3" x14ac:dyDescent="0.2">
      <c r="A1546" s="61" t="s">
        <v>472</v>
      </c>
      <c r="B1546" s="45"/>
      <c r="C1546" s="45"/>
      <c r="D1546" s="45"/>
      <c r="E1546" s="65">
        <v>-34.29</v>
      </c>
      <c r="F1546" s="45"/>
      <c r="G1546" s="45"/>
    </row>
    <row r="1547" spans="1:7" ht="12" hidden="1" customHeight="1" outlineLevel="4" x14ac:dyDescent="0.2">
      <c r="A1547" s="60" t="s">
        <v>472</v>
      </c>
      <c r="B1547" s="45"/>
      <c r="C1547" s="45"/>
      <c r="D1547" s="45"/>
      <c r="E1547" s="65">
        <v>-34.29</v>
      </c>
      <c r="F1547" s="45"/>
      <c r="G1547" s="45"/>
    </row>
    <row r="1548" spans="1:7" ht="12" hidden="1" customHeight="1" outlineLevel="2" collapsed="1" x14ac:dyDescent="0.2">
      <c r="A1548" s="63" t="s">
        <v>32</v>
      </c>
      <c r="B1548" s="62"/>
      <c r="C1548" s="62"/>
      <c r="D1548" s="62"/>
      <c r="E1548" s="62"/>
      <c r="F1548" s="62"/>
      <c r="G1548" s="62"/>
    </row>
    <row r="1549" spans="1:7" ht="12" hidden="1" customHeight="1" outlineLevel="3" x14ac:dyDescent="0.2">
      <c r="A1549" s="61" t="s">
        <v>472</v>
      </c>
      <c r="B1549" s="45"/>
      <c r="C1549" s="45"/>
      <c r="D1549" s="45"/>
      <c r="E1549" s="46">
        <v>449992.94</v>
      </c>
      <c r="F1549" s="45"/>
      <c r="G1549" s="45"/>
    </row>
    <row r="1550" spans="1:7" ht="12" hidden="1" customHeight="1" outlineLevel="4" x14ac:dyDescent="0.2">
      <c r="A1550" s="60" t="s">
        <v>472</v>
      </c>
      <c r="B1550" s="45"/>
      <c r="C1550" s="45"/>
      <c r="D1550" s="45"/>
      <c r="E1550" s="46">
        <v>449992.94</v>
      </c>
      <c r="F1550" s="45"/>
      <c r="G1550" s="45"/>
    </row>
    <row r="1551" spans="1:7" ht="12" hidden="1" customHeight="1" outlineLevel="3" x14ac:dyDescent="0.2">
      <c r="A1551" s="61" t="s">
        <v>472</v>
      </c>
      <c r="B1551" s="45"/>
      <c r="C1551" s="45"/>
      <c r="D1551" s="45"/>
      <c r="E1551" s="59">
        <v>-449992.94</v>
      </c>
      <c r="F1551" s="45"/>
      <c r="G1551" s="45"/>
    </row>
    <row r="1552" spans="1:7" ht="12" hidden="1" customHeight="1" outlineLevel="4" x14ac:dyDescent="0.2">
      <c r="A1552" s="60" t="s">
        <v>472</v>
      </c>
      <c r="B1552" s="45"/>
      <c r="C1552" s="45"/>
      <c r="D1552" s="45"/>
      <c r="E1552" s="59">
        <v>-449992.94</v>
      </c>
      <c r="F1552" s="45"/>
      <c r="G1552" s="45"/>
    </row>
    <row r="1553" spans="1:7" ht="12" hidden="1" customHeight="1" outlineLevel="2" collapsed="1" x14ac:dyDescent="0.2">
      <c r="A1553" s="63" t="s">
        <v>477</v>
      </c>
      <c r="B1553" s="62"/>
      <c r="C1553" s="62"/>
      <c r="D1553" s="64">
        <v>1648118.24</v>
      </c>
      <c r="E1553" s="64">
        <v>1648118.24</v>
      </c>
      <c r="F1553" s="62"/>
      <c r="G1553" s="62"/>
    </row>
    <row r="1554" spans="1:7" ht="12" hidden="1" customHeight="1" outlineLevel="3" x14ac:dyDescent="0.2">
      <c r="A1554" s="61" t="s">
        <v>472</v>
      </c>
      <c r="B1554" s="45"/>
      <c r="C1554" s="45"/>
      <c r="D1554" s="45"/>
      <c r="E1554" s="46">
        <v>2412635.2200000002</v>
      </c>
      <c r="F1554" s="45"/>
      <c r="G1554" s="45"/>
    </row>
    <row r="1555" spans="1:7" ht="12" hidden="1" customHeight="1" outlineLevel="4" x14ac:dyDescent="0.2">
      <c r="A1555" s="60" t="s">
        <v>472</v>
      </c>
      <c r="B1555" s="45"/>
      <c r="C1555" s="45"/>
      <c r="D1555" s="45"/>
      <c r="E1555" s="46">
        <v>2412635.2200000002</v>
      </c>
      <c r="F1555" s="45"/>
      <c r="G1555" s="45"/>
    </row>
    <row r="1556" spans="1:7" ht="12" hidden="1" customHeight="1" outlineLevel="3" x14ac:dyDescent="0.2">
      <c r="A1556" s="61" t="s">
        <v>472</v>
      </c>
      <c r="B1556" s="45"/>
      <c r="C1556" s="45"/>
      <c r="D1556" s="45"/>
      <c r="E1556" s="59">
        <v>-764516.98</v>
      </c>
      <c r="F1556" s="45"/>
      <c r="G1556" s="45"/>
    </row>
    <row r="1557" spans="1:7" ht="12" hidden="1" customHeight="1" outlineLevel="4" x14ac:dyDescent="0.2">
      <c r="A1557" s="60" t="s">
        <v>472</v>
      </c>
      <c r="B1557" s="45"/>
      <c r="C1557" s="45"/>
      <c r="D1557" s="45"/>
      <c r="E1557" s="59">
        <v>-764516.98</v>
      </c>
      <c r="F1557" s="45"/>
      <c r="G1557" s="45"/>
    </row>
    <row r="1558" spans="1:7" ht="23.25" hidden="1" customHeight="1" outlineLevel="3" x14ac:dyDescent="0.2">
      <c r="A1558" s="61" t="s">
        <v>393</v>
      </c>
      <c r="B1558" s="45"/>
      <c r="C1558" s="45"/>
      <c r="D1558" s="46">
        <v>1270948.22</v>
      </c>
      <c r="E1558" s="45"/>
      <c r="F1558" s="45"/>
      <c r="G1558" s="45"/>
    </row>
    <row r="1559" spans="1:7" ht="12" hidden="1" customHeight="1" outlineLevel="4" x14ac:dyDescent="0.2">
      <c r="A1559" s="60" t="s">
        <v>472</v>
      </c>
      <c r="B1559" s="45"/>
      <c r="C1559" s="45"/>
      <c r="D1559" s="46">
        <v>1270948.22</v>
      </c>
      <c r="E1559" s="45"/>
      <c r="F1559" s="45"/>
      <c r="G1559" s="45"/>
    </row>
    <row r="1560" spans="1:7" ht="12" hidden="1" customHeight="1" outlineLevel="3" x14ac:dyDescent="0.2">
      <c r="A1560" s="61" t="s">
        <v>392</v>
      </c>
      <c r="B1560" s="45"/>
      <c r="C1560" s="45"/>
      <c r="D1560" s="46">
        <v>377170.02</v>
      </c>
      <c r="E1560" s="45"/>
      <c r="F1560" s="45"/>
      <c r="G1560" s="45"/>
    </row>
    <row r="1561" spans="1:7" ht="12" hidden="1" customHeight="1" outlineLevel="4" x14ac:dyDescent="0.2">
      <c r="A1561" s="60" t="s">
        <v>472</v>
      </c>
      <c r="B1561" s="45"/>
      <c r="C1561" s="45"/>
      <c r="D1561" s="46">
        <v>377170.02</v>
      </c>
      <c r="E1561" s="45"/>
      <c r="F1561" s="45"/>
      <c r="G1561" s="45"/>
    </row>
    <row r="1562" spans="1:7" ht="12" hidden="1" customHeight="1" outlineLevel="2" collapsed="1" x14ac:dyDescent="0.2">
      <c r="A1562" s="63" t="s">
        <v>476</v>
      </c>
      <c r="B1562" s="62"/>
      <c r="C1562" s="62"/>
      <c r="D1562" s="62"/>
      <c r="E1562" s="62"/>
      <c r="F1562" s="62"/>
      <c r="G1562" s="62"/>
    </row>
    <row r="1563" spans="1:7" ht="12" hidden="1" customHeight="1" outlineLevel="3" x14ac:dyDescent="0.2">
      <c r="A1563" s="61" t="s">
        <v>472</v>
      </c>
      <c r="B1563" s="45"/>
      <c r="C1563" s="45"/>
      <c r="D1563" s="45"/>
      <c r="E1563" s="46">
        <v>60579.41</v>
      </c>
      <c r="F1563" s="45"/>
      <c r="G1563" s="45"/>
    </row>
    <row r="1564" spans="1:7" ht="12" hidden="1" customHeight="1" outlineLevel="4" x14ac:dyDescent="0.2">
      <c r="A1564" s="60" t="s">
        <v>472</v>
      </c>
      <c r="B1564" s="45"/>
      <c r="C1564" s="45"/>
      <c r="D1564" s="45"/>
      <c r="E1564" s="46">
        <v>60579.41</v>
      </c>
      <c r="F1564" s="45"/>
      <c r="G1564" s="45"/>
    </row>
    <row r="1565" spans="1:7" ht="12" hidden="1" customHeight="1" outlineLevel="3" x14ac:dyDescent="0.2">
      <c r="A1565" s="61" t="s">
        <v>472</v>
      </c>
      <c r="B1565" s="45"/>
      <c r="C1565" s="45"/>
      <c r="D1565" s="45"/>
      <c r="E1565" s="59">
        <v>-60579.41</v>
      </c>
      <c r="F1565" s="45"/>
      <c r="G1565" s="45"/>
    </row>
    <row r="1566" spans="1:7" ht="12" hidden="1" customHeight="1" outlineLevel="4" x14ac:dyDescent="0.2">
      <c r="A1566" s="60" t="s">
        <v>472</v>
      </c>
      <c r="B1566" s="45"/>
      <c r="C1566" s="45"/>
      <c r="D1566" s="45"/>
      <c r="E1566" s="59">
        <v>-60579.41</v>
      </c>
      <c r="F1566" s="45"/>
      <c r="G1566" s="45"/>
    </row>
    <row r="1567" spans="1:7" ht="12" hidden="1" customHeight="1" outlineLevel="2" collapsed="1" x14ac:dyDescent="0.2">
      <c r="A1567" s="63" t="s">
        <v>475</v>
      </c>
      <c r="B1567" s="62"/>
      <c r="C1567" s="62"/>
      <c r="D1567" s="62"/>
      <c r="E1567" s="62"/>
      <c r="F1567" s="62"/>
      <c r="G1567" s="62"/>
    </row>
    <row r="1568" spans="1:7" ht="12" hidden="1" customHeight="1" outlineLevel="3" x14ac:dyDescent="0.2">
      <c r="A1568" s="61" t="s">
        <v>472</v>
      </c>
      <c r="B1568" s="45"/>
      <c r="C1568" s="45"/>
      <c r="D1568" s="45"/>
      <c r="E1568" s="46">
        <v>47031.42</v>
      </c>
      <c r="F1568" s="45"/>
      <c r="G1568" s="45"/>
    </row>
    <row r="1569" spans="1:7" ht="12" hidden="1" customHeight="1" outlineLevel="4" x14ac:dyDescent="0.2">
      <c r="A1569" s="60" t="s">
        <v>472</v>
      </c>
      <c r="B1569" s="45"/>
      <c r="C1569" s="45"/>
      <c r="D1569" s="45"/>
      <c r="E1569" s="46">
        <v>47031.42</v>
      </c>
      <c r="F1569" s="45"/>
      <c r="G1569" s="45"/>
    </row>
    <row r="1570" spans="1:7" ht="12" hidden="1" customHeight="1" outlineLevel="3" x14ac:dyDescent="0.2">
      <c r="A1570" s="61" t="s">
        <v>472</v>
      </c>
      <c r="B1570" s="45"/>
      <c r="C1570" s="45"/>
      <c r="D1570" s="45"/>
      <c r="E1570" s="59">
        <v>-47031.42</v>
      </c>
      <c r="F1570" s="45"/>
      <c r="G1570" s="45"/>
    </row>
    <row r="1571" spans="1:7" ht="12" hidden="1" customHeight="1" outlineLevel="4" x14ac:dyDescent="0.2">
      <c r="A1571" s="60" t="s">
        <v>472</v>
      </c>
      <c r="B1571" s="45"/>
      <c r="C1571" s="45"/>
      <c r="D1571" s="45"/>
      <c r="E1571" s="59">
        <v>-47031.42</v>
      </c>
      <c r="F1571" s="45"/>
      <c r="G1571" s="45"/>
    </row>
    <row r="1572" spans="1:7" ht="12" customHeight="1" outlineLevel="1" collapsed="1" x14ac:dyDescent="0.2">
      <c r="A1572" s="50" t="s">
        <v>310</v>
      </c>
      <c r="B1572" s="48"/>
      <c r="C1572" s="48"/>
      <c r="D1572" s="68">
        <v>8088.3</v>
      </c>
      <c r="E1572" s="49">
        <v>8088.3</v>
      </c>
      <c r="F1572" s="48"/>
      <c r="G1572" s="48"/>
    </row>
    <row r="1573" spans="1:7" ht="12" hidden="1" customHeight="1" outlineLevel="2" collapsed="1" x14ac:dyDescent="0.2">
      <c r="A1573" s="63" t="s">
        <v>480</v>
      </c>
      <c r="B1573" s="62"/>
      <c r="C1573" s="62"/>
      <c r="D1573" s="62"/>
      <c r="E1573" s="62"/>
      <c r="F1573" s="62"/>
      <c r="G1573" s="62"/>
    </row>
    <row r="1574" spans="1:7" ht="12" hidden="1" customHeight="1" outlineLevel="3" x14ac:dyDescent="0.2">
      <c r="A1574" s="61" t="s">
        <v>472</v>
      </c>
      <c r="B1574" s="45"/>
      <c r="C1574" s="45"/>
      <c r="D1574" s="45"/>
      <c r="E1574" s="66">
        <v>0.01</v>
      </c>
      <c r="F1574" s="45"/>
      <c r="G1574" s="45"/>
    </row>
    <row r="1575" spans="1:7" ht="12" hidden="1" customHeight="1" outlineLevel="4" x14ac:dyDescent="0.2">
      <c r="A1575" s="60" t="s">
        <v>472</v>
      </c>
      <c r="B1575" s="45"/>
      <c r="C1575" s="45"/>
      <c r="D1575" s="45"/>
      <c r="E1575" s="66">
        <v>0.01</v>
      </c>
      <c r="F1575" s="45"/>
      <c r="G1575" s="45"/>
    </row>
    <row r="1576" spans="1:7" ht="12" hidden="1" customHeight="1" outlineLevel="3" x14ac:dyDescent="0.2">
      <c r="A1576" s="61" t="s">
        <v>472</v>
      </c>
      <c r="B1576" s="45"/>
      <c r="C1576" s="45"/>
      <c r="D1576" s="45"/>
      <c r="E1576" s="65">
        <v>-0.01</v>
      </c>
      <c r="F1576" s="45"/>
      <c r="G1576" s="45"/>
    </row>
    <row r="1577" spans="1:7" ht="12" hidden="1" customHeight="1" outlineLevel="4" x14ac:dyDescent="0.2">
      <c r="A1577" s="60" t="s">
        <v>472</v>
      </c>
      <c r="B1577" s="45"/>
      <c r="C1577" s="45"/>
      <c r="D1577" s="45"/>
      <c r="E1577" s="65">
        <v>-0.01</v>
      </c>
      <c r="F1577" s="45"/>
      <c r="G1577" s="45"/>
    </row>
    <row r="1578" spans="1:7" ht="12" hidden="1" customHeight="1" outlineLevel="2" collapsed="1" x14ac:dyDescent="0.2">
      <c r="A1578" s="63" t="s">
        <v>30</v>
      </c>
      <c r="B1578" s="62"/>
      <c r="C1578" s="62"/>
      <c r="D1578" s="62"/>
      <c r="E1578" s="62"/>
      <c r="F1578" s="62"/>
      <c r="G1578" s="62"/>
    </row>
    <row r="1579" spans="1:7" ht="12" hidden="1" customHeight="1" outlineLevel="3" x14ac:dyDescent="0.2">
      <c r="A1579" s="61" t="s">
        <v>472</v>
      </c>
      <c r="B1579" s="45"/>
      <c r="C1579" s="45"/>
      <c r="D1579" s="45"/>
      <c r="E1579" s="66">
        <v>536.46</v>
      </c>
      <c r="F1579" s="45"/>
      <c r="G1579" s="45"/>
    </row>
    <row r="1580" spans="1:7" ht="12" hidden="1" customHeight="1" outlineLevel="4" x14ac:dyDescent="0.2">
      <c r="A1580" s="60" t="s">
        <v>472</v>
      </c>
      <c r="B1580" s="45"/>
      <c r="C1580" s="45"/>
      <c r="D1580" s="45"/>
      <c r="E1580" s="66">
        <v>536.46</v>
      </c>
      <c r="F1580" s="45"/>
      <c r="G1580" s="45"/>
    </row>
    <row r="1581" spans="1:7" ht="12" hidden="1" customHeight="1" outlineLevel="3" x14ac:dyDescent="0.2">
      <c r="A1581" s="61" t="s">
        <v>472</v>
      </c>
      <c r="B1581" s="45"/>
      <c r="C1581" s="45"/>
      <c r="D1581" s="45"/>
      <c r="E1581" s="65">
        <v>-536.46</v>
      </c>
      <c r="F1581" s="45"/>
      <c r="G1581" s="45"/>
    </row>
    <row r="1582" spans="1:7" ht="12" hidden="1" customHeight="1" outlineLevel="4" x14ac:dyDescent="0.2">
      <c r="A1582" s="60" t="s">
        <v>472</v>
      </c>
      <c r="B1582" s="45"/>
      <c r="C1582" s="45"/>
      <c r="D1582" s="45"/>
      <c r="E1582" s="65">
        <v>-536.46</v>
      </c>
      <c r="F1582" s="45"/>
      <c r="G1582" s="45"/>
    </row>
    <row r="1583" spans="1:7" ht="12" hidden="1" customHeight="1" outlineLevel="2" collapsed="1" x14ac:dyDescent="0.2">
      <c r="A1583" s="63" t="s">
        <v>479</v>
      </c>
      <c r="B1583" s="62"/>
      <c r="C1583" s="62"/>
      <c r="D1583" s="62"/>
      <c r="E1583" s="62"/>
      <c r="F1583" s="62"/>
      <c r="G1583" s="62"/>
    </row>
    <row r="1584" spans="1:7" ht="12" hidden="1" customHeight="1" outlineLevel="3" x14ac:dyDescent="0.2">
      <c r="A1584" s="61" t="s">
        <v>472</v>
      </c>
      <c r="B1584" s="45"/>
      <c r="C1584" s="45"/>
      <c r="D1584" s="45"/>
      <c r="E1584" s="46">
        <v>1087.71</v>
      </c>
      <c r="F1584" s="45"/>
      <c r="G1584" s="45"/>
    </row>
    <row r="1585" spans="1:7" ht="12" hidden="1" customHeight="1" outlineLevel="4" x14ac:dyDescent="0.2">
      <c r="A1585" s="60" t="s">
        <v>472</v>
      </c>
      <c r="B1585" s="45"/>
      <c r="C1585" s="45"/>
      <c r="D1585" s="45"/>
      <c r="E1585" s="46">
        <v>1087.71</v>
      </c>
      <c r="F1585" s="45"/>
      <c r="G1585" s="45"/>
    </row>
    <row r="1586" spans="1:7" ht="12" hidden="1" customHeight="1" outlineLevel="3" x14ac:dyDescent="0.2">
      <c r="A1586" s="61" t="s">
        <v>472</v>
      </c>
      <c r="B1586" s="45"/>
      <c r="C1586" s="45"/>
      <c r="D1586" s="45"/>
      <c r="E1586" s="59">
        <v>-1087.71</v>
      </c>
      <c r="F1586" s="45"/>
      <c r="G1586" s="45"/>
    </row>
    <row r="1587" spans="1:7" ht="12" hidden="1" customHeight="1" outlineLevel="4" x14ac:dyDescent="0.2">
      <c r="A1587" s="60" t="s">
        <v>472</v>
      </c>
      <c r="B1587" s="45"/>
      <c r="C1587" s="45"/>
      <c r="D1587" s="45"/>
      <c r="E1587" s="59">
        <v>-1087.71</v>
      </c>
      <c r="F1587" s="45"/>
      <c r="G1587" s="45"/>
    </row>
    <row r="1588" spans="1:7" ht="12" hidden="1" customHeight="1" outlineLevel="2" collapsed="1" x14ac:dyDescent="0.2">
      <c r="A1588" s="63" t="s">
        <v>478</v>
      </c>
      <c r="B1588" s="62"/>
      <c r="C1588" s="62"/>
      <c r="D1588" s="62"/>
      <c r="E1588" s="62"/>
      <c r="F1588" s="62"/>
      <c r="G1588" s="62"/>
    </row>
    <row r="1589" spans="1:7" ht="12" hidden="1" customHeight="1" outlineLevel="3" x14ac:dyDescent="0.2">
      <c r="A1589" s="61" t="s">
        <v>472</v>
      </c>
      <c r="B1589" s="45"/>
      <c r="C1589" s="45"/>
      <c r="D1589" s="45"/>
      <c r="E1589" s="66">
        <v>0.16</v>
      </c>
      <c r="F1589" s="45"/>
      <c r="G1589" s="45"/>
    </row>
    <row r="1590" spans="1:7" ht="12" hidden="1" customHeight="1" outlineLevel="4" x14ac:dyDescent="0.2">
      <c r="A1590" s="60" t="s">
        <v>472</v>
      </c>
      <c r="B1590" s="45"/>
      <c r="C1590" s="45"/>
      <c r="D1590" s="45"/>
      <c r="E1590" s="66">
        <v>0.16</v>
      </c>
      <c r="F1590" s="45"/>
      <c r="G1590" s="45"/>
    </row>
    <row r="1591" spans="1:7" ht="12" hidden="1" customHeight="1" outlineLevel="3" x14ac:dyDescent="0.2">
      <c r="A1591" s="61" t="s">
        <v>472</v>
      </c>
      <c r="B1591" s="45"/>
      <c r="C1591" s="45"/>
      <c r="D1591" s="45"/>
      <c r="E1591" s="65">
        <v>-0.16</v>
      </c>
      <c r="F1591" s="45"/>
      <c r="G1591" s="45"/>
    </row>
    <row r="1592" spans="1:7" ht="12" hidden="1" customHeight="1" outlineLevel="4" x14ac:dyDescent="0.2">
      <c r="A1592" s="60" t="s">
        <v>472</v>
      </c>
      <c r="B1592" s="45"/>
      <c r="C1592" s="45"/>
      <c r="D1592" s="45"/>
      <c r="E1592" s="65">
        <v>-0.16</v>
      </c>
      <c r="F1592" s="45"/>
      <c r="G1592" s="45"/>
    </row>
    <row r="1593" spans="1:7" ht="12" hidden="1" customHeight="1" outlineLevel="2" collapsed="1" x14ac:dyDescent="0.2">
      <c r="A1593" s="63" t="s">
        <v>32</v>
      </c>
      <c r="B1593" s="62"/>
      <c r="C1593" s="62"/>
      <c r="D1593" s="62"/>
      <c r="E1593" s="62"/>
      <c r="F1593" s="62"/>
      <c r="G1593" s="62"/>
    </row>
    <row r="1594" spans="1:7" ht="12" hidden="1" customHeight="1" outlineLevel="3" x14ac:dyDescent="0.2">
      <c r="A1594" s="61" t="s">
        <v>472</v>
      </c>
      <c r="B1594" s="45"/>
      <c r="C1594" s="45"/>
      <c r="D1594" s="45"/>
      <c r="E1594" s="46">
        <v>2135.19</v>
      </c>
      <c r="F1594" s="45"/>
      <c r="G1594" s="45"/>
    </row>
    <row r="1595" spans="1:7" ht="12" hidden="1" customHeight="1" outlineLevel="4" x14ac:dyDescent="0.2">
      <c r="A1595" s="60" t="s">
        <v>472</v>
      </c>
      <c r="B1595" s="45"/>
      <c r="C1595" s="45"/>
      <c r="D1595" s="45"/>
      <c r="E1595" s="46">
        <v>2135.19</v>
      </c>
      <c r="F1595" s="45"/>
      <c r="G1595" s="45"/>
    </row>
    <row r="1596" spans="1:7" ht="12" hidden="1" customHeight="1" outlineLevel="3" x14ac:dyDescent="0.2">
      <c r="A1596" s="61" t="s">
        <v>472</v>
      </c>
      <c r="B1596" s="45"/>
      <c r="C1596" s="45"/>
      <c r="D1596" s="45"/>
      <c r="E1596" s="59">
        <v>-2135.19</v>
      </c>
      <c r="F1596" s="45"/>
      <c r="G1596" s="45"/>
    </row>
    <row r="1597" spans="1:7" ht="12" hidden="1" customHeight="1" outlineLevel="4" x14ac:dyDescent="0.2">
      <c r="A1597" s="60" t="s">
        <v>472</v>
      </c>
      <c r="B1597" s="45"/>
      <c r="C1597" s="45"/>
      <c r="D1597" s="45"/>
      <c r="E1597" s="59">
        <v>-2135.19</v>
      </c>
      <c r="F1597" s="45"/>
      <c r="G1597" s="45"/>
    </row>
    <row r="1598" spans="1:7" ht="12" hidden="1" customHeight="1" outlineLevel="2" collapsed="1" x14ac:dyDescent="0.2">
      <c r="A1598" s="63" t="s">
        <v>477</v>
      </c>
      <c r="B1598" s="62"/>
      <c r="C1598" s="62"/>
      <c r="D1598" s="64">
        <v>8088.3</v>
      </c>
      <c r="E1598" s="64">
        <v>8088.3</v>
      </c>
      <c r="F1598" s="62"/>
      <c r="G1598" s="62"/>
    </row>
    <row r="1599" spans="1:7" ht="12" hidden="1" customHeight="1" outlineLevel="3" x14ac:dyDescent="0.2">
      <c r="A1599" s="61" t="s">
        <v>472</v>
      </c>
      <c r="B1599" s="45"/>
      <c r="C1599" s="45"/>
      <c r="D1599" s="45"/>
      <c r="E1599" s="46">
        <v>11877.75</v>
      </c>
      <c r="F1599" s="45"/>
      <c r="G1599" s="45"/>
    </row>
    <row r="1600" spans="1:7" ht="12" hidden="1" customHeight="1" outlineLevel="4" x14ac:dyDescent="0.2">
      <c r="A1600" s="60" t="s">
        <v>472</v>
      </c>
      <c r="B1600" s="45"/>
      <c r="C1600" s="45"/>
      <c r="D1600" s="45"/>
      <c r="E1600" s="46">
        <v>11877.75</v>
      </c>
      <c r="F1600" s="45"/>
      <c r="G1600" s="45"/>
    </row>
    <row r="1601" spans="1:7" ht="12" hidden="1" customHeight="1" outlineLevel="3" x14ac:dyDescent="0.2">
      <c r="A1601" s="61" t="s">
        <v>472</v>
      </c>
      <c r="B1601" s="45"/>
      <c r="C1601" s="45"/>
      <c r="D1601" s="45"/>
      <c r="E1601" s="59">
        <v>-3789.45</v>
      </c>
      <c r="F1601" s="45"/>
      <c r="G1601" s="45"/>
    </row>
    <row r="1602" spans="1:7" ht="12" hidden="1" customHeight="1" outlineLevel="4" x14ac:dyDescent="0.2">
      <c r="A1602" s="60" t="s">
        <v>472</v>
      </c>
      <c r="B1602" s="45"/>
      <c r="C1602" s="45"/>
      <c r="D1602" s="45"/>
      <c r="E1602" s="59">
        <v>-3789.45</v>
      </c>
      <c r="F1602" s="45"/>
      <c r="G1602" s="45"/>
    </row>
    <row r="1603" spans="1:7" ht="12" hidden="1" customHeight="1" outlineLevel="3" x14ac:dyDescent="0.2">
      <c r="A1603" s="61" t="s">
        <v>397</v>
      </c>
      <c r="B1603" s="45"/>
      <c r="C1603" s="45"/>
      <c r="D1603" s="46">
        <v>8088.3</v>
      </c>
      <c r="E1603" s="45"/>
      <c r="F1603" s="45"/>
      <c r="G1603" s="45"/>
    </row>
    <row r="1604" spans="1:7" ht="12" hidden="1" customHeight="1" outlineLevel="4" x14ac:dyDescent="0.2">
      <c r="A1604" s="60" t="s">
        <v>472</v>
      </c>
      <c r="B1604" s="45"/>
      <c r="C1604" s="45"/>
      <c r="D1604" s="46">
        <v>8088.3</v>
      </c>
      <c r="E1604" s="45"/>
      <c r="F1604" s="45"/>
      <c r="G1604" s="45"/>
    </row>
    <row r="1605" spans="1:7" ht="12" hidden="1" customHeight="1" outlineLevel="2" collapsed="1" x14ac:dyDescent="0.2">
      <c r="A1605" s="63" t="s">
        <v>476</v>
      </c>
      <c r="B1605" s="62"/>
      <c r="C1605" s="62"/>
      <c r="D1605" s="62"/>
      <c r="E1605" s="62"/>
      <c r="F1605" s="62"/>
      <c r="G1605" s="62"/>
    </row>
    <row r="1606" spans="1:7" ht="12" hidden="1" customHeight="1" outlineLevel="3" x14ac:dyDescent="0.2">
      <c r="A1606" s="61" t="s">
        <v>472</v>
      </c>
      <c r="B1606" s="45"/>
      <c r="C1606" s="45"/>
      <c r="D1606" s="45"/>
      <c r="E1606" s="66">
        <v>302.89</v>
      </c>
      <c r="F1606" s="45"/>
      <c r="G1606" s="45"/>
    </row>
    <row r="1607" spans="1:7" ht="12" hidden="1" customHeight="1" outlineLevel="4" x14ac:dyDescent="0.2">
      <c r="A1607" s="60" t="s">
        <v>472</v>
      </c>
      <c r="B1607" s="45"/>
      <c r="C1607" s="45"/>
      <c r="D1607" s="45"/>
      <c r="E1607" s="66">
        <v>302.89</v>
      </c>
      <c r="F1607" s="45"/>
      <c r="G1607" s="45"/>
    </row>
    <row r="1608" spans="1:7" ht="12" hidden="1" customHeight="1" outlineLevel="3" x14ac:dyDescent="0.2">
      <c r="A1608" s="61" t="s">
        <v>472</v>
      </c>
      <c r="B1608" s="45"/>
      <c r="C1608" s="45"/>
      <c r="D1608" s="45"/>
      <c r="E1608" s="65">
        <v>-302.89</v>
      </c>
      <c r="F1608" s="45"/>
      <c r="G1608" s="45"/>
    </row>
    <row r="1609" spans="1:7" ht="12" hidden="1" customHeight="1" outlineLevel="4" x14ac:dyDescent="0.2">
      <c r="A1609" s="60" t="s">
        <v>472</v>
      </c>
      <c r="B1609" s="45"/>
      <c r="C1609" s="45"/>
      <c r="D1609" s="45"/>
      <c r="E1609" s="65">
        <v>-302.89</v>
      </c>
      <c r="F1609" s="45"/>
      <c r="G1609" s="45"/>
    </row>
    <row r="1610" spans="1:7" ht="12" hidden="1" customHeight="1" outlineLevel="2" collapsed="1" x14ac:dyDescent="0.2">
      <c r="A1610" s="63" t="s">
        <v>475</v>
      </c>
      <c r="B1610" s="62"/>
      <c r="C1610" s="62"/>
      <c r="D1610" s="62"/>
      <c r="E1610" s="62"/>
      <c r="F1610" s="62"/>
      <c r="G1610" s="62"/>
    </row>
    <row r="1611" spans="1:7" ht="12" hidden="1" customHeight="1" outlineLevel="3" x14ac:dyDescent="0.2">
      <c r="A1611" s="61" t="s">
        <v>472</v>
      </c>
      <c r="B1611" s="45"/>
      <c r="C1611" s="45"/>
      <c r="D1611" s="45"/>
      <c r="E1611" s="66">
        <v>236.43</v>
      </c>
      <c r="F1611" s="45"/>
      <c r="G1611" s="45"/>
    </row>
    <row r="1612" spans="1:7" ht="12" hidden="1" customHeight="1" outlineLevel="4" x14ac:dyDescent="0.2">
      <c r="A1612" s="60" t="s">
        <v>472</v>
      </c>
      <c r="B1612" s="45"/>
      <c r="C1612" s="45"/>
      <c r="D1612" s="45"/>
      <c r="E1612" s="66">
        <v>236.43</v>
      </c>
      <c r="F1612" s="45"/>
      <c r="G1612" s="45"/>
    </row>
    <row r="1613" spans="1:7" ht="12" hidden="1" customHeight="1" outlineLevel="3" x14ac:dyDescent="0.2">
      <c r="A1613" s="61" t="s">
        <v>472</v>
      </c>
      <c r="B1613" s="45"/>
      <c r="C1613" s="45"/>
      <c r="D1613" s="45"/>
      <c r="E1613" s="65">
        <v>-236.43</v>
      </c>
      <c r="F1613" s="45"/>
      <c r="G1613" s="45"/>
    </row>
    <row r="1614" spans="1:7" ht="12" hidden="1" customHeight="1" outlineLevel="4" x14ac:dyDescent="0.2">
      <c r="A1614" s="60" t="s">
        <v>472</v>
      </c>
      <c r="B1614" s="45"/>
      <c r="C1614" s="45"/>
      <c r="D1614" s="45"/>
      <c r="E1614" s="65">
        <v>-236.43</v>
      </c>
      <c r="F1614" s="45"/>
      <c r="G1614" s="45"/>
    </row>
    <row r="1615" spans="1:7" ht="12" customHeight="1" outlineLevel="1" collapsed="1" x14ac:dyDescent="0.2">
      <c r="A1615" s="79" t="s">
        <v>407</v>
      </c>
      <c r="B1615" s="48"/>
      <c r="C1615" s="48"/>
      <c r="D1615" s="49">
        <v>560933.04</v>
      </c>
      <c r="E1615" s="49">
        <v>560933.04</v>
      </c>
      <c r="F1615" s="48"/>
      <c r="G1615" s="48"/>
    </row>
    <row r="1616" spans="1:7" ht="12" hidden="1" customHeight="1" outlineLevel="2" collapsed="1" x14ac:dyDescent="0.2">
      <c r="A1616" s="63" t="s">
        <v>477</v>
      </c>
      <c r="B1616" s="62"/>
      <c r="C1616" s="62"/>
      <c r="D1616" s="64">
        <v>560933.04</v>
      </c>
      <c r="E1616" s="64">
        <v>560933.04</v>
      </c>
      <c r="F1616" s="62"/>
      <c r="G1616" s="62"/>
    </row>
    <row r="1617" spans="1:9" ht="12" hidden="1" customHeight="1" outlineLevel="3" x14ac:dyDescent="0.2">
      <c r="A1617" s="61" t="s">
        <v>472</v>
      </c>
      <c r="B1617" s="45"/>
      <c r="C1617" s="45"/>
      <c r="D1617" s="45"/>
      <c r="E1617" s="46">
        <v>609350.54</v>
      </c>
      <c r="F1617" s="45"/>
      <c r="G1617" s="45"/>
    </row>
    <row r="1618" spans="1:9" ht="12" hidden="1" customHeight="1" outlineLevel="4" x14ac:dyDescent="0.2">
      <c r="A1618" s="60" t="s">
        <v>472</v>
      </c>
      <c r="B1618" s="45"/>
      <c r="C1618" s="45"/>
      <c r="D1618" s="45"/>
      <c r="E1618" s="46">
        <v>609350.54</v>
      </c>
      <c r="F1618" s="45"/>
      <c r="G1618" s="45"/>
    </row>
    <row r="1619" spans="1:9" ht="12" hidden="1" customHeight="1" outlineLevel="3" x14ac:dyDescent="0.2">
      <c r="A1619" s="61" t="s">
        <v>472</v>
      </c>
      <c r="B1619" s="45"/>
      <c r="C1619" s="45"/>
      <c r="D1619" s="45"/>
      <c r="E1619" s="59">
        <v>-48417.5</v>
      </c>
      <c r="F1619" s="45"/>
      <c r="G1619" s="45"/>
    </row>
    <row r="1620" spans="1:9" ht="12" hidden="1" customHeight="1" outlineLevel="4" x14ac:dyDescent="0.2">
      <c r="A1620" s="60" t="s">
        <v>472</v>
      </c>
      <c r="B1620" s="45"/>
      <c r="C1620" s="45"/>
      <c r="D1620" s="45"/>
      <c r="E1620" s="59">
        <v>-48417.5</v>
      </c>
      <c r="F1620" s="45"/>
      <c r="G1620" s="45"/>
    </row>
    <row r="1621" spans="1:9" ht="23.25" hidden="1" customHeight="1" outlineLevel="3" x14ac:dyDescent="0.2">
      <c r="A1621" s="61" t="s">
        <v>403</v>
      </c>
      <c r="B1621" s="45"/>
      <c r="C1621" s="45"/>
      <c r="D1621" s="83">
        <v>66213.33</v>
      </c>
      <c r="E1621" s="45"/>
      <c r="F1621" s="45"/>
      <c r="G1621" s="45"/>
      <c r="I1621" s="41" t="s">
        <v>310</v>
      </c>
    </row>
    <row r="1622" spans="1:9" ht="12" hidden="1" customHeight="1" outlineLevel="4" x14ac:dyDescent="0.2">
      <c r="A1622" s="60" t="s">
        <v>472</v>
      </c>
      <c r="B1622" s="45"/>
      <c r="C1622" s="45"/>
      <c r="D1622" s="46">
        <v>50388.33</v>
      </c>
      <c r="E1622" s="45"/>
      <c r="F1622" s="45"/>
      <c r="G1622" s="45"/>
    </row>
    <row r="1623" spans="1:9" ht="12" hidden="1" customHeight="1" outlineLevel="4" x14ac:dyDescent="0.2">
      <c r="A1623" s="60" t="s">
        <v>495</v>
      </c>
      <c r="B1623" s="45"/>
      <c r="C1623" s="45"/>
      <c r="D1623" s="46">
        <v>15825</v>
      </c>
      <c r="E1623" s="45"/>
      <c r="F1623" s="45"/>
      <c r="G1623" s="45"/>
    </row>
    <row r="1624" spans="1:9" ht="23.25" hidden="1" customHeight="1" outlineLevel="3" x14ac:dyDescent="0.2">
      <c r="A1624" s="61" t="s">
        <v>494</v>
      </c>
      <c r="B1624" s="45"/>
      <c r="C1624" s="45"/>
      <c r="D1624" s="83">
        <v>494719.71</v>
      </c>
      <c r="E1624" s="45"/>
      <c r="F1624" s="45"/>
      <c r="G1624" s="45"/>
    </row>
    <row r="1625" spans="1:9" ht="12" hidden="1" customHeight="1" outlineLevel="4" x14ac:dyDescent="0.2">
      <c r="A1625" s="60" t="s">
        <v>579</v>
      </c>
      <c r="B1625" s="45"/>
      <c r="C1625" s="45"/>
      <c r="D1625" s="46">
        <v>11131.59</v>
      </c>
      <c r="E1625" s="45"/>
      <c r="F1625" s="45"/>
      <c r="G1625" s="45"/>
      <c r="I1625" s="73" t="s">
        <v>309</v>
      </c>
    </row>
    <row r="1626" spans="1:9" ht="12" hidden="1" customHeight="1" outlineLevel="4" x14ac:dyDescent="0.2">
      <c r="A1626" s="60" t="s">
        <v>578</v>
      </c>
      <c r="B1626" s="45"/>
      <c r="C1626" s="45"/>
      <c r="D1626" s="46">
        <v>25770.3</v>
      </c>
      <c r="E1626" s="45"/>
      <c r="F1626" s="45"/>
      <c r="G1626" s="45"/>
      <c r="I1626" s="73" t="s">
        <v>309</v>
      </c>
    </row>
    <row r="1627" spans="1:9" ht="12" hidden="1" customHeight="1" outlineLevel="4" x14ac:dyDescent="0.2">
      <c r="A1627" s="60" t="s">
        <v>577</v>
      </c>
      <c r="B1627" s="45"/>
      <c r="C1627" s="45"/>
      <c r="D1627" s="46">
        <v>78321.570000000007</v>
      </c>
      <c r="E1627" s="45"/>
      <c r="F1627" s="45"/>
      <c r="G1627" s="45"/>
      <c r="I1627" s="73" t="s">
        <v>314</v>
      </c>
    </row>
    <row r="1628" spans="1:9" ht="12" hidden="1" customHeight="1" outlineLevel="4" x14ac:dyDescent="0.2">
      <c r="A1628" s="60" t="s">
        <v>576</v>
      </c>
      <c r="B1628" s="45"/>
      <c r="C1628" s="45"/>
      <c r="D1628" s="46">
        <v>50536.09</v>
      </c>
      <c r="E1628" s="45"/>
      <c r="F1628" s="45"/>
      <c r="G1628" s="45"/>
      <c r="I1628" s="73" t="s">
        <v>315</v>
      </c>
    </row>
    <row r="1629" spans="1:9" ht="12" hidden="1" customHeight="1" outlineLevel="4" x14ac:dyDescent="0.2">
      <c r="A1629" s="60" t="s">
        <v>575</v>
      </c>
      <c r="B1629" s="45"/>
      <c r="C1629" s="45"/>
      <c r="D1629" s="46">
        <v>32747.65</v>
      </c>
      <c r="E1629" s="45"/>
      <c r="F1629" s="45"/>
      <c r="G1629" s="45"/>
      <c r="I1629" s="73" t="s">
        <v>322</v>
      </c>
    </row>
    <row r="1630" spans="1:9" ht="12" hidden="1" customHeight="1" outlineLevel="4" x14ac:dyDescent="0.2">
      <c r="A1630" s="60" t="s">
        <v>574</v>
      </c>
      <c r="B1630" s="45"/>
      <c r="C1630" s="45"/>
      <c r="D1630" s="46">
        <v>37051.99</v>
      </c>
      <c r="E1630" s="45"/>
      <c r="F1630" s="45"/>
      <c r="G1630" s="45"/>
      <c r="I1630" s="73" t="s">
        <v>323</v>
      </c>
    </row>
    <row r="1631" spans="1:9" ht="12" hidden="1" customHeight="1" outlineLevel="4" x14ac:dyDescent="0.2">
      <c r="A1631" s="60" t="s">
        <v>573</v>
      </c>
      <c r="B1631" s="45"/>
      <c r="C1631" s="45"/>
      <c r="D1631" s="46">
        <v>45298.41</v>
      </c>
      <c r="E1631" s="45"/>
      <c r="F1631" s="45"/>
      <c r="G1631" s="45"/>
      <c r="I1631" s="73" t="s">
        <v>324</v>
      </c>
    </row>
    <row r="1632" spans="1:9" ht="12" hidden="1" customHeight="1" outlineLevel="4" x14ac:dyDescent="0.2">
      <c r="A1632" s="60" t="s">
        <v>572</v>
      </c>
      <c r="B1632" s="45"/>
      <c r="C1632" s="45"/>
      <c r="D1632" s="46">
        <v>71890.720000000001</v>
      </c>
      <c r="E1632" s="45"/>
      <c r="F1632" s="45"/>
      <c r="G1632" s="45"/>
      <c r="I1632" s="73" t="s">
        <v>325</v>
      </c>
    </row>
    <row r="1633" spans="1:42" ht="12" hidden="1" customHeight="1" outlineLevel="4" x14ac:dyDescent="0.2">
      <c r="A1633" s="60" t="s">
        <v>571</v>
      </c>
      <c r="B1633" s="45"/>
      <c r="C1633" s="45"/>
      <c r="D1633" s="46">
        <v>32281.15</v>
      </c>
      <c r="E1633" s="45"/>
      <c r="F1633" s="45"/>
      <c r="G1633" s="45"/>
      <c r="I1633" s="73" t="s">
        <v>317</v>
      </c>
    </row>
    <row r="1634" spans="1:42" ht="12" hidden="1" customHeight="1" outlineLevel="4" x14ac:dyDescent="0.2">
      <c r="A1634" s="60" t="s">
        <v>570</v>
      </c>
      <c r="B1634" s="45"/>
      <c r="C1634" s="45"/>
      <c r="D1634" s="46">
        <v>3248.52</v>
      </c>
      <c r="E1634" s="45"/>
      <c r="F1634" s="45"/>
      <c r="G1634" s="45"/>
      <c r="I1634" s="73" t="s">
        <v>318</v>
      </c>
    </row>
    <row r="1635" spans="1:42" ht="12" hidden="1" customHeight="1" outlineLevel="4" x14ac:dyDescent="0.2">
      <c r="A1635" s="60" t="s">
        <v>569</v>
      </c>
      <c r="B1635" s="45"/>
      <c r="C1635" s="45"/>
      <c r="D1635" s="46">
        <v>5899.77</v>
      </c>
      <c r="E1635" s="45"/>
      <c r="F1635" s="45"/>
      <c r="G1635" s="45"/>
      <c r="I1635" s="73" t="s">
        <v>319</v>
      </c>
    </row>
    <row r="1636" spans="1:42" ht="12" hidden="1" customHeight="1" outlineLevel="4" x14ac:dyDescent="0.2">
      <c r="A1636" s="60" t="s">
        <v>568</v>
      </c>
      <c r="B1636" s="45"/>
      <c r="C1636" s="45"/>
      <c r="D1636" s="46">
        <v>96494.62</v>
      </c>
      <c r="E1636" s="45"/>
      <c r="F1636" s="45"/>
      <c r="G1636" s="45"/>
      <c r="I1636" s="73" t="s">
        <v>320</v>
      </c>
    </row>
    <row r="1637" spans="1:42" ht="12" hidden="1" customHeight="1" outlineLevel="4" x14ac:dyDescent="0.2">
      <c r="A1637" s="60" t="s">
        <v>567</v>
      </c>
      <c r="B1637" s="45"/>
      <c r="C1637" s="45"/>
      <c r="D1637" s="46">
        <v>4047.33</v>
      </c>
      <c r="E1637" s="45"/>
      <c r="F1637" s="45"/>
      <c r="G1637" s="45"/>
      <c r="I1637" s="73" t="s">
        <v>326</v>
      </c>
    </row>
    <row r="1638" spans="1:42" ht="12" customHeight="1" outlineLevel="1" collapsed="1" x14ac:dyDescent="0.2">
      <c r="A1638" s="79" t="s">
        <v>406</v>
      </c>
      <c r="B1638" s="48"/>
      <c r="C1638" s="48"/>
      <c r="D1638" s="49">
        <v>1651343.92</v>
      </c>
      <c r="E1638" s="49">
        <v>1651343.92</v>
      </c>
      <c r="F1638" s="48"/>
      <c r="G1638" s="48"/>
      <c r="AP1638" s="41" t="s">
        <v>310</v>
      </c>
    </row>
    <row r="1639" spans="1:42" ht="12" hidden="1" customHeight="1" outlineLevel="2" collapsed="1" x14ac:dyDescent="0.2">
      <c r="A1639" s="63" t="s">
        <v>477</v>
      </c>
      <c r="B1639" s="62"/>
      <c r="C1639" s="62"/>
      <c r="D1639" s="64">
        <v>1651343.92</v>
      </c>
      <c r="E1639" s="64">
        <v>1651343.92</v>
      </c>
      <c r="F1639" s="62"/>
      <c r="G1639" s="62"/>
    </row>
    <row r="1640" spans="1:42" ht="12" hidden="1" customHeight="1" outlineLevel="3" x14ac:dyDescent="0.2">
      <c r="A1640" s="61" t="s">
        <v>472</v>
      </c>
      <c r="B1640" s="45"/>
      <c r="C1640" s="45"/>
      <c r="D1640" s="45"/>
      <c r="E1640" s="46">
        <v>2523594.19</v>
      </c>
      <c r="F1640" s="45"/>
      <c r="G1640" s="45"/>
    </row>
    <row r="1641" spans="1:42" ht="12" hidden="1" customHeight="1" outlineLevel="4" x14ac:dyDescent="0.2">
      <c r="A1641" s="60" t="s">
        <v>472</v>
      </c>
      <c r="B1641" s="45"/>
      <c r="C1641" s="45"/>
      <c r="D1641" s="45"/>
      <c r="E1641" s="46">
        <v>2523594.19</v>
      </c>
      <c r="F1641" s="45"/>
      <c r="G1641" s="45"/>
    </row>
    <row r="1642" spans="1:42" ht="12" hidden="1" customHeight="1" outlineLevel="3" x14ac:dyDescent="0.2">
      <c r="A1642" s="61" t="s">
        <v>472</v>
      </c>
      <c r="B1642" s="45"/>
      <c r="C1642" s="45"/>
      <c r="D1642" s="45"/>
      <c r="E1642" s="59">
        <v>-872250.27</v>
      </c>
      <c r="F1642" s="45"/>
      <c r="G1642" s="45"/>
    </row>
    <row r="1643" spans="1:42" ht="12" hidden="1" customHeight="1" outlineLevel="4" x14ac:dyDescent="0.2">
      <c r="A1643" s="60" t="s">
        <v>472</v>
      </c>
      <c r="B1643" s="45"/>
      <c r="C1643" s="45"/>
      <c r="D1643" s="45"/>
      <c r="E1643" s="59">
        <v>-872250.27</v>
      </c>
      <c r="F1643" s="45"/>
      <c r="G1643" s="45"/>
    </row>
    <row r="1644" spans="1:42" ht="23.25" hidden="1" customHeight="1" outlineLevel="3" x14ac:dyDescent="0.2">
      <c r="A1644" s="61" t="s">
        <v>393</v>
      </c>
      <c r="B1644" s="45"/>
      <c r="C1644" s="45"/>
      <c r="D1644" s="46">
        <v>672192.59</v>
      </c>
      <c r="E1644" s="45"/>
      <c r="F1644" s="45"/>
      <c r="G1644" s="45"/>
    </row>
    <row r="1645" spans="1:42" ht="12" hidden="1" customHeight="1" outlineLevel="4" x14ac:dyDescent="0.2">
      <c r="A1645" s="60" t="s">
        <v>472</v>
      </c>
      <c r="B1645" s="45"/>
      <c r="C1645" s="45"/>
      <c r="D1645" s="46">
        <v>672192.59</v>
      </c>
      <c r="E1645" s="45"/>
      <c r="F1645" s="45"/>
      <c r="G1645" s="45"/>
    </row>
    <row r="1646" spans="1:42" ht="12" hidden="1" customHeight="1" outlineLevel="3" x14ac:dyDescent="0.2">
      <c r="A1646" s="61" t="s">
        <v>549</v>
      </c>
      <c r="B1646" s="45"/>
      <c r="C1646" s="45"/>
      <c r="D1646" s="46">
        <v>600500.63</v>
      </c>
      <c r="E1646" s="45"/>
      <c r="F1646" s="45"/>
      <c r="G1646" s="45"/>
    </row>
    <row r="1647" spans="1:42" ht="12" hidden="1" customHeight="1" outlineLevel="4" x14ac:dyDescent="0.2">
      <c r="A1647" s="60" t="s">
        <v>472</v>
      </c>
      <c r="B1647" s="45"/>
      <c r="C1647" s="45"/>
      <c r="D1647" s="46">
        <v>600500.63</v>
      </c>
      <c r="E1647" s="45"/>
      <c r="F1647" s="45"/>
      <c r="G1647" s="45"/>
    </row>
    <row r="1648" spans="1:42" ht="12" hidden="1" customHeight="1" outlineLevel="3" x14ac:dyDescent="0.2">
      <c r="A1648" s="61" t="s">
        <v>392</v>
      </c>
      <c r="B1648" s="45"/>
      <c r="C1648" s="45"/>
      <c r="D1648" s="46">
        <v>378650.7</v>
      </c>
      <c r="E1648" s="45"/>
      <c r="F1648" s="45"/>
      <c r="G1648" s="45"/>
    </row>
    <row r="1649" spans="1:7" ht="12" hidden="1" customHeight="1" outlineLevel="4" x14ac:dyDescent="0.2">
      <c r="A1649" s="60" t="s">
        <v>472</v>
      </c>
      <c r="B1649" s="45"/>
      <c r="C1649" s="45"/>
      <c r="D1649" s="46">
        <v>378650.7</v>
      </c>
      <c r="E1649" s="45"/>
      <c r="F1649" s="45"/>
      <c r="G1649" s="45"/>
    </row>
    <row r="1650" spans="1:7" ht="12" customHeight="1" outlineLevel="1" collapsed="1" x14ac:dyDescent="0.2">
      <c r="A1650" s="50" t="s">
        <v>98</v>
      </c>
      <c r="B1650" s="48"/>
      <c r="C1650" s="48"/>
      <c r="D1650" s="68">
        <v>1538979.69</v>
      </c>
      <c r="E1650" s="49">
        <v>1538979.69</v>
      </c>
      <c r="F1650" s="48"/>
      <c r="G1650" s="48"/>
    </row>
    <row r="1651" spans="1:7" ht="12" hidden="1" customHeight="1" outlineLevel="2" collapsed="1" x14ac:dyDescent="0.2">
      <c r="A1651" s="63" t="s">
        <v>480</v>
      </c>
      <c r="B1651" s="62"/>
      <c r="C1651" s="62"/>
      <c r="D1651" s="62"/>
      <c r="E1651" s="62"/>
      <c r="F1651" s="62"/>
      <c r="G1651" s="62"/>
    </row>
    <row r="1652" spans="1:7" ht="12" hidden="1" customHeight="1" outlineLevel="3" x14ac:dyDescent="0.2">
      <c r="A1652" s="61" t="s">
        <v>472</v>
      </c>
      <c r="B1652" s="45"/>
      <c r="C1652" s="45"/>
      <c r="D1652" s="45"/>
      <c r="E1652" s="66">
        <v>1.59</v>
      </c>
      <c r="F1652" s="45"/>
      <c r="G1652" s="45"/>
    </row>
    <row r="1653" spans="1:7" ht="12" hidden="1" customHeight="1" outlineLevel="4" x14ac:dyDescent="0.2">
      <c r="A1653" s="60" t="s">
        <v>472</v>
      </c>
      <c r="B1653" s="45"/>
      <c r="C1653" s="45"/>
      <c r="D1653" s="45"/>
      <c r="E1653" s="66">
        <v>1.59</v>
      </c>
      <c r="F1653" s="45"/>
      <c r="G1653" s="45"/>
    </row>
    <row r="1654" spans="1:7" ht="12" hidden="1" customHeight="1" outlineLevel="3" x14ac:dyDescent="0.2">
      <c r="A1654" s="61" t="s">
        <v>472</v>
      </c>
      <c r="B1654" s="45"/>
      <c r="C1654" s="45"/>
      <c r="D1654" s="45"/>
      <c r="E1654" s="65">
        <v>-1.59</v>
      </c>
      <c r="F1654" s="45"/>
      <c r="G1654" s="45"/>
    </row>
    <row r="1655" spans="1:7" ht="12" hidden="1" customHeight="1" outlineLevel="4" x14ac:dyDescent="0.2">
      <c r="A1655" s="60" t="s">
        <v>472</v>
      </c>
      <c r="B1655" s="45"/>
      <c r="C1655" s="45"/>
      <c r="D1655" s="45"/>
      <c r="E1655" s="65">
        <v>-1.59</v>
      </c>
      <c r="F1655" s="45"/>
      <c r="G1655" s="45"/>
    </row>
    <row r="1656" spans="1:7" ht="12" hidden="1" customHeight="1" outlineLevel="2" collapsed="1" x14ac:dyDescent="0.2">
      <c r="A1656" s="63" t="s">
        <v>30</v>
      </c>
      <c r="B1656" s="62"/>
      <c r="C1656" s="62"/>
      <c r="D1656" s="62"/>
      <c r="E1656" s="62"/>
      <c r="F1656" s="62"/>
      <c r="G1656" s="62"/>
    </row>
    <row r="1657" spans="1:7" ht="12" hidden="1" customHeight="1" outlineLevel="3" x14ac:dyDescent="0.2">
      <c r="A1657" s="61" t="s">
        <v>472</v>
      </c>
      <c r="B1657" s="45"/>
      <c r="C1657" s="45"/>
      <c r="D1657" s="45"/>
      <c r="E1657" s="46">
        <v>100548.05</v>
      </c>
      <c r="F1657" s="45"/>
      <c r="G1657" s="45"/>
    </row>
    <row r="1658" spans="1:7" ht="12" hidden="1" customHeight="1" outlineLevel="4" x14ac:dyDescent="0.2">
      <c r="A1658" s="60" t="s">
        <v>472</v>
      </c>
      <c r="B1658" s="45"/>
      <c r="C1658" s="45"/>
      <c r="D1658" s="45"/>
      <c r="E1658" s="46">
        <v>100548.05</v>
      </c>
      <c r="F1658" s="45"/>
      <c r="G1658" s="45"/>
    </row>
    <row r="1659" spans="1:7" ht="12" hidden="1" customHeight="1" outlineLevel="3" x14ac:dyDescent="0.2">
      <c r="A1659" s="61" t="s">
        <v>472</v>
      </c>
      <c r="B1659" s="45"/>
      <c r="C1659" s="45"/>
      <c r="D1659" s="45"/>
      <c r="E1659" s="59">
        <v>-100548.05</v>
      </c>
      <c r="F1659" s="45"/>
      <c r="G1659" s="45"/>
    </row>
    <row r="1660" spans="1:7" ht="12" hidden="1" customHeight="1" outlineLevel="4" x14ac:dyDescent="0.2">
      <c r="A1660" s="60" t="s">
        <v>472</v>
      </c>
      <c r="B1660" s="45"/>
      <c r="C1660" s="45"/>
      <c r="D1660" s="45"/>
      <c r="E1660" s="59">
        <v>-100548.05</v>
      </c>
      <c r="F1660" s="45"/>
      <c r="G1660" s="45"/>
    </row>
    <row r="1661" spans="1:7" ht="12" hidden="1" customHeight="1" outlineLevel="2" collapsed="1" x14ac:dyDescent="0.2">
      <c r="A1661" s="63" t="s">
        <v>479</v>
      </c>
      <c r="B1661" s="62"/>
      <c r="C1661" s="62"/>
      <c r="D1661" s="62"/>
      <c r="E1661" s="62"/>
      <c r="F1661" s="62"/>
      <c r="G1661" s="62"/>
    </row>
    <row r="1662" spans="1:7" ht="12" hidden="1" customHeight="1" outlineLevel="3" x14ac:dyDescent="0.2">
      <c r="A1662" s="61" t="s">
        <v>472</v>
      </c>
      <c r="B1662" s="45"/>
      <c r="C1662" s="45"/>
      <c r="D1662" s="45"/>
      <c r="E1662" s="46">
        <v>204314.27</v>
      </c>
      <c r="F1662" s="45"/>
      <c r="G1662" s="45"/>
    </row>
    <row r="1663" spans="1:7" ht="12" hidden="1" customHeight="1" outlineLevel="4" x14ac:dyDescent="0.2">
      <c r="A1663" s="60" t="s">
        <v>472</v>
      </c>
      <c r="B1663" s="45"/>
      <c r="C1663" s="45"/>
      <c r="D1663" s="45"/>
      <c r="E1663" s="46">
        <v>204314.27</v>
      </c>
      <c r="F1663" s="45"/>
      <c r="G1663" s="45"/>
    </row>
    <row r="1664" spans="1:7" ht="12" hidden="1" customHeight="1" outlineLevel="3" x14ac:dyDescent="0.2">
      <c r="A1664" s="61" t="s">
        <v>472</v>
      </c>
      <c r="B1664" s="45"/>
      <c r="C1664" s="45"/>
      <c r="D1664" s="45"/>
      <c r="E1664" s="59">
        <v>-204314.27</v>
      </c>
      <c r="F1664" s="45"/>
      <c r="G1664" s="45"/>
    </row>
    <row r="1665" spans="1:7" ht="12" hidden="1" customHeight="1" outlineLevel="4" x14ac:dyDescent="0.2">
      <c r="A1665" s="60" t="s">
        <v>472</v>
      </c>
      <c r="B1665" s="45"/>
      <c r="C1665" s="45"/>
      <c r="D1665" s="45"/>
      <c r="E1665" s="59">
        <v>-204314.27</v>
      </c>
      <c r="F1665" s="45"/>
      <c r="G1665" s="45"/>
    </row>
    <row r="1666" spans="1:7" ht="12" hidden="1" customHeight="1" outlineLevel="2" collapsed="1" x14ac:dyDescent="0.2">
      <c r="A1666" s="63" t="s">
        <v>478</v>
      </c>
      <c r="B1666" s="62"/>
      <c r="C1666" s="62"/>
      <c r="D1666" s="62"/>
      <c r="E1666" s="62"/>
      <c r="F1666" s="62"/>
      <c r="G1666" s="62"/>
    </row>
    <row r="1667" spans="1:7" ht="12" hidden="1" customHeight="1" outlineLevel="3" x14ac:dyDescent="0.2">
      <c r="A1667" s="61" t="s">
        <v>472</v>
      </c>
      <c r="B1667" s="45"/>
      <c r="C1667" s="45"/>
      <c r="D1667" s="45"/>
      <c r="E1667" s="66">
        <v>31.93</v>
      </c>
      <c r="F1667" s="45"/>
      <c r="G1667" s="45"/>
    </row>
    <row r="1668" spans="1:7" ht="12" hidden="1" customHeight="1" outlineLevel="4" x14ac:dyDescent="0.2">
      <c r="A1668" s="60" t="s">
        <v>472</v>
      </c>
      <c r="B1668" s="45"/>
      <c r="C1668" s="45"/>
      <c r="D1668" s="45"/>
      <c r="E1668" s="66">
        <v>31.93</v>
      </c>
      <c r="F1668" s="45"/>
      <c r="G1668" s="45"/>
    </row>
    <row r="1669" spans="1:7" ht="12" hidden="1" customHeight="1" outlineLevel="3" x14ac:dyDescent="0.2">
      <c r="A1669" s="61" t="s">
        <v>472</v>
      </c>
      <c r="B1669" s="45"/>
      <c r="C1669" s="45"/>
      <c r="D1669" s="45"/>
      <c r="E1669" s="65">
        <v>-31.93</v>
      </c>
      <c r="F1669" s="45"/>
      <c r="G1669" s="45"/>
    </row>
    <row r="1670" spans="1:7" ht="12" hidden="1" customHeight="1" outlineLevel="4" x14ac:dyDescent="0.2">
      <c r="A1670" s="60" t="s">
        <v>472</v>
      </c>
      <c r="B1670" s="45"/>
      <c r="C1670" s="45"/>
      <c r="D1670" s="45"/>
      <c r="E1670" s="65">
        <v>-31.93</v>
      </c>
      <c r="F1670" s="45"/>
      <c r="G1670" s="45"/>
    </row>
    <row r="1671" spans="1:7" ht="12" hidden="1" customHeight="1" outlineLevel="2" collapsed="1" x14ac:dyDescent="0.2">
      <c r="A1671" s="63" t="s">
        <v>32</v>
      </c>
      <c r="B1671" s="62"/>
      <c r="C1671" s="62"/>
      <c r="D1671" s="62"/>
      <c r="E1671" s="62"/>
      <c r="F1671" s="62"/>
      <c r="G1671" s="62"/>
    </row>
    <row r="1672" spans="1:7" ht="12" hidden="1" customHeight="1" outlineLevel="3" x14ac:dyDescent="0.2">
      <c r="A1672" s="61" t="s">
        <v>472</v>
      </c>
      <c r="B1672" s="45"/>
      <c r="C1672" s="45"/>
      <c r="D1672" s="45"/>
      <c r="E1672" s="46">
        <v>422833.62</v>
      </c>
      <c r="F1672" s="45"/>
      <c r="G1672" s="45"/>
    </row>
    <row r="1673" spans="1:7" ht="12" hidden="1" customHeight="1" outlineLevel="4" x14ac:dyDescent="0.2">
      <c r="A1673" s="60" t="s">
        <v>472</v>
      </c>
      <c r="B1673" s="45"/>
      <c r="C1673" s="45"/>
      <c r="D1673" s="45"/>
      <c r="E1673" s="46">
        <v>422833.62</v>
      </c>
      <c r="F1673" s="45"/>
      <c r="G1673" s="45"/>
    </row>
    <row r="1674" spans="1:7" ht="12" hidden="1" customHeight="1" outlineLevel="3" x14ac:dyDescent="0.2">
      <c r="A1674" s="61" t="s">
        <v>472</v>
      </c>
      <c r="B1674" s="45"/>
      <c r="C1674" s="45"/>
      <c r="D1674" s="45"/>
      <c r="E1674" s="59">
        <v>-422833.62</v>
      </c>
      <c r="F1674" s="45"/>
      <c r="G1674" s="45"/>
    </row>
    <row r="1675" spans="1:7" ht="12" hidden="1" customHeight="1" outlineLevel="4" x14ac:dyDescent="0.2">
      <c r="A1675" s="60" t="s">
        <v>472</v>
      </c>
      <c r="B1675" s="45"/>
      <c r="C1675" s="45"/>
      <c r="D1675" s="45"/>
      <c r="E1675" s="59">
        <v>-422833.62</v>
      </c>
      <c r="F1675" s="45"/>
      <c r="G1675" s="45"/>
    </row>
    <row r="1676" spans="1:7" ht="12" hidden="1" customHeight="1" outlineLevel="2" collapsed="1" x14ac:dyDescent="0.2">
      <c r="A1676" s="63" t="s">
        <v>477</v>
      </c>
      <c r="B1676" s="62"/>
      <c r="C1676" s="62"/>
      <c r="D1676" s="64">
        <v>1538979.69</v>
      </c>
      <c r="E1676" s="64">
        <v>1538979.69</v>
      </c>
      <c r="F1676" s="62"/>
      <c r="G1676" s="62"/>
    </row>
    <row r="1677" spans="1:7" ht="12" hidden="1" customHeight="1" outlineLevel="3" x14ac:dyDescent="0.2">
      <c r="A1677" s="61" t="s">
        <v>472</v>
      </c>
      <c r="B1677" s="45"/>
      <c r="C1677" s="45"/>
      <c r="D1677" s="45"/>
      <c r="E1677" s="46">
        <v>2249493.5</v>
      </c>
      <c r="F1677" s="45"/>
      <c r="G1677" s="45"/>
    </row>
    <row r="1678" spans="1:7" ht="12" hidden="1" customHeight="1" outlineLevel="4" x14ac:dyDescent="0.2">
      <c r="A1678" s="60" t="s">
        <v>472</v>
      </c>
      <c r="B1678" s="45"/>
      <c r="C1678" s="45"/>
      <c r="D1678" s="45"/>
      <c r="E1678" s="46">
        <v>2249493.5</v>
      </c>
      <c r="F1678" s="45"/>
      <c r="G1678" s="45"/>
    </row>
    <row r="1679" spans="1:7" ht="12" hidden="1" customHeight="1" outlineLevel="3" x14ac:dyDescent="0.2">
      <c r="A1679" s="61" t="s">
        <v>472</v>
      </c>
      <c r="B1679" s="45"/>
      <c r="C1679" s="45"/>
      <c r="D1679" s="45"/>
      <c r="E1679" s="59">
        <v>-710513.81</v>
      </c>
      <c r="F1679" s="45"/>
      <c r="G1679" s="45"/>
    </row>
    <row r="1680" spans="1:7" ht="12" hidden="1" customHeight="1" outlineLevel="4" x14ac:dyDescent="0.2">
      <c r="A1680" s="60" t="s">
        <v>472</v>
      </c>
      <c r="B1680" s="45"/>
      <c r="C1680" s="45"/>
      <c r="D1680" s="45"/>
      <c r="E1680" s="59">
        <v>-710513.81</v>
      </c>
      <c r="F1680" s="45"/>
      <c r="G1680" s="45"/>
    </row>
    <row r="1681" spans="1:7" ht="23.25" hidden="1" customHeight="1" outlineLevel="3" x14ac:dyDescent="0.2">
      <c r="A1681" s="61" t="s">
        <v>393</v>
      </c>
      <c r="B1681" s="45"/>
      <c r="C1681" s="45"/>
      <c r="D1681" s="46">
        <v>1189275.48</v>
      </c>
      <c r="E1681" s="45"/>
      <c r="F1681" s="45"/>
      <c r="G1681" s="45"/>
    </row>
    <row r="1682" spans="1:7" ht="12" hidden="1" customHeight="1" outlineLevel="4" x14ac:dyDescent="0.2">
      <c r="A1682" s="60" t="s">
        <v>472</v>
      </c>
      <c r="B1682" s="45"/>
      <c r="C1682" s="45"/>
      <c r="D1682" s="46">
        <v>1189275.48</v>
      </c>
      <c r="E1682" s="45"/>
      <c r="F1682" s="45"/>
      <c r="G1682" s="45"/>
    </row>
    <row r="1683" spans="1:7" ht="12" hidden="1" customHeight="1" outlineLevel="3" x14ac:dyDescent="0.2">
      <c r="A1683" s="61" t="s">
        <v>392</v>
      </c>
      <c r="B1683" s="45"/>
      <c r="C1683" s="45"/>
      <c r="D1683" s="46">
        <v>349704.21</v>
      </c>
      <c r="E1683" s="45"/>
      <c r="F1683" s="45"/>
      <c r="G1683" s="45"/>
    </row>
    <row r="1684" spans="1:7" ht="12" hidden="1" customHeight="1" outlineLevel="4" x14ac:dyDescent="0.2">
      <c r="A1684" s="60" t="s">
        <v>472</v>
      </c>
      <c r="B1684" s="45"/>
      <c r="C1684" s="45"/>
      <c r="D1684" s="46">
        <v>349704.21</v>
      </c>
      <c r="E1684" s="45"/>
      <c r="F1684" s="45"/>
      <c r="G1684" s="45"/>
    </row>
    <row r="1685" spans="1:7" ht="12" hidden="1" customHeight="1" outlineLevel="2" collapsed="1" x14ac:dyDescent="0.2">
      <c r="A1685" s="63" t="s">
        <v>476</v>
      </c>
      <c r="B1685" s="62"/>
      <c r="C1685" s="62"/>
      <c r="D1685" s="62"/>
      <c r="E1685" s="62"/>
      <c r="F1685" s="62"/>
      <c r="G1685" s="62"/>
    </row>
    <row r="1686" spans="1:7" ht="12" hidden="1" customHeight="1" outlineLevel="3" x14ac:dyDescent="0.2">
      <c r="A1686" s="61" t="s">
        <v>472</v>
      </c>
      <c r="B1686" s="45"/>
      <c r="C1686" s="45"/>
      <c r="D1686" s="45"/>
      <c r="E1686" s="46">
        <v>56694.37</v>
      </c>
      <c r="F1686" s="45"/>
      <c r="G1686" s="45"/>
    </row>
    <row r="1687" spans="1:7" ht="12" hidden="1" customHeight="1" outlineLevel="4" x14ac:dyDescent="0.2">
      <c r="A1687" s="60" t="s">
        <v>472</v>
      </c>
      <c r="B1687" s="45"/>
      <c r="C1687" s="45"/>
      <c r="D1687" s="45"/>
      <c r="E1687" s="46">
        <v>56694.37</v>
      </c>
      <c r="F1687" s="45"/>
      <c r="G1687" s="45"/>
    </row>
    <row r="1688" spans="1:7" ht="12" hidden="1" customHeight="1" outlineLevel="3" x14ac:dyDescent="0.2">
      <c r="A1688" s="61" t="s">
        <v>472</v>
      </c>
      <c r="B1688" s="45"/>
      <c r="C1688" s="45"/>
      <c r="D1688" s="45"/>
      <c r="E1688" s="59">
        <v>-56694.37</v>
      </c>
      <c r="F1688" s="45"/>
      <c r="G1688" s="45"/>
    </row>
    <row r="1689" spans="1:7" ht="12" hidden="1" customHeight="1" outlineLevel="4" x14ac:dyDescent="0.2">
      <c r="A1689" s="60" t="s">
        <v>472</v>
      </c>
      <c r="B1689" s="45"/>
      <c r="C1689" s="45"/>
      <c r="D1689" s="45"/>
      <c r="E1689" s="59">
        <v>-56694.37</v>
      </c>
      <c r="F1689" s="45"/>
      <c r="G1689" s="45"/>
    </row>
    <row r="1690" spans="1:7" ht="12" hidden="1" customHeight="1" outlineLevel="2" collapsed="1" x14ac:dyDescent="0.2">
      <c r="A1690" s="63" t="s">
        <v>475</v>
      </c>
      <c r="B1690" s="62"/>
      <c r="C1690" s="62"/>
      <c r="D1690" s="62"/>
      <c r="E1690" s="62"/>
      <c r="F1690" s="62"/>
      <c r="G1690" s="62"/>
    </row>
    <row r="1691" spans="1:7" ht="12" hidden="1" customHeight="1" outlineLevel="3" x14ac:dyDescent="0.2">
      <c r="A1691" s="61" t="s">
        <v>472</v>
      </c>
      <c r="B1691" s="45"/>
      <c r="C1691" s="45"/>
      <c r="D1691" s="45"/>
      <c r="E1691" s="46">
        <v>44042.05</v>
      </c>
      <c r="F1691" s="45"/>
      <c r="G1691" s="45"/>
    </row>
    <row r="1692" spans="1:7" ht="12" hidden="1" customHeight="1" outlineLevel="4" x14ac:dyDescent="0.2">
      <c r="A1692" s="60" t="s">
        <v>472</v>
      </c>
      <c r="B1692" s="45"/>
      <c r="C1692" s="45"/>
      <c r="D1692" s="45"/>
      <c r="E1692" s="46">
        <v>44042.05</v>
      </c>
      <c r="F1692" s="45"/>
      <c r="G1692" s="45"/>
    </row>
    <row r="1693" spans="1:7" ht="12" hidden="1" customHeight="1" outlineLevel="3" x14ac:dyDescent="0.2">
      <c r="A1693" s="61" t="s">
        <v>472</v>
      </c>
      <c r="B1693" s="45"/>
      <c r="C1693" s="45"/>
      <c r="D1693" s="45"/>
      <c r="E1693" s="59">
        <v>-44042.05</v>
      </c>
      <c r="F1693" s="45"/>
      <c r="G1693" s="45"/>
    </row>
    <row r="1694" spans="1:7" ht="12" hidden="1" customHeight="1" outlineLevel="4" x14ac:dyDescent="0.2">
      <c r="A1694" s="60" t="s">
        <v>472</v>
      </c>
      <c r="B1694" s="45"/>
      <c r="C1694" s="45"/>
      <c r="D1694" s="45"/>
      <c r="E1694" s="59">
        <v>-44042.05</v>
      </c>
      <c r="F1694" s="45"/>
      <c r="G1694" s="45"/>
    </row>
    <row r="1695" spans="1:7" ht="12" customHeight="1" outlineLevel="1" collapsed="1" x14ac:dyDescent="0.2">
      <c r="A1695" s="79" t="s">
        <v>405</v>
      </c>
      <c r="B1695" s="48"/>
      <c r="C1695" s="48"/>
      <c r="D1695" s="49">
        <v>759852.17</v>
      </c>
      <c r="E1695" s="49">
        <v>759852.17</v>
      </c>
      <c r="F1695" s="48"/>
      <c r="G1695" s="48"/>
    </row>
    <row r="1696" spans="1:7" ht="12" hidden="1" customHeight="1" outlineLevel="2" collapsed="1" x14ac:dyDescent="0.2">
      <c r="A1696" s="86" t="s">
        <v>477</v>
      </c>
      <c r="B1696" s="62"/>
      <c r="C1696" s="62"/>
      <c r="D1696" s="64">
        <v>759852.17</v>
      </c>
      <c r="E1696" s="64">
        <v>759852.17</v>
      </c>
      <c r="F1696" s="62"/>
      <c r="G1696" s="62"/>
    </row>
    <row r="1697" spans="1:9" ht="12" hidden="1" customHeight="1" outlineLevel="3" x14ac:dyDescent="0.2">
      <c r="A1697" s="61" t="s">
        <v>472</v>
      </c>
      <c r="B1697" s="45"/>
      <c r="C1697" s="45"/>
      <c r="D1697" s="45"/>
      <c r="E1697" s="46">
        <v>865302.71</v>
      </c>
      <c r="F1697" s="45"/>
      <c r="G1697" s="45"/>
    </row>
    <row r="1698" spans="1:9" ht="12" hidden="1" customHeight="1" outlineLevel="4" x14ac:dyDescent="0.2">
      <c r="A1698" s="60" t="s">
        <v>472</v>
      </c>
      <c r="B1698" s="45"/>
      <c r="C1698" s="45"/>
      <c r="D1698" s="45"/>
      <c r="E1698" s="46">
        <v>865302.71</v>
      </c>
      <c r="F1698" s="45"/>
      <c r="G1698" s="45"/>
    </row>
    <row r="1699" spans="1:9" ht="12" hidden="1" customHeight="1" outlineLevel="3" x14ac:dyDescent="0.2">
      <c r="A1699" s="61" t="s">
        <v>472</v>
      </c>
      <c r="B1699" s="45"/>
      <c r="C1699" s="45"/>
      <c r="D1699" s="45"/>
      <c r="E1699" s="59">
        <v>-105450.54</v>
      </c>
      <c r="F1699" s="45"/>
      <c r="G1699" s="45"/>
    </row>
    <row r="1700" spans="1:9" ht="12" hidden="1" customHeight="1" outlineLevel="4" x14ac:dyDescent="0.2">
      <c r="A1700" s="60" t="s">
        <v>472</v>
      </c>
      <c r="B1700" s="45"/>
      <c r="C1700" s="45"/>
      <c r="D1700" s="45"/>
      <c r="E1700" s="59">
        <v>-105450.54</v>
      </c>
      <c r="F1700" s="45"/>
      <c r="G1700" s="45"/>
    </row>
    <row r="1701" spans="1:9" ht="23.25" hidden="1" customHeight="1" outlineLevel="3" x14ac:dyDescent="0.2">
      <c r="A1701" s="61" t="s">
        <v>403</v>
      </c>
      <c r="B1701" s="45"/>
      <c r="C1701" s="45"/>
      <c r="D1701" s="83">
        <v>170152.22</v>
      </c>
      <c r="E1701" s="45"/>
      <c r="F1701" s="45"/>
      <c r="G1701" s="45"/>
      <c r="I1701" s="41" t="s">
        <v>98</v>
      </c>
    </row>
    <row r="1702" spans="1:9" ht="12" hidden="1" customHeight="1" outlineLevel="4" x14ac:dyDescent="0.2">
      <c r="A1702" s="60" t="s">
        <v>472</v>
      </c>
      <c r="B1702" s="45"/>
      <c r="C1702" s="45"/>
      <c r="D1702" s="46">
        <v>105450.54</v>
      </c>
      <c r="E1702" s="45"/>
      <c r="F1702" s="45"/>
      <c r="G1702" s="45"/>
    </row>
    <row r="1703" spans="1:9" ht="12" hidden="1" customHeight="1" outlineLevel="4" x14ac:dyDescent="0.2">
      <c r="A1703" s="60" t="s">
        <v>495</v>
      </c>
      <c r="B1703" s="45"/>
      <c r="C1703" s="45"/>
      <c r="D1703" s="46">
        <v>64701.68</v>
      </c>
      <c r="E1703" s="45"/>
      <c r="F1703" s="45"/>
      <c r="G1703" s="45"/>
    </row>
    <row r="1704" spans="1:9" ht="23.25" hidden="1" customHeight="1" outlineLevel="3" x14ac:dyDescent="0.2">
      <c r="A1704" s="61" t="s">
        <v>494</v>
      </c>
      <c r="B1704" s="45"/>
      <c r="C1704" s="45"/>
      <c r="D1704" s="83">
        <v>589699.94999999995</v>
      </c>
      <c r="E1704" s="45"/>
      <c r="F1704" s="45"/>
      <c r="G1704" s="45"/>
    </row>
    <row r="1705" spans="1:9" ht="12" hidden="1" customHeight="1" outlineLevel="4" x14ac:dyDescent="0.2">
      <c r="A1705" s="60" t="s">
        <v>566</v>
      </c>
      <c r="B1705" s="45"/>
      <c r="C1705" s="45"/>
      <c r="D1705" s="46">
        <v>51355.44</v>
      </c>
      <c r="E1705" s="45"/>
      <c r="F1705" s="45"/>
      <c r="G1705" s="45"/>
      <c r="I1705" s="73" t="s">
        <v>133</v>
      </c>
    </row>
    <row r="1706" spans="1:9" ht="12" hidden="1" customHeight="1" outlineLevel="4" x14ac:dyDescent="0.2">
      <c r="A1706" s="60" t="s">
        <v>565</v>
      </c>
      <c r="B1706" s="45"/>
      <c r="C1706" s="45"/>
      <c r="D1706" s="46">
        <v>48394.04</v>
      </c>
      <c r="E1706" s="45"/>
      <c r="F1706" s="45"/>
      <c r="G1706" s="45"/>
      <c r="I1706" s="73" t="s">
        <v>134</v>
      </c>
    </row>
    <row r="1707" spans="1:9" ht="12" hidden="1" customHeight="1" outlineLevel="4" x14ac:dyDescent="0.2">
      <c r="A1707" s="60" t="s">
        <v>564</v>
      </c>
      <c r="B1707" s="45"/>
      <c r="C1707" s="45"/>
      <c r="D1707" s="46">
        <v>45479.39</v>
      </c>
      <c r="E1707" s="45"/>
      <c r="F1707" s="45"/>
      <c r="G1707" s="45"/>
      <c r="I1707" s="73" t="s">
        <v>131</v>
      </c>
    </row>
    <row r="1708" spans="1:9" ht="12" hidden="1" customHeight="1" outlineLevel="4" x14ac:dyDescent="0.2">
      <c r="A1708" s="60" t="s">
        <v>563</v>
      </c>
      <c r="B1708" s="45"/>
      <c r="C1708" s="45"/>
      <c r="D1708" s="46">
        <v>28641.29</v>
      </c>
      <c r="E1708" s="45"/>
      <c r="F1708" s="45"/>
      <c r="G1708" s="45"/>
      <c r="I1708" s="73" t="s">
        <v>132</v>
      </c>
    </row>
    <row r="1709" spans="1:9" ht="23.25" hidden="1" customHeight="1" outlineLevel="4" x14ac:dyDescent="0.2">
      <c r="A1709" s="60" t="s">
        <v>562</v>
      </c>
      <c r="B1709" s="45"/>
      <c r="C1709" s="45"/>
      <c r="D1709" s="46">
        <v>44802.9</v>
      </c>
      <c r="E1709" s="45"/>
      <c r="F1709" s="45"/>
      <c r="G1709" s="45"/>
      <c r="I1709" s="73" t="s">
        <v>141</v>
      </c>
    </row>
    <row r="1710" spans="1:9" ht="12" hidden="1" customHeight="1" outlineLevel="4" x14ac:dyDescent="0.2">
      <c r="A1710" s="60" t="s">
        <v>561</v>
      </c>
      <c r="B1710" s="45"/>
      <c r="C1710" s="45"/>
      <c r="D1710" s="46">
        <v>46546.5</v>
      </c>
      <c r="E1710" s="45"/>
      <c r="F1710" s="45"/>
      <c r="G1710" s="45"/>
      <c r="I1710" s="73" t="s">
        <v>97</v>
      </c>
    </row>
    <row r="1711" spans="1:9" ht="12" hidden="1" customHeight="1" outlineLevel="4" x14ac:dyDescent="0.2">
      <c r="A1711" s="60" t="s">
        <v>560</v>
      </c>
      <c r="B1711" s="45"/>
      <c r="C1711" s="45"/>
      <c r="D1711" s="46">
        <v>21515.78</v>
      </c>
      <c r="E1711" s="45"/>
      <c r="F1711" s="45"/>
      <c r="G1711" s="45"/>
      <c r="I1711" s="73" t="s">
        <v>100</v>
      </c>
    </row>
    <row r="1712" spans="1:9" ht="12" hidden="1" customHeight="1" outlineLevel="4" x14ac:dyDescent="0.2">
      <c r="A1712" s="60" t="s">
        <v>559</v>
      </c>
      <c r="B1712" s="45"/>
      <c r="C1712" s="45"/>
      <c r="D1712" s="46">
        <v>45800.87</v>
      </c>
      <c r="E1712" s="45"/>
      <c r="F1712" s="45"/>
      <c r="G1712" s="45"/>
      <c r="I1712" s="73" t="s">
        <v>99</v>
      </c>
    </row>
    <row r="1713" spans="1:73" ht="23.25" hidden="1" customHeight="1" outlineLevel="4" x14ac:dyDescent="0.2">
      <c r="A1713" s="60" t="s">
        <v>558</v>
      </c>
      <c r="B1713" s="45"/>
      <c r="C1713" s="45"/>
      <c r="D1713" s="46">
        <v>92822.54</v>
      </c>
      <c r="E1713" s="45"/>
      <c r="F1713" s="45"/>
      <c r="G1713" s="45"/>
      <c r="I1713" s="73" t="s">
        <v>257</v>
      </c>
    </row>
    <row r="1714" spans="1:73" ht="23.25" hidden="1" customHeight="1" outlineLevel="4" x14ac:dyDescent="0.2">
      <c r="A1714" s="60" t="s">
        <v>557</v>
      </c>
      <c r="B1714" s="45"/>
      <c r="C1714" s="45"/>
      <c r="D1714" s="46">
        <v>17657.560000000001</v>
      </c>
      <c r="E1714" s="45"/>
      <c r="F1714" s="45"/>
      <c r="G1714" s="45"/>
      <c r="I1714" s="73" t="s">
        <v>258</v>
      </c>
    </row>
    <row r="1715" spans="1:73" ht="23.25" hidden="1" customHeight="1" outlineLevel="4" x14ac:dyDescent="0.2">
      <c r="A1715" s="60" t="s">
        <v>556</v>
      </c>
      <c r="B1715" s="45"/>
      <c r="C1715" s="45"/>
      <c r="D1715" s="46">
        <v>26852.95</v>
      </c>
      <c r="E1715" s="45"/>
      <c r="F1715" s="45"/>
      <c r="G1715" s="45"/>
      <c r="I1715" s="73" t="s">
        <v>259</v>
      </c>
    </row>
    <row r="1716" spans="1:73" ht="23.25" hidden="1" customHeight="1" outlineLevel="4" x14ac:dyDescent="0.2">
      <c r="A1716" s="60" t="s">
        <v>555</v>
      </c>
      <c r="B1716" s="45"/>
      <c r="C1716" s="45"/>
      <c r="D1716" s="46">
        <v>18963.21</v>
      </c>
      <c r="E1716" s="45"/>
      <c r="F1716" s="45"/>
      <c r="G1716" s="45"/>
      <c r="I1716" s="73" t="s">
        <v>260</v>
      </c>
    </row>
    <row r="1717" spans="1:73" ht="23.25" hidden="1" customHeight="1" outlineLevel="4" x14ac:dyDescent="0.2">
      <c r="A1717" s="60" t="s">
        <v>554</v>
      </c>
      <c r="B1717" s="45"/>
      <c r="C1717" s="45"/>
      <c r="D1717" s="46">
        <v>18830.8</v>
      </c>
      <c r="E1717" s="45"/>
      <c r="F1717" s="45"/>
      <c r="G1717" s="45"/>
      <c r="I1717" s="73" t="s">
        <v>260</v>
      </c>
    </row>
    <row r="1718" spans="1:73" ht="23.25" hidden="1" customHeight="1" outlineLevel="4" x14ac:dyDescent="0.2">
      <c r="A1718" s="60" t="s">
        <v>553</v>
      </c>
      <c r="B1718" s="45"/>
      <c r="C1718" s="45"/>
      <c r="D1718" s="46">
        <v>23569.15</v>
      </c>
      <c r="E1718" s="45"/>
      <c r="F1718" s="45"/>
      <c r="G1718" s="45"/>
      <c r="I1718" s="73" t="s">
        <v>261</v>
      </c>
    </row>
    <row r="1719" spans="1:73" ht="23.25" hidden="1" customHeight="1" outlineLevel="4" x14ac:dyDescent="0.2">
      <c r="A1719" s="60" t="s">
        <v>552</v>
      </c>
      <c r="B1719" s="45"/>
      <c r="C1719" s="45"/>
      <c r="D1719" s="46">
        <v>22605.83</v>
      </c>
      <c r="E1719" s="45"/>
      <c r="F1719" s="45"/>
      <c r="G1719" s="45"/>
      <c r="I1719" s="73" t="s">
        <v>261</v>
      </c>
    </row>
    <row r="1720" spans="1:73" ht="12" hidden="1" customHeight="1" outlineLevel="4" x14ac:dyDescent="0.2">
      <c r="A1720" s="60" t="s">
        <v>551</v>
      </c>
      <c r="B1720" s="45"/>
      <c r="C1720" s="45"/>
      <c r="D1720" s="46">
        <v>35861.699999999997</v>
      </c>
      <c r="E1720" s="45"/>
      <c r="F1720" s="45"/>
      <c r="G1720" s="45"/>
      <c r="I1720" s="73" t="s">
        <v>308</v>
      </c>
    </row>
    <row r="1721" spans="1:73" ht="12" customHeight="1" outlineLevel="1" collapsed="1" x14ac:dyDescent="0.2">
      <c r="A1721" s="79" t="s">
        <v>550</v>
      </c>
      <c r="B1721" s="48"/>
      <c r="C1721" s="48"/>
      <c r="D1721" s="49">
        <v>2529007.7999999998</v>
      </c>
      <c r="E1721" s="49">
        <v>2529007.7999999998</v>
      </c>
      <c r="F1721" s="48"/>
      <c r="G1721" s="48"/>
      <c r="H1721" s="78"/>
      <c r="I1721" s="78"/>
      <c r="J1721" s="78"/>
      <c r="K1721" s="78"/>
      <c r="L1721" s="78"/>
      <c r="M1721" s="78"/>
      <c r="N1721" s="78"/>
      <c r="O1721" s="78"/>
      <c r="P1721" s="78"/>
      <c r="Q1721" s="78"/>
      <c r="R1721" s="78"/>
      <c r="S1721" s="78"/>
      <c r="T1721" s="78"/>
      <c r="U1721" s="78"/>
      <c r="V1721" s="78"/>
      <c r="W1721" s="78"/>
      <c r="X1721" s="78"/>
      <c r="Y1721" s="78"/>
      <c r="Z1721" s="78"/>
      <c r="AA1721" s="78"/>
      <c r="AB1721" s="78"/>
      <c r="AC1721" s="78"/>
      <c r="AD1721" s="78"/>
      <c r="AE1721" s="78"/>
      <c r="AF1721" s="78"/>
      <c r="AG1721" s="78"/>
      <c r="AH1721" s="78"/>
      <c r="AI1721" s="78"/>
      <c r="AJ1721" s="78"/>
      <c r="AK1721" s="78"/>
      <c r="AL1721" s="78"/>
      <c r="AM1721" s="78"/>
      <c r="AN1721" s="78"/>
      <c r="AO1721" s="78"/>
      <c r="AP1721" s="78" t="s">
        <v>98</v>
      </c>
      <c r="AQ1721" s="78"/>
      <c r="AR1721" s="78"/>
      <c r="AS1721" s="78"/>
      <c r="AT1721" s="78"/>
      <c r="AU1721" s="78"/>
      <c r="AV1721" s="78"/>
      <c r="AW1721" s="78"/>
      <c r="AX1721" s="78"/>
      <c r="AY1721" s="78"/>
      <c r="AZ1721" s="78"/>
      <c r="BA1721" s="78"/>
      <c r="BB1721" s="78"/>
      <c r="BC1721" s="78"/>
      <c r="BD1721" s="78"/>
      <c r="BE1721" s="78"/>
      <c r="BF1721" s="78"/>
      <c r="BG1721" s="78"/>
      <c r="BH1721" s="78"/>
      <c r="BI1721" s="78"/>
      <c r="BJ1721" s="78"/>
      <c r="BK1721" s="78"/>
      <c r="BL1721" s="78"/>
      <c r="BM1721" s="78"/>
      <c r="BN1721" s="78"/>
      <c r="BO1721" s="78"/>
      <c r="BP1721" s="78"/>
      <c r="BQ1721" s="78"/>
      <c r="BR1721" s="78"/>
      <c r="BS1721" s="78"/>
      <c r="BT1721" s="78"/>
      <c r="BU1721" s="78"/>
    </row>
    <row r="1722" spans="1:73" ht="12" hidden="1" customHeight="1" outlineLevel="2" collapsed="1" x14ac:dyDescent="0.2">
      <c r="A1722" s="63" t="s">
        <v>477</v>
      </c>
      <c r="B1722" s="62"/>
      <c r="C1722" s="62"/>
      <c r="D1722" s="64">
        <v>2529007.7999999998</v>
      </c>
      <c r="E1722" s="64">
        <v>2529007.7999999998</v>
      </c>
      <c r="F1722" s="62"/>
      <c r="G1722" s="62"/>
    </row>
    <row r="1723" spans="1:73" ht="12" hidden="1" customHeight="1" outlineLevel="3" x14ac:dyDescent="0.2">
      <c r="A1723" s="61" t="s">
        <v>472</v>
      </c>
      <c r="B1723" s="45"/>
      <c r="C1723" s="45"/>
      <c r="D1723" s="45"/>
      <c r="E1723" s="46">
        <v>2529007.7999999998</v>
      </c>
      <c r="F1723" s="45"/>
      <c r="G1723" s="45"/>
    </row>
    <row r="1724" spans="1:73" ht="12" hidden="1" customHeight="1" outlineLevel="4" x14ac:dyDescent="0.2">
      <c r="A1724" s="60" t="s">
        <v>472</v>
      </c>
      <c r="B1724" s="45"/>
      <c r="C1724" s="45"/>
      <c r="D1724" s="45"/>
      <c r="E1724" s="46">
        <v>2529007.7999999998</v>
      </c>
      <c r="F1724" s="45"/>
      <c r="G1724" s="45"/>
    </row>
    <row r="1725" spans="1:73" ht="12" hidden="1" customHeight="1" outlineLevel="3" x14ac:dyDescent="0.2">
      <c r="A1725" s="61" t="s">
        <v>549</v>
      </c>
      <c r="B1725" s="45"/>
      <c r="C1725" s="45"/>
      <c r="D1725" s="46">
        <v>1952961.2</v>
      </c>
      <c r="E1725" s="45"/>
      <c r="F1725" s="45"/>
      <c r="G1725" s="45"/>
    </row>
    <row r="1726" spans="1:73" ht="12" hidden="1" customHeight="1" outlineLevel="4" x14ac:dyDescent="0.2">
      <c r="A1726" s="60" t="s">
        <v>472</v>
      </c>
      <c r="B1726" s="45"/>
      <c r="C1726" s="45"/>
      <c r="D1726" s="46">
        <v>1952961.2</v>
      </c>
      <c r="E1726" s="45"/>
      <c r="F1726" s="45"/>
      <c r="G1726" s="45"/>
    </row>
    <row r="1727" spans="1:73" ht="12" hidden="1" customHeight="1" outlineLevel="3" x14ac:dyDescent="0.2">
      <c r="A1727" s="61" t="s">
        <v>392</v>
      </c>
      <c r="B1727" s="45"/>
      <c r="C1727" s="45"/>
      <c r="D1727" s="46">
        <v>576046.6</v>
      </c>
      <c r="E1727" s="45"/>
      <c r="F1727" s="45"/>
      <c r="G1727" s="45"/>
    </row>
    <row r="1728" spans="1:73" ht="12" hidden="1" customHeight="1" outlineLevel="4" x14ac:dyDescent="0.2">
      <c r="A1728" s="60" t="s">
        <v>472</v>
      </c>
      <c r="B1728" s="45"/>
      <c r="C1728" s="45"/>
      <c r="D1728" s="46">
        <v>576046.6</v>
      </c>
      <c r="E1728" s="45"/>
      <c r="F1728" s="45"/>
      <c r="G1728" s="45"/>
    </row>
    <row r="1729" spans="1:51" ht="12" customHeight="1" outlineLevel="1" collapsed="1" x14ac:dyDescent="0.2">
      <c r="A1729" s="79" t="s">
        <v>404</v>
      </c>
      <c r="B1729" s="48"/>
      <c r="C1729" s="48"/>
      <c r="D1729" s="49">
        <v>4059362.09</v>
      </c>
      <c r="E1729" s="49">
        <v>4059362.09</v>
      </c>
      <c r="F1729" s="48"/>
      <c r="G1729" s="48"/>
    </row>
    <row r="1730" spans="1:51" ht="12" hidden="1" customHeight="1" outlineLevel="2" collapsed="1" x14ac:dyDescent="0.2">
      <c r="A1730" s="63" t="s">
        <v>477</v>
      </c>
      <c r="B1730" s="62"/>
      <c r="C1730" s="62"/>
      <c r="D1730" s="64">
        <v>4059362.09</v>
      </c>
      <c r="E1730" s="64">
        <v>4059362.09</v>
      </c>
      <c r="F1730" s="62"/>
      <c r="G1730" s="62"/>
    </row>
    <row r="1731" spans="1:51" ht="12" hidden="1" customHeight="1" outlineLevel="3" x14ac:dyDescent="0.2">
      <c r="A1731" s="61" t="s">
        <v>472</v>
      </c>
      <c r="B1731" s="45"/>
      <c r="C1731" s="45"/>
      <c r="D1731" s="45"/>
      <c r="E1731" s="46">
        <v>4855022.51</v>
      </c>
      <c r="F1731" s="45"/>
      <c r="G1731" s="45"/>
    </row>
    <row r="1732" spans="1:51" ht="12" hidden="1" customHeight="1" outlineLevel="4" x14ac:dyDescent="0.2">
      <c r="A1732" s="60" t="s">
        <v>472</v>
      </c>
      <c r="B1732" s="45"/>
      <c r="C1732" s="45"/>
      <c r="D1732" s="45"/>
      <c r="E1732" s="46">
        <v>4855022.51</v>
      </c>
      <c r="F1732" s="45"/>
      <c r="G1732" s="45"/>
    </row>
    <row r="1733" spans="1:51" ht="12" hidden="1" customHeight="1" outlineLevel="3" x14ac:dyDescent="0.2">
      <c r="A1733" s="61" t="s">
        <v>472</v>
      </c>
      <c r="B1733" s="45"/>
      <c r="C1733" s="45"/>
      <c r="D1733" s="45"/>
      <c r="E1733" s="59">
        <v>-795660.42</v>
      </c>
      <c r="F1733" s="45"/>
      <c r="G1733" s="45"/>
    </row>
    <row r="1734" spans="1:51" ht="12" hidden="1" customHeight="1" outlineLevel="4" x14ac:dyDescent="0.2">
      <c r="A1734" s="60" t="s">
        <v>472</v>
      </c>
      <c r="B1734" s="45"/>
      <c r="C1734" s="45"/>
      <c r="D1734" s="45"/>
      <c r="E1734" s="59">
        <v>-795660.42</v>
      </c>
      <c r="F1734" s="45"/>
      <c r="G1734" s="45"/>
    </row>
    <row r="1735" spans="1:51" ht="12" hidden="1" customHeight="1" outlineLevel="3" x14ac:dyDescent="0.2">
      <c r="A1735" s="61" t="s">
        <v>401</v>
      </c>
      <c r="B1735" s="45"/>
      <c r="C1735" s="45"/>
      <c r="D1735" s="83">
        <v>621600</v>
      </c>
      <c r="E1735" s="45"/>
      <c r="F1735" s="45"/>
      <c r="G1735" s="45"/>
      <c r="AY1735" s="41" t="s">
        <v>401</v>
      </c>
    </row>
    <row r="1736" spans="1:51" ht="12" hidden="1" customHeight="1" outlineLevel="4" x14ac:dyDescent="0.2">
      <c r="A1736" s="60" t="s">
        <v>472</v>
      </c>
      <c r="B1736" s="45"/>
      <c r="C1736" s="45"/>
      <c r="D1736" s="46">
        <v>621600</v>
      </c>
      <c r="E1736" s="45"/>
      <c r="F1736" s="45"/>
      <c r="G1736" s="45"/>
    </row>
    <row r="1737" spans="1:51" ht="34.5" hidden="1" customHeight="1" outlineLevel="3" x14ac:dyDescent="0.2">
      <c r="A1737" s="61" t="s">
        <v>548</v>
      </c>
      <c r="B1737" s="45"/>
      <c r="C1737" s="45"/>
      <c r="D1737" s="83">
        <v>4495</v>
      </c>
      <c r="E1737" s="45"/>
      <c r="F1737" s="45"/>
      <c r="G1737" s="45"/>
    </row>
    <row r="1738" spans="1:51" ht="12" hidden="1" customHeight="1" outlineLevel="4" x14ac:dyDescent="0.2">
      <c r="A1738" s="60" t="s">
        <v>506</v>
      </c>
      <c r="B1738" s="45"/>
      <c r="C1738" s="45"/>
      <c r="D1738" s="46">
        <v>4495</v>
      </c>
      <c r="E1738" s="45"/>
      <c r="F1738" s="45"/>
      <c r="G1738" s="45"/>
      <c r="AO1738" s="73" t="s">
        <v>302</v>
      </c>
    </row>
    <row r="1739" spans="1:51" ht="23.25" hidden="1" customHeight="1" outlineLevel="3" x14ac:dyDescent="0.2">
      <c r="A1739" s="61" t="s">
        <v>403</v>
      </c>
      <c r="B1739" s="45"/>
      <c r="C1739" s="45"/>
      <c r="D1739" s="83">
        <v>424346.76</v>
      </c>
      <c r="E1739" s="45"/>
      <c r="F1739" s="45"/>
      <c r="G1739" s="45"/>
      <c r="I1739" s="41" t="s">
        <v>102</v>
      </c>
    </row>
    <row r="1740" spans="1:51" ht="12" hidden="1" customHeight="1" outlineLevel="4" x14ac:dyDescent="0.2">
      <c r="A1740" s="60" t="s">
        <v>472</v>
      </c>
      <c r="B1740" s="45"/>
      <c r="C1740" s="45"/>
      <c r="D1740" s="46">
        <v>174060.42</v>
      </c>
      <c r="E1740" s="45"/>
      <c r="F1740" s="45"/>
      <c r="G1740" s="45"/>
    </row>
    <row r="1741" spans="1:51" ht="12" hidden="1" customHeight="1" outlineLevel="4" x14ac:dyDescent="0.2">
      <c r="A1741" s="60" t="s">
        <v>495</v>
      </c>
      <c r="B1741" s="45"/>
      <c r="C1741" s="45"/>
      <c r="D1741" s="46">
        <v>250286.34</v>
      </c>
      <c r="E1741" s="45"/>
      <c r="F1741" s="45"/>
      <c r="G1741" s="45"/>
    </row>
    <row r="1742" spans="1:51" ht="23.25" hidden="1" customHeight="1" outlineLevel="3" x14ac:dyDescent="0.2">
      <c r="A1742" s="61" t="s">
        <v>494</v>
      </c>
      <c r="B1742" s="45"/>
      <c r="C1742" s="45"/>
      <c r="D1742" s="83">
        <v>3008920.33</v>
      </c>
      <c r="E1742" s="45"/>
      <c r="F1742" s="45"/>
      <c r="G1742" s="45"/>
      <c r="I1742" s="76"/>
    </row>
    <row r="1743" spans="1:51" ht="23.25" hidden="1" customHeight="1" outlineLevel="4" x14ac:dyDescent="0.2">
      <c r="A1743" s="60" t="s">
        <v>547</v>
      </c>
      <c r="B1743" s="45"/>
      <c r="C1743" s="45"/>
      <c r="D1743" s="46">
        <v>270380.48</v>
      </c>
      <c r="E1743" s="45"/>
      <c r="F1743" s="45"/>
      <c r="G1743" s="45"/>
      <c r="I1743" s="73" t="s">
        <v>101</v>
      </c>
    </row>
    <row r="1744" spans="1:51" ht="23.25" hidden="1" customHeight="1" outlineLevel="4" x14ac:dyDescent="0.2">
      <c r="A1744" s="60" t="s">
        <v>546</v>
      </c>
      <c r="B1744" s="45"/>
      <c r="C1744" s="45"/>
      <c r="D1744" s="46">
        <v>98206.58</v>
      </c>
      <c r="E1744" s="45"/>
      <c r="F1744" s="45"/>
      <c r="G1744" s="45"/>
      <c r="I1744" s="73" t="s">
        <v>103</v>
      </c>
    </row>
    <row r="1745" spans="1:9" ht="34.5" hidden="1" customHeight="1" outlineLevel="4" x14ac:dyDescent="0.2">
      <c r="A1745" s="60" t="s">
        <v>545</v>
      </c>
      <c r="B1745" s="45"/>
      <c r="C1745" s="45"/>
      <c r="D1745" s="46">
        <v>118750.65</v>
      </c>
      <c r="E1745" s="45"/>
      <c r="F1745" s="45"/>
      <c r="G1745" s="45"/>
      <c r="I1745" s="73" t="s">
        <v>105</v>
      </c>
    </row>
    <row r="1746" spans="1:9" ht="23.25" hidden="1" customHeight="1" outlineLevel="4" x14ac:dyDescent="0.2">
      <c r="A1746" s="60" t="s">
        <v>544</v>
      </c>
      <c r="B1746" s="45"/>
      <c r="C1746" s="45"/>
      <c r="D1746" s="46">
        <v>101739.6</v>
      </c>
      <c r="E1746" s="45"/>
      <c r="F1746" s="45"/>
      <c r="G1746" s="45"/>
      <c r="I1746" s="73" t="s">
        <v>104</v>
      </c>
    </row>
    <row r="1747" spans="1:9" ht="23.25" hidden="1" customHeight="1" outlineLevel="4" x14ac:dyDescent="0.2">
      <c r="A1747" s="60" t="s">
        <v>543</v>
      </c>
      <c r="B1747" s="45"/>
      <c r="C1747" s="45"/>
      <c r="D1747" s="46">
        <v>347602.08</v>
      </c>
      <c r="E1747" s="45"/>
      <c r="F1747" s="45"/>
      <c r="G1747" s="45"/>
      <c r="I1747" s="73" t="s">
        <v>104</v>
      </c>
    </row>
    <row r="1748" spans="1:9" ht="23.25" hidden="1" customHeight="1" outlineLevel="4" x14ac:dyDescent="0.2">
      <c r="A1748" s="60" t="s">
        <v>542</v>
      </c>
      <c r="B1748" s="45"/>
      <c r="C1748" s="45"/>
      <c r="D1748" s="46">
        <v>62800.62</v>
      </c>
      <c r="E1748" s="45"/>
      <c r="F1748" s="45"/>
      <c r="G1748" s="45"/>
      <c r="I1748" s="73" t="s">
        <v>107</v>
      </c>
    </row>
    <row r="1749" spans="1:9" ht="23.25" hidden="1" customHeight="1" outlineLevel="4" x14ac:dyDescent="0.2">
      <c r="A1749" s="60" t="s">
        <v>541</v>
      </c>
      <c r="B1749" s="45"/>
      <c r="C1749" s="45"/>
      <c r="D1749" s="46">
        <v>33902.67</v>
      </c>
      <c r="E1749" s="45"/>
      <c r="F1749" s="45"/>
      <c r="G1749" s="45"/>
      <c r="I1749" s="73" t="s">
        <v>108</v>
      </c>
    </row>
    <row r="1750" spans="1:9" ht="23.25" hidden="1" customHeight="1" outlineLevel="4" x14ac:dyDescent="0.2">
      <c r="A1750" s="60" t="s">
        <v>540</v>
      </c>
      <c r="B1750" s="45"/>
      <c r="C1750" s="45"/>
      <c r="D1750" s="46">
        <v>61268.07</v>
      </c>
      <c r="E1750" s="45"/>
      <c r="F1750" s="45"/>
      <c r="G1750" s="45"/>
      <c r="I1750" s="73" t="s">
        <v>109</v>
      </c>
    </row>
    <row r="1751" spans="1:9" ht="23.25" hidden="1" customHeight="1" outlineLevel="4" x14ac:dyDescent="0.2">
      <c r="A1751" s="60" t="s">
        <v>539</v>
      </c>
      <c r="B1751" s="45"/>
      <c r="C1751" s="45"/>
      <c r="D1751" s="66">
        <v>219.07</v>
      </c>
      <c r="E1751" s="45"/>
      <c r="F1751" s="45"/>
      <c r="G1751" s="45"/>
      <c r="I1751" s="73" t="s">
        <v>110</v>
      </c>
    </row>
    <row r="1752" spans="1:9" ht="23.25" hidden="1" customHeight="1" outlineLevel="4" x14ac:dyDescent="0.2">
      <c r="A1752" s="60" t="s">
        <v>538</v>
      </c>
      <c r="B1752" s="45"/>
      <c r="C1752" s="45"/>
      <c r="D1752" s="66">
        <v>219.08</v>
      </c>
      <c r="E1752" s="45"/>
      <c r="F1752" s="45"/>
      <c r="G1752" s="45"/>
      <c r="I1752" s="73" t="s">
        <v>113</v>
      </c>
    </row>
    <row r="1753" spans="1:9" ht="23.25" hidden="1" customHeight="1" outlineLevel="4" x14ac:dyDescent="0.2">
      <c r="A1753" s="60" t="s">
        <v>537</v>
      </c>
      <c r="B1753" s="45"/>
      <c r="C1753" s="45"/>
      <c r="D1753" s="66">
        <v>149.97999999999999</v>
      </c>
      <c r="E1753" s="45"/>
      <c r="F1753" s="45"/>
      <c r="G1753" s="45"/>
      <c r="I1753" s="73" t="s">
        <v>114</v>
      </c>
    </row>
    <row r="1754" spans="1:9" ht="12" hidden="1" customHeight="1" outlineLevel="4" x14ac:dyDescent="0.2">
      <c r="A1754" s="60" t="s">
        <v>487</v>
      </c>
      <c r="B1754" s="45"/>
      <c r="C1754" s="45"/>
      <c r="D1754" s="66">
        <v>69.09</v>
      </c>
      <c r="E1754" s="45"/>
      <c r="F1754" s="45"/>
      <c r="G1754" s="45"/>
      <c r="I1754" s="73" t="s">
        <v>125</v>
      </c>
    </row>
    <row r="1755" spans="1:9" ht="12" hidden="1" customHeight="1" outlineLevel="4" x14ac:dyDescent="0.2">
      <c r="A1755" s="60" t="s">
        <v>536</v>
      </c>
      <c r="B1755" s="45"/>
      <c r="C1755" s="45"/>
      <c r="D1755" s="46">
        <v>63241.919999999998</v>
      </c>
      <c r="E1755" s="45"/>
      <c r="F1755" s="45"/>
      <c r="G1755" s="45"/>
      <c r="I1755" s="73" t="s">
        <v>126</v>
      </c>
    </row>
    <row r="1756" spans="1:9" ht="12" hidden="1" customHeight="1" outlineLevel="4" x14ac:dyDescent="0.2">
      <c r="A1756" s="60" t="s">
        <v>535</v>
      </c>
      <c r="B1756" s="45"/>
      <c r="C1756" s="45"/>
      <c r="D1756" s="46">
        <v>67157.27</v>
      </c>
      <c r="E1756" s="45"/>
      <c r="F1756" s="45"/>
      <c r="G1756" s="45"/>
      <c r="I1756" s="73" t="s">
        <v>127</v>
      </c>
    </row>
    <row r="1757" spans="1:9" ht="12" hidden="1" customHeight="1" outlineLevel="4" x14ac:dyDescent="0.2">
      <c r="A1757" s="60" t="s">
        <v>534</v>
      </c>
      <c r="B1757" s="45"/>
      <c r="C1757" s="45"/>
      <c r="D1757" s="46">
        <v>2321.58</v>
      </c>
      <c r="E1757" s="45"/>
      <c r="F1757" s="45"/>
      <c r="G1757" s="45"/>
      <c r="I1757" s="73" t="s">
        <v>123</v>
      </c>
    </row>
    <row r="1758" spans="1:9" ht="12" hidden="1" customHeight="1" outlineLevel="4" x14ac:dyDescent="0.2">
      <c r="A1758" s="60" t="s">
        <v>533</v>
      </c>
      <c r="B1758" s="45"/>
      <c r="C1758" s="45"/>
      <c r="D1758" s="46">
        <v>7933.02</v>
      </c>
      <c r="E1758" s="45"/>
      <c r="F1758" s="45"/>
      <c r="G1758" s="45"/>
      <c r="I1758" s="73" t="s">
        <v>128</v>
      </c>
    </row>
    <row r="1759" spans="1:9" ht="12" hidden="1" customHeight="1" outlineLevel="4" x14ac:dyDescent="0.2">
      <c r="A1759" s="60" t="s">
        <v>532</v>
      </c>
      <c r="B1759" s="45"/>
      <c r="C1759" s="45"/>
      <c r="D1759" s="66">
        <v>69.08</v>
      </c>
      <c r="E1759" s="45"/>
      <c r="F1759" s="45"/>
      <c r="G1759" s="45"/>
      <c r="I1759" s="73" t="s">
        <v>129</v>
      </c>
    </row>
    <row r="1760" spans="1:9" ht="12" hidden="1" customHeight="1" outlineLevel="4" x14ac:dyDescent="0.2">
      <c r="A1760" s="60" t="s">
        <v>531</v>
      </c>
      <c r="B1760" s="45"/>
      <c r="C1760" s="45"/>
      <c r="D1760" s="46">
        <v>22048.34</v>
      </c>
      <c r="E1760" s="45"/>
      <c r="F1760" s="45"/>
      <c r="G1760" s="45"/>
      <c r="I1760" s="73" t="s">
        <v>130</v>
      </c>
    </row>
    <row r="1761" spans="1:9" ht="12" hidden="1" customHeight="1" outlineLevel="4" x14ac:dyDescent="0.2">
      <c r="A1761" s="60" t="s">
        <v>486</v>
      </c>
      <c r="B1761" s="45"/>
      <c r="C1761" s="45"/>
      <c r="D1761" s="46">
        <v>109347.73</v>
      </c>
      <c r="E1761" s="45"/>
      <c r="F1761" s="45"/>
      <c r="G1761" s="45"/>
      <c r="I1761" s="73" t="s">
        <v>124</v>
      </c>
    </row>
    <row r="1762" spans="1:9" ht="12" hidden="1" customHeight="1" outlineLevel="4" x14ac:dyDescent="0.2">
      <c r="A1762" s="60" t="s">
        <v>530</v>
      </c>
      <c r="B1762" s="45"/>
      <c r="C1762" s="45"/>
      <c r="D1762" s="46">
        <v>139756.95000000001</v>
      </c>
      <c r="E1762" s="45"/>
      <c r="F1762" s="45"/>
      <c r="G1762" s="45"/>
      <c r="I1762" s="73" t="s">
        <v>135</v>
      </c>
    </row>
    <row r="1763" spans="1:9" ht="12" hidden="1" customHeight="1" outlineLevel="4" x14ac:dyDescent="0.2">
      <c r="A1763" s="60" t="s">
        <v>529</v>
      </c>
      <c r="B1763" s="45"/>
      <c r="C1763" s="45"/>
      <c r="D1763" s="46">
        <v>125870.79</v>
      </c>
      <c r="E1763" s="45"/>
      <c r="F1763" s="45"/>
      <c r="G1763" s="45"/>
      <c r="I1763" s="73" t="s">
        <v>136</v>
      </c>
    </row>
    <row r="1764" spans="1:9" ht="12" hidden="1" customHeight="1" outlineLevel="4" x14ac:dyDescent="0.2">
      <c r="A1764" s="60" t="s">
        <v>528</v>
      </c>
      <c r="B1764" s="45"/>
      <c r="C1764" s="45"/>
      <c r="D1764" s="46">
        <v>150158.34</v>
      </c>
      <c r="E1764" s="45"/>
      <c r="F1764" s="45"/>
      <c r="G1764" s="45"/>
      <c r="I1764" s="73" t="s">
        <v>137</v>
      </c>
    </row>
    <row r="1765" spans="1:9" ht="12" hidden="1" customHeight="1" outlineLevel="4" x14ac:dyDescent="0.2">
      <c r="A1765" s="60" t="s">
        <v>527</v>
      </c>
      <c r="B1765" s="45"/>
      <c r="C1765" s="45"/>
      <c r="D1765" s="46">
        <v>231010.57</v>
      </c>
      <c r="E1765" s="45"/>
      <c r="F1765" s="45"/>
      <c r="G1765" s="45"/>
      <c r="I1765" s="73" t="s">
        <v>138</v>
      </c>
    </row>
    <row r="1766" spans="1:9" ht="12" hidden="1" customHeight="1" outlineLevel="4" x14ac:dyDescent="0.2">
      <c r="A1766" s="60" t="s">
        <v>526</v>
      </c>
      <c r="B1766" s="45"/>
      <c r="C1766" s="45"/>
      <c r="D1766" s="46">
        <v>146814.82</v>
      </c>
      <c r="E1766" s="45"/>
      <c r="F1766" s="45"/>
      <c r="G1766" s="45"/>
      <c r="I1766" s="73" t="s">
        <v>139</v>
      </c>
    </row>
    <row r="1767" spans="1:9" ht="12" hidden="1" customHeight="1" outlineLevel="4" x14ac:dyDescent="0.2">
      <c r="A1767" s="60" t="s">
        <v>525</v>
      </c>
      <c r="B1767" s="45"/>
      <c r="C1767" s="45"/>
      <c r="D1767" s="46">
        <v>99262.52</v>
      </c>
      <c r="E1767" s="45"/>
      <c r="F1767" s="45"/>
      <c r="G1767" s="45"/>
      <c r="I1767" s="73" t="s">
        <v>140</v>
      </c>
    </row>
    <row r="1768" spans="1:9" ht="12" hidden="1" customHeight="1" outlineLevel="4" x14ac:dyDescent="0.2">
      <c r="A1768" s="60" t="s">
        <v>524</v>
      </c>
      <c r="B1768" s="45"/>
      <c r="C1768" s="45"/>
      <c r="D1768" s="46">
        <v>45033.32</v>
      </c>
      <c r="E1768" s="45"/>
      <c r="F1768" s="45"/>
      <c r="G1768" s="45"/>
      <c r="I1768" s="73" t="s">
        <v>297</v>
      </c>
    </row>
    <row r="1769" spans="1:9" ht="12" hidden="1" customHeight="1" outlineLevel="4" x14ac:dyDescent="0.2">
      <c r="A1769" s="60" t="s">
        <v>523</v>
      </c>
      <c r="B1769" s="45"/>
      <c r="C1769" s="45"/>
      <c r="D1769" s="46">
        <v>9801.48</v>
      </c>
      <c r="E1769" s="45"/>
      <c r="F1769" s="45"/>
      <c r="G1769" s="45"/>
      <c r="I1769" s="73" t="s">
        <v>298</v>
      </c>
    </row>
    <row r="1770" spans="1:9" ht="12" hidden="1" customHeight="1" outlineLevel="4" x14ac:dyDescent="0.2">
      <c r="A1770" s="60" t="s">
        <v>522</v>
      </c>
      <c r="B1770" s="45"/>
      <c r="C1770" s="45"/>
      <c r="D1770" s="66">
        <v>219.06</v>
      </c>
      <c r="E1770" s="45"/>
      <c r="F1770" s="45"/>
      <c r="G1770" s="45"/>
      <c r="I1770" s="76" t="s">
        <v>102</v>
      </c>
    </row>
    <row r="1771" spans="1:9" ht="12" hidden="1" customHeight="1" outlineLevel="4" x14ac:dyDescent="0.2">
      <c r="A1771" s="60" t="s">
        <v>521</v>
      </c>
      <c r="B1771" s="45"/>
      <c r="C1771" s="45"/>
      <c r="D1771" s="46">
        <v>23611.67</v>
      </c>
      <c r="E1771" s="45"/>
      <c r="F1771" s="45"/>
      <c r="G1771" s="45"/>
      <c r="I1771" s="73" t="s">
        <v>299</v>
      </c>
    </row>
    <row r="1772" spans="1:9" ht="23.25" hidden="1" customHeight="1" outlineLevel="4" x14ac:dyDescent="0.2">
      <c r="A1772" s="60" t="s">
        <v>520</v>
      </c>
      <c r="B1772" s="45"/>
      <c r="C1772" s="45"/>
      <c r="D1772" s="46">
        <v>3198.34</v>
      </c>
      <c r="E1772" s="45"/>
      <c r="F1772" s="45"/>
      <c r="G1772" s="45"/>
      <c r="I1772" s="73" t="s">
        <v>290</v>
      </c>
    </row>
    <row r="1773" spans="1:9" ht="12" hidden="1" customHeight="1" outlineLevel="4" x14ac:dyDescent="0.2">
      <c r="A1773" s="60" t="s">
        <v>519</v>
      </c>
      <c r="B1773" s="45"/>
      <c r="C1773" s="45"/>
      <c r="D1773" s="46">
        <v>19616.98</v>
      </c>
      <c r="E1773" s="45"/>
      <c r="F1773" s="45"/>
      <c r="G1773" s="45"/>
      <c r="I1773" s="73" t="s">
        <v>292</v>
      </c>
    </row>
    <row r="1774" spans="1:9" ht="12" hidden="1" customHeight="1" outlineLevel="4" x14ac:dyDescent="0.2">
      <c r="A1774" s="60" t="s">
        <v>518</v>
      </c>
      <c r="B1774" s="45"/>
      <c r="C1774" s="45"/>
      <c r="D1774" s="66">
        <v>149.91</v>
      </c>
      <c r="E1774" s="45"/>
      <c r="F1774" s="45"/>
      <c r="G1774" s="45"/>
      <c r="I1774" s="73" t="s">
        <v>293</v>
      </c>
    </row>
    <row r="1775" spans="1:9" ht="12" hidden="1" customHeight="1" outlineLevel="4" x14ac:dyDescent="0.2">
      <c r="A1775" s="60" t="s">
        <v>517</v>
      </c>
      <c r="B1775" s="45"/>
      <c r="C1775" s="45"/>
      <c r="D1775" s="46">
        <v>9582.42</v>
      </c>
      <c r="E1775" s="45"/>
      <c r="F1775" s="45"/>
      <c r="G1775" s="45"/>
      <c r="I1775" s="73" t="s">
        <v>294</v>
      </c>
    </row>
    <row r="1776" spans="1:9" ht="23.25" hidden="1" customHeight="1" outlineLevel="4" x14ac:dyDescent="0.2">
      <c r="A1776" s="60" t="s">
        <v>516</v>
      </c>
      <c r="B1776" s="45"/>
      <c r="C1776" s="45"/>
      <c r="D1776" s="66">
        <v>69.08</v>
      </c>
      <c r="E1776" s="45"/>
      <c r="F1776" s="45"/>
      <c r="G1776" s="45"/>
      <c r="I1776" s="73" t="s">
        <v>295</v>
      </c>
    </row>
    <row r="1777" spans="1:51" ht="12" hidden="1" customHeight="1" outlineLevel="4" x14ac:dyDescent="0.2">
      <c r="A1777" s="60" t="s">
        <v>515</v>
      </c>
      <c r="B1777" s="45"/>
      <c r="C1777" s="45"/>
      <c r="D1777" s="46">
        <v>23439.68</v>
      </c>
      <c r="E1777" s="45"/>
      <c r="F1777" s="45"/>
      <c r="G1777" s="45"/>
      <c r="I1777" s="73" t="s">
        <v>296</v>
      </c>
    </row>
    <row r="1778" spans="1:51" ht="12" hidden="1" customHeight="1" outlineLevel="4" x14ac:dyDescent="0.2">
      <c r="A1778" s="60" t="s">
        <v>514</v>
      </c>
      <c r="B1778" s="45"/>
      <c r="C1778" s="45"/>
      <c r="D1778" s="46">
        <v>2447.9699999999998</v>
      </c>
      <c r="E1778" s="45"/>
      <c r="F1778" s="45"/>
      <c r="G1778" s="45"/>
      <c r="I1778" s="73" t="s">
        <v>300</v>
      </c>
    </row>
    <row r="1779" spans="1:51" ht="12" hidden="1" customHeight="1" outlineLevel="4" x14ac:dyDescent="0.2">
      <c r="A1779" s="60" t="s">
        <v>513</v>
      </c>
      <c r="B1779" s="45"/>
      <c r="C1779" s="45"/>
      <c r="D1779" s="46">
        <v>73164.12</v>
      </c>
      <c r="E1779" s="45"/>
      <c r="F1779" s="45"/>
      <c r="G1779" s="45"/>
      <c r="I1779" s="73" t="s">
        <v>301</v>
      </c>
    </row>
    <row r="1780" spans="1:51" ht="12" hidden="1" customHeight="1" outlineLevel="4" x14ac:dyDescent="0.2">
      <c r="A1780" s="60" t="s">
        <v>512</v>
      </c>
      <c r="B1780" s="45"/>
      <c r="C1780" s="45"/>
      <c r="D1780" s="46">
        <v>196902.69</v>
      </c>
      <c r="E1780" s="45"/>
      <c r="F1780" s="45"/>
      <c r="G1780" s="45"/>
      <c r="I1780" s="73" t="s">
        <v>303</v>
      </c>
    </row>
    <row r="1781" spans="1:51" ht="12" hidden="1" customHeight="1" outlineLevel="4" x14ac:dyDescent="0.2">
      <c r="A1781" s="60" t="s">
        <v>511</v>
      </c>
      <c r="B1781" s="45"/>
      <c r="C1781" s="45"/>
      <c r="D1781" s="46">
        <v>49965.52</v>
      </c>
      <c r="E1781" s="45"/>
      <c r="F1781" s="45"/>
      <c r="G1781" s="45"/>
      <c r="I1781" s="73" t="s">
        <v>304</v>
      </c>
    </row>
    <row r="1782" spans="1:51" ht="12" hidden="1" customHeight="1" outlineLevel="4" x14ac:dyDescent="0.2">
      <c r="A1782" s="60" t="s">
        <v>510</v>
      </c>
      <c r="B1782" s="45"/>
      <c r="C1782" s="45"/>
      <c r="D1782" s="46">
        <v>56751.16</v>
      </c>
      <c r="E1782" s="45"/>
      <c r="F1782" s="45"/>
      <c r="G1782" s="45"/>
      <c r="I1782" s="73" t="s">
        <v>305</v>
      </c>
    </row>
    <row r="1783" spans="1:51" ht="12" hidden="1" customHeight="1" outlineLevel="4" x14ac:dyDescent="0.2">
      <c r="A1783" s="60" t="s">
        <v>509</v>
      </c>
      <c r="B1783" s="45"/>
      <c r="C1783" s="45"/>
      <c r="D1783" s="46">
        <v>46082.92</v>
      </c>
      <c r="E1783" s="45"/>
      <c r="F1783" s="45"/>
      <c r="G1783" s="45"/>
      <c r="I1783" s="73" t="s">
        <v>306</v>
      </c>
    </row>
    <row r="1784" spans="1:51" ht="12" hidden="1" customHeight="1" outlineLevel="4" x14ac:dyDescent="0.2">
      <c r="A1784" s="60" t="s">
        <v>508</v>
      </c>
      <c r="B1784" s="45"/>
      <c r="C1784" s="45"/>
      <c r="D1784" s="66">
        <v>149.99</v>
      </c>
      <c r="E1784" s="45"/>
      <c r="F1784" s="45"/>
      <c r="G1784" s="45"/>
      <c r="I1784" s="76" t="s">
        <v>102</v>
      </c>
    </row>
    <row r="1785" spans="1:51" ht="12" hidden="1" customHeight="1" outlineLevel="4" x14ac:dyDescent="0.2">
      <c r="A1785" s="60" t="s">
        <v>507</v>
      </c>
      <c r="B1785" s="45"/>
      <c r="C1785" s="45"/>
      <c r="D1785" s="46">
        <v>46807.27</v>
      </c>
      <c r="E1785" s="45"/>
      <c r="F1785" s="45"/>
      <c r="G1785" s="45"/>
      <c r="I1785" s="73" t="s">
        <v>307</v>
      </c>
    </row>
    <row r="1786" spans="1:51" ht="12" hidden="1" customHeight="1" outlineLevel="4" x14ac:dyDescent="0.2">
      <c r="A1786" s="60" t="s">
        <v>506</v>
      </c>
      <c r="B1786" s="45"/>
      <c r="C1786" s="45"/>
      <c r="D1786" s="46">
        <v>141625.85</v>
      </c>
      <c r="E1786" s="45"/>
      <c r="F1786" s="45"/>
      <c r="G1786" s="45"/>
      <c r="I1786" s="73" t="s">
        <v>302</v>
      </c>
    </row>
    <row r="1787" spans="1:51" ht="23.25" customHeight="1" outlineLevel="1" collapsed="1" x14ac:dyDescent="0.2">
      <c r="A1787" s="79" t="s">
        <v>505</v>
      </c>
      <c r="B1787" s="48"/>
      <c r="C1787" s="48"/>
      <c r="D1787" s="49">
        <v>5974325.9299999997</v>
      </c>
      <c r="E1787" s="49">
        <v>5974325.9299999997</v>
      </c>
      <c r="F1787" s="48"/>
      <c r="G1787" s="48"/>
      <c r="AY1787" s="41" t="s">
        <v>361</v>
      </c>
    </row>
    <row r="1788" spans="1:51" ht="12" hidden="1" customHeight="1" outlineLevel="2" collapsed="1" x14ac:dyDescent="0.2">
      <c r="A1788" s="63" t="s">
        <v>477</v>
      </c>
      <c r="B1788" s="62"/>
      <c r="C1788" s="62"/>
      <c r="D1788" s="64">
        <v>5974325.9299999997</v>
      </c>
      <c r="E1788" s="64">
        <v>5974325.9299999997</v>
      </c>
      <c r="F1788" s="62"/>
      <c r="G1788" s="62"/>
    </row>
    <row r="1789" spans="1:51" ht="12" hidden="1" customHeight="1" outlineLevel="3" x14ac:dyDescent="0.2">
      <c r="A1789" s="61" t="s">
        <v>472</v>
      </c>
      <c r="B1789" s="45"/>
      <c r="C1789" s="45"/>
      <c r="D1789" s="45"/>
      <c r="E1789" s="46">
        <v>5974325.9299999997</v>
      </c>
      <c r="F1789" s="45"/>
      <c r="G1789" s="45"/>
    </row>
    <row r="1790" spans="1:51" ht="12" hidden="1" customHeight="1" outlineLevel="4" x14ac:dyDescent="0.2">
      <c r="A1790" s="60" t="s">
        <v>472</v>
      </c>
      <c r="B1790" s="45"/>
      <c r="C1790" s="45"/>
      <c r="D1790" s="45"/>
      <c r="E1790" s="46">
        <v>5974325.9299999997</v>
      </c>
      <c r="F1790" s="45"/>
      <c r="G1790" s="45"/>
    </row>
    <row r="1791" spans="1:51" ht="12" hidden="1" customHeight="1" outlineLevel="3" x14ac:dyDescent="0.2">
      <c r="A1791" s="61" t="s">
        <v>498</v>
      </c>
      <c r="B1791" s="45"/>
      <c r="C1791" s="45"/>
      <c r="D1791" s="46">
        <v>9113.61</v>
      </c>
      <c r="E1791" s="45"/>
      <c r="F1791" s="45"/>
      <c r="G1791" s="45"/>
    </row>
    <row r="1792" spans="1:51" ht="12" hidden="1" customHeight="1" outlineLevel="4" x14ac:dyDescent="0.2">
      <c r="A1792" s="60" t="s">
        <v>472</v>
      </c>
      <c r="B1792" s="45"/>
      <c r="C1792" s="45"/>
      <c r="D1792" s="46">
        <v>9113.61</v>
      </c>
      <c r="E1792" s="45"/>
      <c r="F1792" s="45"/>
      <c r="G1792" s="45"/>
    </row>
    <row r="1793" spans="1:51" ht="12" hidden="1" customHeight="1" outlineLevel="3" x14ac:dyDescent="0.2">
      <c r="A1793" s="61" t="s">
        <v>497</v>
      </c>
      <c r="B1793" s="45"/>
      <c r="C1793" s="45"/>
      <c r="D1793" s="46">
        <v>20994.9</v>
      </c>
      <c r="E1793" s="45"/>
      <c r="F1793" s="45"/>
      <c r="G1793" s="45"/>
    </row>
    <row r="1794" spans="1:51" ht="12" hidden="1" customHeight="1" outlineLevel="4" x14ac:dyDescent="0.2">
      <c r="A1794" s="60" t="s">
        <v>472</v>
      </c>
      <c r="B1794" s="45"/>
      <c r="C1794" s="45"/>
      <c r="D1794" s="46">
        <v>20994.9</v>
      </c>
      <c r="E1794" s="45"/>
      <c r="F1794" s="45"/>
      <c r="G1794" s="45"/>
    </row>
    <row r="1795" spans="1:51" ht="12" hidden="1" customHeight="1" outlineLevel="3" x14ac:dyDescent="0.2">
      <c r="A1795" s="61" t="s">
        <v>496</v>
      </c>
      <c r="B1795" s="45"/>
      <c r="C1795" s="45"/>
      <c r="D1795" s="46">
        <v>4580816.25</v>
      </c>
      <c r="E1795" s="45"/>
      <c r="F1795" s="45"/>
      <c r="G1795" s="45"/>
    </row>
    <row r="1796" spans="1:51" ht="12" hidden="1" customHeight="1" outlineLevel="4" x14ac:dyDescent="0.2">
      <c r="A1796" s="60" t="s">
        <v>472</v>
      </c>
      <c r="B1796" s="45"/>
      <c r="C1796" s="45"/>
      <c r="D1796" s="46">
        <v>4580816.25</v>
      </c>
      <c r="E1796" s="45"/>
      <c r="F1796" s="45"/>
      <c r="G1796" s="45"/>
    </row>
    <row r="1797" spans="1:51" ht="12" hidden="1" customHeight="1" outlineLevel="3" x14ac:dyDescent="0.2">
      <c r="A1797" s="61" t="s">
        <v>392</v>
      </c>
      <c r="B1797" s="45"/>
      <c r="C1797" s="45"/>
      <c r="D1797" s="46">
        <v>1363401.17</v>
      </c>
      <c r="E1797" s="45"/>
      <c r="F1797" s="45"/>
      <c r="G1797" s="45"/>
    </row>
    <row r="1798" spans="1:51" ht="12" hidden="1" customHeight="1" outlineLevel="4" x14ac:dyDescent="0.2">
      <c r="A1798" s="60" t="s">
        <v>472</v>
      </c>
      <c r="B1798" s="45"/>
      <c r="C1798" s="45"/>
      <c r="D1798" s="46">
        <v>1363401.17</v>
      </c>
      <c r="E1798" s="45"/>
      <c r="F1798" s="45"/>
      <c r="G1798" s="45"/>
    </row>
    <row r="1799" spans="1:51" ht="12" customHeight="1" outlineLevel="1" collapsed="1" x14ac:dyDescent="0.2">
      <c r="A1799" s="79" t="s">
        <v>402</v>
      </c>
      <c r="B1799" s="48"/>
      <c r="C1799" s="48"/>
      <c r="D1799" s="49">
        <v>3968742.22</v>
      </c>
      <c r="E1799" s="49">
        <v>3968742.22</v>
      </c>
      <c r="F1799" s="48"/>
      <c r="G1799" s="48"/>
      <c r="AY1799" s="41" t="s">
        <v>361</v>
      </c>
    </row>
    <row r="1800" spans="1:51" ht="12" hidden="1" customHeight="1" outlineLevel="2" collapsed="1" x14ac:dyDescent="0.2">
      <c r="A1800" s="63" t="s">
        <v>477</v>
      </c>
      <c r="B1800" s="62"/>
      <c r="C1800" s="62"/>
      <c r="D1800" s="64">
        <v>3968742.22</v>
      </c>
      <c r="E1800" s="64">
        <v>3968742.22</v>
      </c>
      <c r="F1800" s="62"/>
      <c r="G1800" s="62"/>
    </row>
    <row r="1801" spans="1:51" ht="12" hidden="1" customHeight="1" outlineLevel="3" x14ac:dyDescent="0.2">
      <c r="A1801" s="61" t="s">
        <v>472</v>
      </c>
      <c r="B1801" s="45"/>
      <c r="C1801" s="45"/>
      <c r="D1801" s="45"/>
      <c r="E1801" s="46">
        <v>3968742.22</v>
      </c>
      <c r="F1801" s="45"/>
      <c r="G1801" s="45"/>
    </row>
    <row r="1802" spans="1:51" ht="12" hidden="1" customHeight="1" outlineLevel="4" x14ac:dyDescent="0.2">
      <c r="A1802" s="60" t="s">
        <v>472</v>
      </c>
      <c r="B1802" s="45"/>
      <c r="C1802" s="45"/>
      <c r="D1802" s="45"/>
      <c r="E1802" s="46">
        <v>3968742.22</v>
      </c>
      <c r="F1802" s="45"/>
      <c r="G1802" s="45"/>
    </row>
    <row r="1803" spans="1:51" ht="12" hidden="1" customHeight="1" outlineLevel="3" x14ac:dyDescent="0.2">
      <c r="A1803" s="61" t="s">
        <v>498</v>
      </c>
      <c r="B1803" s="45"/>
      <c r="C1803" s="45"/>
      <c r="D1803" s="46">
        <v>6064.67</v>
      </c>
      <c r="E1803" s="45"/>
      <c r="F1803" s="45"/>
      <c r="G1803" s="45"/>
    </row>
    <row r="1804" spans="1:51" ht="12" hidden="1" customHeight="1" outlineLevel="4" x14ac:dyDescent="0.2">
      <c r="A1804" s="60" t="s">
        <v>472</v>
      </c>
      <c r="B1804" s="45"/>
      <c r="C1804" s="45"/>
      <c r="D1804" s="46">
        <v>6064.67</v>
      </c>
      <c r="E1804" s="45"/>
      <c r="F1804" s="45"/>
      <c r="G1804" s="45"/>
    </row>
    <row r="1805" spans="1:51" ht="12" hidden="1" customHeight="1" outlineLevel="3" x14ac:dyDescent="0.2">
      <c r="A1805" s="61" t="s">
        <v>497</v>
      </c>
      <c r="B1805" s="45"/>
      <c r="C1805" s="45"/>
      <c r="D1805" s="46">
        <v>15491.1</v>
      </c>
      <c r="E1805" s="45"/>
      <c r="F1805" s="45"/>
      <c r="G1805" s="45"/>
    </row>
    <row r="1806" spans="1:51" ht="12" hidden="1" customHeight="1" outlineLevel="4" x14ac:dyDescent="0.2">
      <c r="A1806" s="60" t="s">
        <v>472</v>
      </c>
      <c r="B1806" s="45"/>
      <c r="C1806" s="45"/>
      <c r="D1806" s="46">
        <v>15491.1</v>
      </c>
      <c r="E1806" s="45"/>
      <c r="F1806" s="45"/>
      <c r="G1806" s="45"/>
    </row>
    <row r="1807" spans="1:51" ht="12" hidden="1" customHeight="1" outlineLevel="3" x14ac:dyDescent="0.2">
      <c r="A1807" s="61" t="s">
        <v>496</v>
      </c>
      <c r="B1807" s="45"/>
      <c r="C1807" s="45"/>
      <c r="D1807" s="46">
        <v>3048347.29</v>
      </c>
      <c r="E1807" s="45"/>
      <c r="F1807" s="45"/>
      <c r="G1807" s="45"/>
    </row>
    <row r="1808" spans="1:51" ht="12" hidden="1" customHeight="1" outlineLevel="4" x14ac:dyDescent="0.2">
      <c r="A1808" s="60" t="s">
        <v>472</v>
      </c>
      <c r="B1808" s="45"/>
      <c r="C1808" s="45"/>
      <c r="D1808" s="46">
        <v>3048347.29</v>
      </c>
      <c r="E1808" s="45"/>
      <c r="F1808" s="45"/>
      <c r="G1808" s="45"/>
    </row>
    <row r="1809" spans="1:51" ht="12" hidden="1" customHeight="1" outlineLevel="3" x14ac:dyDescent="0.2">
      <c r="A1809" s="61" t="s">
        <v>392</v>
      </c>
      <c r="B1809" s="45"/>
      <c r="C1809" s="45"/>
      <c r="D1809" s="46">
        <v>898839.16</v>
      </c>
      <c r="E1809" s="45"/>
      <c r="F1809" s="45"/>
      <c r="G1809" s="45"/>
    </row>
    <row r="1810" spans="1:51" ht="12" hidden="1" customHeight="1" outlineLevel="4" x14ac:dyDescent="0.2">
      <c r="A1810" s="60" t="s">
        <v>472</v>
      </c>
      <c r="B1810" s="45"/>
      <c r="C1810" s="45"/>
      <c r="D1810" s="46">
        <v>898839.16</v>
      </c>
      <c r="E1810" s="45"/>
      <c r="F1810" s="45"/>
      <c r="G1810" s="45"/>
    </row>
    <row r="1811" spans="1:51" ht="12" customHeight="1" outlineLevel="1" collapsed="1" x14ac:dyDescent="0.2">
      <c r="A1811" s="79" t="s">
        <v>402</v>
      </c>
      <c r="B1811" s="48"/>
      <c r="C1811" s="48"/>
      <c r="D1811" s="49">
        <v>150000</v>
      </c>
      <c r="E1811" s="49">
        <v>150000</v>
      </c>
      <c r="F1811" s="48"/>
      <c r="G1811" s="48"/>
      <c r="AY1811" s="41" t="s">
        <v>401</v>
      </c>
    </row>
    <row r="1812" spans="1:51" ht="12" hidden="1" customHeight="1" outlineLevel="2" collapsed="1" x14ac:dyDescent="0.2">
      <c r="A1812" s="63" t="s">
        <v>480</v>
      </c>
      <c r="B1812" s="62"/>
      <c r="C1812" s="62"/>
      <c r="D1812" s="62"/>
      <c r="E1812" s="62"/>
      <c r="F1812" s="62"/>
      <c r="G1812" s="62"/>
    </row>
    <row r="1813" spans="1:51" ht="12" hidden="1" customHeight="1" outlineLevel="3" x14ac:dyDescent="0.2">
      <c r="A1813" s="61" t="s">
        <v>472</v>
      </c>
      <c r="B1813" s="45"/>
      <c r="C1813" s="45"/>
      <c r="D1813" s="45"/>
      <c r="E1813" s="66">
        <v>0.13</v>
      </c>
      <c r="F1813" s="45"/>
      <c r="G1813" s="45"/>
    </row>
    <row r="1814" spans="1:51" ht="12" hidden="1" customHeight="1" outlineLevel="4" x14ac:dyDescent="0.2">
      <c r="A1814" s="60" t="s">
        <v>472</v>
      </c>
      <c r="B1814" s="45"/>
      <c r="C1814" s="45"/>
      <c r="D1814" s="45"/>
      <c r="E1814" s="66">
        <v>0.13</v>
      </c>
      <c r="F1814" s="45"/>
      <c r="G1814" s="45"/>
    </row>
    <row r="1815" spans="1:51" ht="12" hidden="1" customHeight="1" outlineLevel="3" x14ac:dyDescent="0.2">
      <c r="A1815" s="61" t="s">
        <v>472</v>
      </c>
      <c r="B1815" s="45"/>
      <c r="C1815" s="45"/>
      <c r="D1815" s="45"/>
      <c r="E1815" s="65">
        <v>-0.13</v>
      </c>
      <c r="F1815" s="45"/>
      <c r="G1815" s="45"/>
    </row>
    <row r="1816" spans="1:51" ht="12" hidden="1" customHeight="1" outlineLevel="4" x14ac:dyDescent="0.2">
      <c r="A1816" s="60" t="s">
        <v>472</v>
      </c>
      <c r="B1816" s="45"/>
      <c r="C1816" s="45"/>
      <c r="D1816" s="45"/>
      <c r="E1816" s="65">
        <v>-0.13</v>
      </c>
      <c r="F1816" s="45"/>
      <c r="G1816" s="45"/>
    </row>
    <row r="1817" spans="1:51" ht="12" hidden="1" customHeight="1" outlineLevel="2" collapsed="1" x14ac:dyDescent="0.2">
      <c r="A1817" s="63" t="s">
        <v>30</v>
      </c>
      <c r="B1817" s="62"/>
      <c r="C1817" s="62"/>
      <c r="D1817" s="62"/>
      <c r="E1817" s="62"/>
      <c r="F1817" s="62"/>
      <c r="G1817" s="62"/>
    </row>
    <row r="1818" spans="1:51" ht="12" hidden="1" customHeight="1" outlineLevel="3" x14ac:dyDescent="0.2">
      <c r="A1818" s="61" t="s">
        <v>472</v>
      </c>
      <c r="B1818" s="45"/>
      <c r="C1818" s="45"/>
      <c r="D1818" s="45"/>
      <c r="E1818" s="46">
        <v>9874.11</v>
      </c>
      <c r="F1818" s="45"/>
      <c r="G1818" s="45"/>
    </row>
    <row r="1819" spans="1:51" ht="12" hidden="1" customHeight="1" outlineLevel="4" x14ac:dyDescent="0.2">
      <c r="A1819" s="60" t="s">
        <v>472</v>
      </c>
      <c r="B1819" s="45"/>
      <c r="C1819" s="45"/>
      <c r="D1819" s="45"/>
      <c r="E1819" s="46">
        <v>9874.11</v>
      </c>
      <c r="F1819" s="45"/>
      <c r="G1819" s="45"/>
    </row>
    <row r="1820" spans="1:51" ht="12" hidden="1" customHeight="1" outlineLevel="3" x14ac:dyDescent="0.2">
      <c r="A1820" s="61" t="s">
        <v>472</v>
      </c>
      <c r="B1820" s="45"/>
      <c r="C1820" s="45"/>
      <c r="D1820" s="45"/>
      <c r="E1820" s="59">
        <v>-9874.11</v>
      </c>
      <c r="F1820" s="45"/>
      <c r="G1820" s="45"/>
    </row>
    <row r="1821" spans="1:51" ht="12" hidden="1" customHeight="1" outlineLevel="4" x14ac:dyDescent="0.2">
      <c r="A1821" s="60" t="s">
        <v>472</v>
      </c>
      <c r="B1821" s="45"/>
      <c r="C1821" s="45"/>
      <c r="D1821" s="45"/>
      <c r="E1821" s="59">
        <v>-9874.11</v>
      </c>
      <c r="F1821" s="45"/>
      <c r="G1821" s="45"/>
    </row>
    <row r="1822" spans="1:51" ht="12" hidden="1" customHeight="1" outlineLevel="2" collapsed="1" x14ac:dyDescent="0.2">
      <c r="A1822" s="63" t="s">
        <v>479</v>
      </c>
      <c r="B1822" s="62"/>
      <c r="C1822" s="62"/>
      <c r="D1822" s="62"/>
      <c r="E1822" s="62"/>
      <c r="F1822" s="62"/>
      <c r="G1822" s="62"/>
    </row>
    <row r="1823" spans="1:51" ht="12" hidden="1" customHeight="1" outlineLevel="3" x14ac:dyDescent="0.2">
      <c r="A1823" s="61" t="s">
        <v>472</v>
      </c>
      <c r="B1823" s="45"/>
      <c r="C1823" s="45"/>
      <c r="D1823" s="45"/>
      <c r="E1823" s="46">
        <v>19964.27</v>
      </c>
      <c r="F1823" s="45"/>
      <c r="G1823" s="45"/>
    </row>
    <row r="1824" spans="1:51" ht="12" hidden="1" customHeight="1" outlineLevel="4" x14ac:dyDescent="0.2">
      <c r="A1824" s="60" t="s">
        <v>472</v>
      </c>
      <c r="B1824" s="45"/>
      <c r="C1824" s="45"/>
      <c r="D1824" s="45"/>
      <c r="E1824" s="46">
        <v>19964.27</v>
      </c>
      <c r="F1824" s="45"/>
      <c r="G1824" s="45"/>
    </row>
    <row r="1825" spans="1:7" ht="12" hidden="1" customHeight="1" outlineLevel="3" x14ac:dyDescent="0.2">
      <c r="A1825" s="61" t="s">
        <v>472</v>
      </c>
      <c r="B1825" s="45"/>
      <c r="C1825" s="45"/>
      <c r="D1825" s="45"/>
      <c r="E1825" s="59">
        <v>-19964.27</v>
      </c>
      <c r="F1825" s="45"/>
      <c r="G1825" s="45"/>
    </row>
    <row r="1826" spans="1:7" ht="12" hidden="1" customHeight="1" outlineLevel="4" x14ac:dyDescent="0.2">
      <c r="A1826" s="60" t="s">
        <v>472</v>
      </c>
      <c r="B1826" s="45"/>
      <c r="C1826" s="45"/>
      <c r="D1826" s="45"/>
      <c r="E1826" s="59">
        <v>-19964.27</v>
      </c>
      <c r="F1826" s="45"/>
      <c r="G1826" s="45"/>
    </row>
    <row r="1827" spans="1:7" ht="12" hidden="1" customHeight="1" outlineLevel="2" collapsed="1" x14ac:dyDescent="0.2">
      <c r="A1827" s="63" t="s">
        <v>478</v>
      </c>
      <c r="B1827" s="62"/>
      <c r="C1827" s="62"/>
      <c r="D1827" s="62"/>
      <c r="E1827" s="62"/>
      <c r="F1827" s="62"/>
      <c r="G1827" s="62"/>
    </row>
    <row r="1828" spans="1:7" ht="12" hidden="1" customHeight="1" outlineLevel="3" x14ac:dyDescent="0.2">
      <c r="A1828" s="61" t="s">
        <v>472</v>
      </c>
      <c r="B1828" s="45"/>
      <c r="C1828" s="45"/>
      <c r="D1828" s="45"/>
      <c r="E1828" s="66">
        <v>3.14</v>
      </c>
      <c r="F1828" s="45"/>
      <c r="G1828" s="45"/>
    </row>
    <row r="1829" spans="1:7" ht="12" hidden="1" customHeight="1" outlineLevel="4" x14ac:dyDescent="0.2">
      <c r="A1829" s="60" t="s">
        <v>472</v>
      </c>
      <c r="B1829" s="45"/>
      <c r="C1829" s="45"/>
      <c r="D1829" s="45"/>
      <c r="E1829" s="66">
        <v>3.14</v>
      </c>
      <c r="F1829" s="45"/>
      <c r="G1829" s="45"/>
    </row>
    <row r="1830" spans="1:7" ht="12" hidden="1" customHeight="1" outlineLevel="3" x14ac:dyDescent="0.2">
      <c r="A1830" s="61" t="s">
        <v>472</v>
      </c>
      <c r="B1830" s="45"/>
      <c r="C1830" s="45"/>
      <c r="D1830" s="45"/>
      <c r="E1830" s="65">
        <v>-3.14</v>
      </c>
      <c r="F1830" s="45"/>
      <c r="G1830" s="45"/>
    </row>
    <row r="1831" spans="1:7" ht="12" hidden="1" customHeight="1" outlineLevel="4" x14ac:dyDescent="0.2">
      <c r="A1831" s="60" t="s">
        <v>472</v>
      </c>
      <c r="B1831" s="45"/>
      <c r="C1831" s="45"/>
      <c r="D1831" s="45"/>
      <c r="E1831" s="65">
        <v>-3.14</v>
      </c>
      <c r="F1831" s="45"/>
      <c r="G1831" s="45"/>
    </row>
    <row r="1832" spans="1:7" ht="12" hidden="1" customHeight="1" outlineLevel="2" collapsed="1" x14ac:dyDescent="0.2">
      <c r="A1832" s="63" t="s">
        <v>32</v>
      </c>
      <c r="B1832" s="62"/>
      <c r="C1832" s="62"/>
      <c r="D1832" s="62"/>
      <c r="E1832" s="62"/>
      <c r="F1832" s="62"/>
      <c r="G1832" s="62"/>
    </row>
    <row r="1833" spans="1:7" ht="12" hidden="1" customHeight="1" outlineLevel="3" x14ac:dyDescent="0.2">
      <c r="A1833" s="61" t="s">
        <v>472</v>
      </c>
      <c r="B1833" s="45"/>
      <c r="C1833" s="45"/>
      <c r="D1833" s="45"/>
      <c r="E1833" s="46">
        <v>38436.9</v>
      </c>
      <c r="F1833" s="45"/>
      <c r="G1833" s="45"/>
    </row>
    <row r="1834" spans="1:7" ht="12" hidden="1" customHeight="1" outlineLevel="4" x14ac:dyDescent="0.2">
      <c r="A1834" s="60" t="s">
        <v>472</v>
      </c>
      <c r="B1834" s="45"/>
      <c r="C1834" s="45"/>
      <c r="D1834" s="45"/>
      <c r="E1834" s="46">
        <v>38436.9</v>
      </c>
      <c r="F1834" s="45"/>
      <c r="G1834" s="45"/>
    </row>
    <row r="1835" spans="1:7" ht="12" hidden="1" customHeight="1" outlineLevel="3" x14ac:dyDescent="0.2">
      <c r="A1835" s="61" t="s">
        <v>472</v>
      </c>
      <c r="B1835" s="45"/>
      <c r="C1835" s="45"/>
      <c r="D1835" s="45"/>
      <c r="E1835" s="59">
        <v>-38436.9</v>
      </c>
      <c r="F1835" s="45"/>
      <c r="G1835" s="45"/>
    </row>
    <row r="1836" spans="1:7" ht="12" hidden="1" customHeight="1" outlineLevel="4" x14ac:dyDescent="0.2">
      <c r="A1836" s="60" t="s">
        <v>472</v>
      </c>
      <c r="B1836" s="45"/>
      <c r="C1836" s="45"/>
      <c r="D1836" s="45"/>
      <c r="E1836" s="59">
        <v>-38436.9</v>
      </c>
      <c r="F1836" s="45"/>
      <c r="G1836" s="45"/>
    </row>
    <row r="1837" spans="1:7" ht="12" hidden="1" customHeight="1" outlineLevel="2" collapsed="1" x14ac:dyDescent="0.2">
      <c r="A1837" s="63" t="s">
        <v>477</v>
      </c>
      <c r="B1837" s="62"/>
      <c r="C1837" s="62"/>
      <c r="D1837" s="64">
        <v>150000</v>
      </c>
      <c r="E1837" s="64">
        <v>150000</v>
      </c>
      <c r="F1837" s="62"/>
      <c r="G1837" s="62"/>
    </row>
    <row r="1838" spans="1:7" ht="12" hidden="1" customHeight="1" outlineLevel="3" x14ac:dyDescent="0.2">
      <c r="A1838" s="61" t="s">
        <v>472</v>
      </c>
      <c r="B1838" s="45"/>
      <c r="C1838" s="45"/>
      <c r="D1838" s="45"/>
      <c r="E1838" s="46">
        <v>221858.02</v>
      </c>
      <c r="F1838" s="45"/>
      <c r="G1838" s="45"/>
    </row>
    <row r="1839" spans="1:7" ht="12" hidden="1" customHeight="1" outlineLevel="4" x14ac:dyDescent="0.2">
      <c r="A1839" s="60" t="s">
        <v>472</v>
      </c>
      <c r="B1839" s="45"/>
      <c r="C1839" s="45"/>
      <c r="D1839" s="45"/>
      <c r="E1839" s="46">
        <v>221858.02</v>
      </c>
      <c r="F1839" s="45"/>
      <c r="G1839" s="45"/>
    </row>
    <row r="1840" spans="1:7" ht="12" hidden="1" customHeight="1" outlineLevel="3" x14ac:dyDescent="0.2">
      <c r="A1840" s="61" t="s">
        <v>472</v>
      </c>
      <c r="B1840" s="45"/>
      <c r="C1840" s="45"/>
      <c r="D1840" s="45"/>
      <c r="E1840" s="59">
        <v>-71858.02</v>
      </c>
      <c r="F1840" s="45"/>
      <c r="G1840" s="45"/>
    </row>
    <row r="1841" spans="1:51" ht="12" hidden="1" customHeight="1" outlineLevel="4" x14ac:dyDescent="0.2">
      <c r="A1841" s="60" t="s">
        <v>472</v>
      </c>
      <c r="B1841" s="45"/>
      <c r="C1841" s="45"/>
      <c r="D1841" s="45"/>
      <c r="E1841" s="59">
        <v>-71858.02</v>
      </c>
      <c r="F1841" s="45"/>
      <c r="G1841" s="45"/>
    </row>
    <row r="1842" spans="1:51" ht="12" hidden="1" customHeight="1" outlineLevel="3" x14ac:dyDescent="0.2">
      <c r="A1842" s="61" t="s">
        <v>401</v>
      </c>
      <c r="B1842" s="45"/>
      <c r="C1842" s="45"/>
      <c r="D1842" s="46">
        <v>150000</v>
      </c>
      <c r="E1842" s="45"/>
      <c r="F1842" s="45"/>
      <c r="G1842" s="45"/>
    </row>
    <row r="1843" spans="1:51" ht="12" hidden="1" customHeight="1" outlineLevel="4" x14ac:dyDescent="0.2">
      <c r="A1843" s="60" t="s">
        <v>472</v>
      </c>
      <c r="B1843" s="45"/>
      <c r="C1843" s="45"/>
      <c r="D1843" s="46">
        <v>150000</v>
      </c>
      <c r="E1843" s="45"/>
      <c r="F1843" s="45"/>
      <c r="G1843" s="45"/>
    </row>
    <row r="1844" spans="1:51" ht="12" hidden="1" customHeight="1" outlineLevel="2" collapsed="1" x14ac:dyDescent="0.2">
      <c r="A1844" s="63" t="s">
        <v>476</v>
      </c>
      <c r="B1844" s="62"/>
      <c r="C1844" s="62"/>
      <c r="D1844" s="62"/>
      <c r="E1844" s="62"/>
      <c r="F1844" s="62"/>
      <c r="G1844" s="62"/>
    </row>
    <row r="1845" spans="1:51" ht="12" hidden="1" customHeight="1" outlineLevel="3" x14ac:dyDescent="0.2">
      <c r="A1845" s="61" t="s">
        <v>472</v>
      </c>
      <c r="B1845" s="45"/>
      <c r="C1845" s="45"/>
      <c r="D1845" s="45"/>
      <c r="E1845" s="46">
        <v>5583.55</v>
      </c>
      <c r="F1845" s="45"/>
      <c r="G1845" s="45"/>
    </row>
    <row r="1846" spans="1:51" ht="12" hidden="1" customHeight="1" outlineLevel="4" x14ac:dyDescent="0.2">
      <c r="A1846" s="60" t="s">
        <v>472</v>
      </c>
      <c r="B1846" s="45"/>
      <c r="C1846" s="45"/>
      <c r="D1846" s="45"/>
      <c r="E1846" s="46">
        <v>5583.55</v>
      </c>
      <c r="F1846" s="45"/>
      <c r="G1846" s="45"/>
    </row>
    <row r="1847" spans="1:51" ht="12" hidden="1" customHeight="1" outlineLevel="3" x14ac:dyDescent="0.2">
      <c r="A1847" s="61" t="s">
        <v>472</v>
      </c>
      <c r="B1847" s="45"/>
      <c r="C1847" s="45"/>
      <c r="D1847" s="45"/>
      <c r="E1847" s="59">
        <v>-5583.55</v>
      </c>
      <c r="F1847" s="45"/>
      <c r="G1847" s="45"/>
    </row>
    <row r="1848" spans="1:51" ht="12" hidden="1" customHeight="1" outlineLevel="4" x14ac:dyDescent="0.2">
      <c r="A1848" s="60" t="s">
        <v>472</v>
      </c>
      <c r="B1848" s="45"/>
      <c r="C1848" s="45"/>
      <c r="D1848" s="45"/>
      <c r="E1848" s="59">
        <v>-5583.55</v>
      </c>
      <c r="F1848" s="45"/>
      <c r="G1848" s="45"/>
    </row>
    <row r="1849" spans="1:51" ht="12" hidden="1" customHeight="1" outlineLevel="2" collapsed="1" x14ac:dyDescent="0.2">
      <c r="A1849" s="63" t="s">
        <v>475</v>
      </c>
      <c r="B1849" s="62"/>
      <c r="C1849" s="62"/>
      <c r="D1849" s="62"/>
      <c r="E1849" s="62"/>
      <c r="F1849" s="62"/>
      <c r="G1849" s="62"/>
    </row>
    <row r="1850" spans="1:51" ht="12" hidden="1" customHeight="1" outlineLevel="3" x14ac:dyDescent="0.2">
      <c r="A1850" s="61" t="s">
        <v>472</v>
      </c>
      <c r="B1850" s="45"/>
      <c r="C1850" s="45"/>
      <c r="D1850" s="45"/>
      <c r="E1850" s="46">
        <v>4279.88</v>
      </c>
      <c r="F1850" s="45"/>
      <c r="G1850" s="45"/>
    </row>
    <row r="1851" spans="1:51" ht="12" hidden="1" customHeight="1" outlineLevel="4" x14ac:dyDescent="0.2">
      <c r="A1851" s="60" t="s">
        <v>472</v>
      </c>
      <c r="B1851" s="45"/>
      <c r="C1851" s="45"/>
      <c r="D1851" s="45"/>
      <c r="E1851" s="46">
        <v>4279.88</v>
      </c>
      <c r="F1851" s="45"/>
      <c r="G1851" s="45"/>
    </row>
    <row r="1852" spans="1:51" ht="12" hidden="1" customHeight="1" outlineLevel="3" x14ac:dyDescent="0.2">
      <c r="A1852" s="61" t="s">
        <v>472</v>
      </c>
      <c r="B1852" s="45"/>
      <c r="C1852" s="45"/>
      <c r="D1852" s="45"/>
      <c r="E1852" s="59">
        <v>-4279.88</v>
      </c>
      <c r="F1852" s="45"/>
      <c r="G1852" s="45"/>
    </row>
    <row r="1853" spans="1:51" ht="12" hidden="1" customHeight="1" outlineLevel="4" x14ac:dyDescent="0.2">
      <c r="A1853" s="60" t="s">
        <v>472</v>
      </c>
      <c r="B1853" s="45"/>
      <c r="C1853" s="45"/>
      <c r="D1853" s="45"/>
      <c r="E1853" s="59">
        <v>-4279.88</v>
      </c>
      <c r="F1853" s="45"/>
      <c r="G1853" s="45"/>
    </row>
    <row r="1854" spans="1:51" ht="12" customHeight="1" outlineLevel="1" collapsed="1" x14ac:dyDescent="0.2">
      <c r="A1854" s="79" t="s">
        <v>504</v>
      </c>
      <c r="B1854" s="48"/>
      <c r="C1854" s="48"/>
      <c r="D1854" s="49">
        <v>1265619.57</v>
      </c>
      <c r="E1854" s="49">
        <v>1265619.57</v>
      </c>
      <c r="F1854" s="48"/>
      <c r="G1854" s="48"/>
      <c r="AY1854" s="41" t="s">
        <v>361</v>
      </c>
    </row>
    <row r="1855" spans="1:51" ht="12" hidden="1" customHeight="1" outlineLevel="2" collapsed="1" x14ac:dyDescent="0.2">
      <c r="A1855" s="63" t="s">
        <v>477</v>
      </c>
      <c r="B1855" s="62"/>
      <c r="C1855" s="62"/>
      <c r="D1855" s="64">
        <v>1265619.57</v>
      </c>
      <c r="E1855" s="64">
        <v>1265619.57</v>
      </c>
      <c r="F1855" s="62"/>
      <c r="G1855" s="62"/>
    </row>
    <row r="1856" spans="1:51" ht="12" hidden="1" customHeight="1" outlineLevel="3" x14ac:dyDescent="0.2">
      <c r="A1856" s="61" t="s">
        <v>472</v>
      </c>
      <c r="B1856" s="45"/>
      <c r="C1856" s="45"/>
      <c r="D1856" s="45"/>
      <c r="E1856" s="46">
        <v>1265619.57</v>
      </c>
      <c r="F1856" s="45"/>
      <c r="G1856" s="45"/>
    </row>
    <row r="1857" spans="1:51" ht="12" hidden="1" customHeight="1" outlineLevel="4" x14ac:dyDescent="0.2">
      <c r="A1857" s="60" t="s">
        <v>472</v>
      </c>
      <c r="B1857" s="45"/>
      <c r="C1857" s="45"/>
      <c r="D1857" s="45"/>
      <c r="E1857" s="46">
        <v>1265619.57</v>
      </c>
      <c r="F1857" s="45"/>
      <c r="G1857" s="45"/>
    </row>
    <row r="1858" spans="1:51" ht="12" hidden="1" customHeight="1" outlineLevel="3" x14ac:dyDescent="0.2">
      <c r="A1858" s="61" t="s">
        <v>498</v>
      </c>
      <c r="B1858" s="45"/>
      <c r="C1858" s="45"/>
      <c r="D1858" s="46">
        <v>1939.21</v>
      </c>
      <c r="E1858" s="45"/>
      <c r="F1858" s="45"/>
      <c r="G1858" s="45"/>
    </row>
    <row r="1859" spans="1:51" ht="12" hidden="1" customHeight="1" outlineLevel="4" x14ac:dyDescent="0.2">
      <c r="A1859" s="60" t="s">
        <v>472</v>
      </c>
      <c r="B1859" s="45"/>
      <c r="C1859" s="45"/>
      <c r="D1859" s="46">
        <v>1939.21</v>
      </c>
      <c r="E1859" s="45"/>
      <c r="F1859" s="45"/>
      <c r="G1859" s="45"/>
    </row>
    <row r="1860" spans="1:51" ht="12" hidden="1" customHeight="1" outlineLevel="3" x14ac:dyDescent="0.2">
      <c r="A1860" s="61" t="s">
        <v>496</v>
      </c>
      <c r="B1860" s="45"/>
      <c r="C1860" s="45"/>
      <c r="D1860" s="46">
        <v>973600</v>
      </c>
      <c r="E1860" s="45"/>
      <c r="F1860" s="45"/>
      <c r="G1860" s="45"/>
    </row>
    <row r="1861" spans="1:51" ht="12" hidden="1" customHeight="1" outlineLevel="4" x14ac:dyDescent="0.2">
      <c r="A1861" s="60" t="s">
        <v>472</v>
      </c>
      <c r="B1861" s="45"/>
      <c r="C1861" s="45"/>
      <c r="D1861" s="46">
        <v>973600</v>
      </c>
      <c r="E1861" s="45"/>
      <c r="F1861" s="45"/>
      <c r="G1861" s="45"/>
    </row>
    <row r="1862" spans="1:51" ht="12" hidden="1" customHeight="1" outlineLevel="3" x14ac:dyDescent="0.2">
      <c r="A1862" s="61" t="s">
        <v>392</v>
      </c>
      <c r="B1862" s="45"/>
      <c r="C1862" s="45"/>
      <c r="D1862" s="46">
        <v>290080.36</v>
      </c>
      <c r="E1862" s="45"/>
      <c r="F1862" s="45"/>
      <c r="G1862" s="45"/>
    </row>
    <row r="1863" spans="1:51" ht="12" hidden="1" customHeight="1" outlineLevel="4" x14ac:dyDescent="0.2">
      <c r="A1863" s="60" t="s">
        <v>472</v>
      </c>
      <c r="B1863" s="45"/>
      <c r="C1863" s="45"/>
      <c r="D1863" s="46">
        <v>290080.36</v>
      </c>
      <c r="E1863" s="45"/>
      <c r="F1863" s="45"/>
      <c r="G1863" s="45"/>
    </row>
    <row r="1864" spans="1:51" ht="12" customHeight="1" outlineLevel="1" collapsed="1" x14ac:dyDescent="0.2">
      <c r="A1864" s="79" t="s">
        <v>503</v>
      </c>
      <c r="B1864" s="48"/>
      <c r="C1864" s="48"/>
      <c r="D1864" s="49">
        <v>2878972.84</v>
      </c>
      <c r="E1864" s="49">
        <v>2878972.84</v>
      </c>
      <c r="F1864" s="48"/>
      <c r="G1864" s="48"/>
      <c r="AY1864" s="41" t="s">
        <v>361</v>
      </c>
    </row>
    <row r="1865" spans="1:51" ht="12" hidden="1" customHeight="1" outlineLevel="2" collapsed="1" x14ac:dyDescent="0.2">
      <c r="A1865" s="63" t="s">
        <v>477</v>
      </c>
      <c r="B1865" s="62"/>
      <c r="C1865" s="62"/>
      <c r="D1865" s="64">
        <v>2878972.84</v>
      </c>
      <c r="E1865" s="64">
        <v>2878972.84</v>
      </c>
      <c r="F1865" s="62"/>
      <c r="G1865" s="62"/>
    </row>
    <row r="1866" spans="1:51" ht="12" hidden="1" customHeight="1" outlineLevel="3" x14ac:dyDescent="0.2">
      <c r="A1866" s="61" t="s">
        <v>472</v>
      </c>
      <c r="B1866" s="45"/>
      <c r="C1866" s="45"/>
      <c r="D1866" s="45"/>
      <c r="E1866" s="46">
        <v>2878972.84</v>
      </c>
      <c r="F1866" s="45"/>
      <c r="G1866" s="45"/>
    </row>
    <row r="1867" spans="1:51" ht="12" hidden="1" customHeight="1" outlineLevel="4" x14ac:dyDescent="0.2">
      <c r="A1867" s="60" t="s">
        <v>472</v>
      </c>
      <c r="B1867" s="45"/>
      <c r="C1867" s="45"/>
      <c r="D1867" s="45"/>
      <c r="E1867" s="46">
        <v>2878972.84</v>
      </c>
      <c r="F1867" s="45"/>
      <c r="G1867" s="45"/>
    </row>
    <row r="1868" spans="1:51" ht="12" hidden="1" customHeight="1" outlineLevel="3" x14ac:dyDescent="0.2">
      <c r="A1868" s="61" t="s">
        <v>498</v>
      </c>
      <c r="B1868" s="45"/>
      <c r="C1868" s="45"/>
      <c r="D1868" s="46">
        <v>4387.28</v>
      </c>
      <c r="E1868" s="45"/>
      <c r="F1868" s="45"/>
      <c r="G1868" s="45"/>
    </row>
    <row r="1869" spans="1:51" ht="12" hidden="1" customHeight="1" outlineLevel="4" x14ac:dyDescent="0.2">
      <c r="A1869" s="60" t="s">
        <v>472</v>
      </c>
      <c r="B1869" s="45"/>
      <c r="C1869" s="45"/>
      <c r="D1869" s="46">
        <v>4387.28</v>
      </c>
      <c r="E1869" s="45"/>
      <c r="F1869" s="45"/>
      <c r="G1869" s="45"/>
    </row>
    <row r="1870" spans="1:51" ht="12" hidden="1" customHeight="1" outlineLevel="3" x14ac:dyDescent="0.2">
      <c r="A1870" s="61" t="s">
        <v>497</v>
      </c>
      <c r="B1870" s="45"/>
      <c r="C1870" s="45"/>
      <c r="D1870" s="46">
        <v>12253.32</v>
      </c>
      <c r="E1870" s="45"/>
      <c r="F1870" s="45"/>
      <c r="G1870" s="45"/>
    </row>
    <row r="1871" spans="1:51" ht="12" hidden="1" customHeight="1" outlineLevel="4" x14ac:dyDescent="0.2">
      <c r="A1871" s="60" t="s">
        <v>472</v>
      </c>
      <c r="B1871" s="45"/>
      <c r="C1871" s="45"/>
      <c r="D1871" s="46">
        <v>12253.32</v>
      </c>
      <c r="E1871" s="45"/>
      <c r="F1871" s="45"/>
      <c r="G1871" s="45"/>
    </row>
    <row r="1872" spans="1:51" ht="12" hidden="1" customHeight="1" outlineLevel="3" x14ac:dyDescent="0.2">
      <c r="A1872" s="61" t="s">
        <v>496</v>
      </c>
      <c r="B1872" s="45"/>
      <c r="C1872" s="45"/>
      <c r="D1872" s="46">
        <v>2205646.21</v>
      </c>
      <c r="E1872" s="45"/>
      <c r="F1872" s="45"/>
      <c r="G1872" s="45"/>
    </row>
    <row r="1873" spans="1:7" ht="12" hidden="1" customHeight="1" outlineLevel="4" x14ac:dyDescent="0.2">
      <c r="A1873" s="60" t="s">
        <v>472</v>
      </c>
      <c r="B1873" s="45"/>
      <c r="C1873" s="45"/>
      <c r="D1873" s="46">
        <v>2205646.21</v>
      </c>
      <c r="E1873" s="45"/>
      <c r="F1873" s="45"/>
      <c r="G1873" s="45"/>
    </row>
    <row r="1874" spans="1:7" ht="12" hidden="1" customHeight="1" outlineLevel="3" x14ac:dyDescent="0.2">
      <c r="A1874" s="61" t="s">
        <v>392</v>
      </c>
      <c r="B1874" s="45"/>
      <c r="C1874" s="45"/>
      <c r="D1874" s="46">
        <v>656686.03</v>
      </c>
      <c r="E1874" s="45"/>
      <c r="F1874" s="45"/>
      <c r="G1874" s="45"/>
    </row>
    <row r="1875" spans="1:7" ht="12" hidden="1" customHeight="1" outlineLevel="4" x14ac:dyDescent="0.2">
      <c r="A1875" s="60" t="s">
        <v>472</v>
      </c>
      <c r="B1875" s="45"/>
      <c r="C1875" s="45"/>
      <c r="D1875" s="46">
        <v>656686.03</v>
      </c>
      <c r="E1875" s="45"/>
      <c r="F1875" s="45"/>
      <c r="G1875" s="45"/>
    </row>
    <row r="1876" spans="1:7" ht="23.25" customHeight="1" outlineLevel="1" collapsed="1" x14ac:dyDescent="0.2">
      <c r="A1876" s="79" t="s">
        <v>400</v>
      </c>
      <c r="B1876" s="48"/>
      <c r="C1876" s="48"/>
      <c r="D1876" s="49">
        <v>147189.10999999999</v>
      </c>
      <c r="E1876" s="49">
        <v>147189.10999999999</v>
      </c>
      <c r="F1876" s="48"/>
      <c r="G1876" s="48"/>
    </row>
    <row r="1877" spans="1:7" ht="12" hidden="1" customHeight="1" outlineLevel="2" collapsed="1" x14ac:dyDescent="0.2">
      <c r="A1877" s="63" t="s">
        <v>30</v>
      </c>
      <c r="B1877" s="62"/>
      <c r="C1877" s="62"/>
      <c r="D1877" s="62"/>
      <c r="E1877" s="62"/>
      <c r="F1877" s="62"/>
      <c r="G1877" s="62"/>
    </row>
    <row r="1878" spans="1:7" ht="12" hidden="1" customHeight="1" outlineLevel="3" x14ac:dyDescent="0.2">
      <c r="A1878" s="61" t="s">
        <v>472</v>
      </c>
      <c r="B1878" s="45"/>
      <c r="C1878" s="45"/>
      <c r="D1878" s="45"/>
      <c r="E1878" s="46">
        <v>9640.9500000000007</v>
      </c>
      <c r="F1878" s="45"/>
      <c r="G1878" s="45"/>
    </row>
    <row r="1879" spans="1:7" ht="12" hidden="1" customHeight="1" outlineLevel="4" x14ac:dyDescent="0.2">
      <c r="A1879" s="60" t="s">
        <v>472</v>
      </c>
      <c r="B1879" s="45"/>
      <c r="C1879" s="45"/>
      <c r="D1879" s="45"/>
      <c r="E1879" s="46">
        <v>9640.9500000000007</v>
      </c>
      <c r="F1879" s="45"/>
      <c r="G1879" s="45"/>
    </row>
    <row r="1880" spans="1:7" ht="12" hidden="1" customHeight="1" outlineLevel="3" x14ac:dyDescent="0.2">
      <c r="A1880" s="61" t="s">
        <v>472</v>
      </c>
      <c r="B1880" s="45"/>
      <c r="C1880" s="45"/>
      <c r="D1880" s="45"/>
      <c r="E1880" s="59">
        <v>-9640.9500000000007</v>
      </c>
      <c r="F1880" s="45"/>
      <c r="G1880" s="45"/>
    </row>
    <row r="1881" spans="1:7" ht="12" hidden="1" customHeight="1" outlineLevel="4" x14ac:dyDescent="0.2">
      <c r="A1881" s="60" t="s">
        <v>472</v>
      </c>
      <c r="B1881" s="45"/>
      <c r="C1881" s="45"/>
      <c r="D1881" s="45"/>
      <c r="E1881" s="59">
        <v>-9640.9500000000007</v>
      </c>
      <c r="F1881" s="45"/>
      <c r="G1881" s="45"/>
    </row>
    <row r="1882" spans="1:7" ht="12" hidden="1" customHeight="1" outlineLevel="2" collapsed="1" x14ac:dyDescent="0.2">
      <c r="A1882" s="63" t="s">
        <v>479</v>
      </c>
      <c r="B1882" s="62"/>
      <c r="C1882" s="62"/>
      <c r="D1882" s="62"/>
      <c r="E1882" s="62"/>
      <c r="F1882" s="62"/>
      <c r="G1882" s="62"/>
    </row>
    <row r="1883" spans="1:7" ht="12" hidden="1" customHeight="1" outlineLevel="3" x14ac:dyDescent="0.2">
      <c r="A1883" s="61" t="s">
        <v>472</v>
      </c>
      <c r="B1883" s="45"/>
      <c r="C1883" s="45"/>
      <c r="D1883" s="45"/>
      <c r="E1883" s="46">
        <v>19417.669999999998</v>
      </c>
      <c r="F1883" s="45"/>
      <c r="G1883" s="45"/>
    </row>
    <row r="1884" spans="1:7" ht="12" hidden="1" customHeight="1" outlineLevel="4" x14ac:dyDescent="0.2">
      <c r="A1884" s="60" t="s">
        <v>472</v>
      </c>
      <c r="B1884" s="45"/>
      <c r="C1884" s="45"/>
      <c r="D1884" s="45"/>
      <c r="E1884" s="46">
        <v>19417.669999999998</v>
      </c>
      <c r="F1884" s="45"/>
      <c r="G1884" s="45"/>
    </row>
    <row r="1885" spans="1:7" ht="12" hidden="1" customHeight="1" outlineLevel="3" x14ac:dyDescent="0.2">
      <c r="A1885" s="61" t="s">
        <v>472</v>
      </c>
      <c r="B1885" s="45"/>
      <c r="C1885" s="45"/>
      <c r="D1885" s="45"/>
      <c r="E1885" s="59">
        <v>-19417.669999999998</v>
      </c>
      <c r="F1885" s="45"/>
      <c r="G1885" s="45"/>
    </row>
    <row r="1886" spans="1:7" ht="12" hidden="1" customHeight="1" outlineLevel="4" x14ac:dyDescent="0.2">
      <c r="A1886" s="60" t="s">
        <v>472</v>
      </c>
      <c r="B1886" s="45"/>
      <c r="C1886" s="45"/>
      <c r="D1886" s="45"/>
      <c r="E1886" s="59">
        <v>-19417.669999999998</v>
      </c>
      <c r="F1886" s="45"/>
      <c r="G1886" s="45"/>
    </row>
    <row r="1887" spans="1:7" ht="12" hidden="1" customHeight="1" outlineLevel="2" collapsed="1" x14ac:dyDescent="0.2">
      <c r="A1887" s="63" t="s">
        <v>478</v>
      </c>
      <c r="B1887" s="62"/>
      <c r="C1887" s="62"/>
      <c r="D1887" s="62"/>
      <c r="E1887" s="62"/>
      <c r="F1887" s="62"/>
      <c r="G1887" s="62"/>
    </row>
    <row r="1888" spans="1:7" ht="12" hidden="1" customHeight="1" outlineLevel="3" x14ac:dyDescent="0.2">
      <c r="A1888" s="61" t="s">
        <v>472</v>
      </c>
      <c r="B1888" s="45"/>
      <c r="C1888" s="45"/>
      <c r="D1888" s="45"/>
      <c r="E1888" s="66">
        <v>2.9</v>
      </c>
      <c r="F1888" s="45"/>
      <c r="G1888" s="45"/>
    </row>
    <row r="1889" spans="1:8" ht="12" hidden="1" customHeight="1" outlineLevel="4" x14ac:dyDescent="0.2">
      <c r="A1889" s="60" t="s">
        <v>472</v>
      </c>
      <c r="B1889" s="45"/>
      <c r="C1889" s="45"/>
      <c r="D1889" s="45"/>
      <c r="E1889" s="66">
        <v>2.9</v>
      </c>
      <c r="F1889" s="45"/>
      <c r="G1889" s="45"/>
    </row>
    <row r="1890" spans="1:8" ht="12" hidden="1" customHeight="1" outlineLevel="3" x14ac:dyDescent="0.2">
      <c r="A1890" s="61" t="s">
        <v>472</v>
      </c>
      <c r="B1890" s="45"/>
      <c r="C1890" s="45"/>
      <c r="D1890" s="45"/>
      <c r="E1890" s="65">
        <v>-2.9</v>
      </c>
      <c r="F1890" s="45"/>
      <c r="G1890" s="45"/>
    </row>
    <row r="1891" spans="1:8" ht="12" hidden="1" customHeight="1" outlineLevel="4" x14ac:dyDescent="0.2">
      <c r="A1891" s="60" t="s">
        <v>472</v>
      </c>
      <c r="B1891" s="45"/>
      <c r="C1891" s="45"/>
      <c r="D1891" s="45"/>
      <c r="E1891" s="65">
        <v>-2.9</v>
      </c>
      <c r="F1891" s="45"/>
      <c r="G1891" s="45"/>
    </row>
    <row r="1892" spans="1:8" ht="12" hidden="1" customHeight="1" outlineLevel="2" collapsed="1" x14ac:dyDescent="0.2">
      <c r="A1892" s="63" t="s">
        <v>32</v>
      </c>
      <c r="B1892" s="62"/>
      <c r="C1892" s="62"/>
      <c r="D1892" s="62"/>
      <c r="E1892" s="62"/>
      <c r="F1892" s="62"/>
      <c r="G1892" s="62"/>
    </row>
    <row r="1893" spans="1:8" ht="12" hidden="1" customHeight="1" outlineLevel="3" x14ac:dyDescent="0.2">
      <c r="A1893" s="61" t="s">
        <v>472</v>
      </c>
      <c r="B1893" s="45"/>
      <c r="C1893" s="45"/>
      <c r="D1893" s="45"/>
      <c r="E1893" s="46">
        <v>38060.980000000003</v>
      </c>
      <c r="F1893" s="45"/>
      <c r="G1893" s="45"/>
    </row>
    <row r="1894" spans="1:8" ht="12" hidden="1" customHeight="1" outlineLevel="4" x14ac:dyDescent="0.2">
      <c r="A1894" s="60" t="s">
        <v>472</v>
      </c>
      <c r="B1894" s="45"/>
      <c r="C1894" s="45"/>
      <c r="D1894" s="45"/>
      <c r="E1894" s="46">
        <v>38060.980000000003</v>
      </c>
      <c r="F1894" s="45"/>
      <c r="G1894" s="45"/>
    </row>
    <row r="1895" spans="1:8" ht="12" hidden="1" customHeight="1" outlineLevel="3" x14ac:dyDescent="0.2">
      <c r="A1895" s="61" t="s">
        <v>472</v>
      </c>
      <c r="B1895" s="45"/>
      <c r="C1895" s="45"/>
      <c r="D1895" s="45"/>
      <c r="E1895" s="59">
        <v>-38060.980000000003</v>
      </c>
      <c r="F1895" s="45"/>
      <c r="G1895" s="45"/>
    </row>
    <row r="1896" spans="1:8" ht="12" hidden="1" customHeight="1" outlineLevel="4" x14ac:dyDescent="0.2">
      <c r="A1896" s="60" t="s">
        <v>472</v>
      </c>
      <c r="B1896" s="45"/>
      <c r="C1896" s="45"/>
      <c r="D1896" s="45"/>
      <c r="E1896" s="59">
        <v>-38060.980000000003</v>
      </c>
      <c r="F1896" s="45"/>
      <c r="G1896" s="45"/>
    </row>
    <row r="1897" spans="1:8" ht="12" hidden="1" customHeight="1" outlineLevel="2" collapsed="1" x14ac:dyDescent="0.2">
      <c r="A1897" s="63" t="s">
        <v>477</v>
      </c>
      <c r="B1897" s="62"/>
      <c r="C1897" s="62"/>
      <c r="D1897" s="64">
        <v>147189.10999999999</v>
      </c>
      <c r="E1897" s="64">
        <v>147189.10999999999</v>
      </c>
      <c r="F1897" s="62"/>
      <c r="G1897" s="62"/>
    </row>
    <row r="1898" spans="1:8" ht="12" hidden="1" customHeight="1" outlineLevel="3" x14ac:dyDescent="0.2">
      <c r="A1898" s="61" t="s">
        <v>472</v>
      </c>
      <c r="B1898" s="45"/>
      <c r="C1898" s="45"/>
      <c r="D1898" s="45"/>
      <c r="E1898" s="46">
        <v>217386.16</v>
      </c>
      <c r="F1898" s="45"/>
      <c r="G1898" s="45"/>
    </row>
    <row r="1899" spans="1:8" ht="12" hidden="1" customHeight="1" outlineLevel="4" x14ac:dyDescent="0.2">
      <c r="A1899" s="60" t="s">
        <v>472</v>
      </c>
      <c r="B1899" s="45"/>
      <c r="C1899" s="45"/>
      <c r="D1899" s="45"/>
      <c r="E1899" s="46">
        <v>217386.16</v>
      </c>
      <c r="F1899" s="45"/>
      <c r="G1899" s="45"/>
    </row>
    <row r="1900" spans="1:8" ht="12" hidden="1" customHeight="1" outlineLevel="3" x14ac:dyDescent="0.2">
      <c r="A1900" s="61" t="s">
        <v>472</v>
      </c>
      <c r="B1900" s="45"/>
      <c r="C1900" s="45"/>
      <c r="D1900" s="45"/>
      <c r="E1900" s="59">
        <v>-70197.05</v>
      </c>
      <c r="F1900" s="45"/>
      <c r="G1900" s="45"/>
    </row>
    <row r="1901" spans="1:8" ht="12" hidden="1" customHeight="1" outlineLevel="4" x14ac:dyDescent="0.2">
      <c r="A1901" s="60" t="s">
        <v>472</v>
      </c>
      <c r="B1901" s="45"/>
      <c r="C1901" s="45"/>
      <c r="D1901" s="45"/>
      <c r="E1901" s="59">
        <v>-70197.05</v>
      </c>
      <c r="F1901" s="45"/>
      <c r="G1901" s="45"/>
    </row>
    <row r="1902" spans="1:8" ht="12" hidden="1" customHeight="1" outlineLevel="3" collapsed="1" x14ac:dyDescent="0.2">
      <c r="A1902" s="61" t="s">
        <v>399</v>
      </c>
      <c r="B1902" s="45"/>
      <c r="C1902" s="45"/>
      <c r="D1902" s="46">
        <v>147189.10999999999</v>
      </c>
      <c r="E1902" s="45"/>
      <c r="F1902" s="45"/>
      <c r="G1902" s="45"/>
      <c r="H1902" s="41" t="s">
        <v>340</v>
      </c>
    </row>
    <row r="1903" spans="1:8" ht="12" hidden="1" customHeight="1" outlineLevel="4" x14ac:dyDescent="0.2">
      <c r="A1903" s="60" t="s">
        <v>472</v>
      </c>
      <c r="B1903" s="45"/>
      <c r="C1903" s="45"/>
      <c r="D1903" s="46">
        <v>147189.10999999999</v>
      </c>
      <c r="E1903" s="45"/>
      <c r="F1903" s="45"/>
      <c r="G1903" s="45"/>
    </row>
    <row r="1904" spans="1:8" ht="12" hidden="1" customHeight="1" outlineLevel="2" collapsed="1" x14ac:dyDescent="0.2">
      <c r="A1904" s="63" t="s">
        <v>476</v>
      </c>
      <c r="B1904" s="62"/>
      <c r="C1904" s="62"/>
      <c r="D1904" s="62"/>
      <c r="E1904" s="62"/>
      <c r="F1904" s="62"/>
      <c r="G1904" s="62"/>
    </row>
    <row r="1905" spans="1:51" ht="12" hidden="1" customHeight="1" outlineLevel="3" x14ac:dyDescent="0.2">
      <c r="A1905" s="61" t="s">
        <v>472</v>
      </c>
      <c r="B1905" s="45"/>
      <c r="C1905" s="45"/>
      <c r="D1905" s="45"/>
      <c r="E1905" s="46">
        <v>5484.67</v>
      </c>
      <c r="F1905" s="45"/>
      <c r="G1905" s="45"/>
    </row>
    <row r="1906" spans="1:51" ht="12" hidden="1" customHeight="1" outlineLevel="4" x14ac:dyDescent="0.2">
      <c r="A1906" s="60" t="s">
        <v>472</v>
      </c>
      <c r="B1906" s="45"/>
      <c r="C1906" s="45"/>
      <c r="D1906" s="45"/>
      <c r="E1906" s="46">
        <v>5484.67</v>
      </c>
      <c r="F1906" s="45"/>
      <c r="G1906" s="45"/>
    </row>
    <row r="1907" spans="1:51" ht="12" hidden="1" customHeight="1" outlineLevel="3" x14ac:dyDescent="0.2">
      <c r="A1907" s="61" t="s">
        <v>472</v>
      </c>
      <c r="B1907" s="45"/>
      <c r="C1907" s="45"/>
      <c r="D1907" s="45"/>
      <c r="E1907" s="59">
        <v>-5484.67</v>
      </c>
      <c r="F1907" s="45"/>
      <c r="G1907" s="45"/>
    </row>
    <row r="1908" spans="1:51" ht="12" hidden="1" customHeight="1" outlineLevel="4" x14ac:dyDescent="0.2">
      <c r="A1908" s="60" t="s">
        <v>472</v>
      </c>
      <c r="B1908" s="45"/>
      <c r="C1908" s="45"/>
      <c r="D1908" s="45"/>
      <c r="E1908" s="59">
        <v>-5484.67</v>
      </c>
      <c r="F1908" s="45"/>
      <c r="G1908" s="45"/>
    </row>
    <row r="1909" spans="1:51" ht="12" hidden="1" customHeight="1" outlineLevel="2" collapsed="1" x14ac:dyDescent="0.2">
      <c r="A1909" s="63" t="s">
        <v>475</v>
      </c>
      <c r="B1909" s="62"/>
      <c r="C1909" s="62"/>
      <c r="D1909" s="62"/>
      <c r="E1909" s="62"/>
      <c r="F1909" s="62"/>
      <c r="G1909" s="62"/>
    </row>
    <row r="1910" spans="1:51" ht="12" hidden="1" customHeight="1" outlineLevel="3" x14ac:dyDescent="0.2">
      <c r="A1910" s="61" t="s">
        <v>472</v>
      </c>
      <c r="B1910" s="45"/>
      <c r="C1910" s="45"/>
      <c r="D1910" s="45"/>
      <c r="E1910" s="46">
        <v>4384.8900000000003</v>
      </c>
      <c r="F1910" s="45"/>
      <c r="G1910" s="45"/>
    </row>
    <row r="1911" spans="1:51" ht="12" hidden="1" customHeight="1" outlineLevel="4" x14ac:dyDescent="0.2">
      <c r="A1911" s="60" t="s">
        <v>472</v>
      </c>
      <c r="B1911" s="45"/>
      <c r="C1911" s="45"/>
      <c r="D1911" s="45"/>
      <c r="E1911" s="46">
        <v>4384.8900000000003</v>
      </c>
      <c r="F1911" s="45"/>
      <c r="G1911" s="45"/>
    </row>
    <row r="1912" spans="1:51" ht="12" hidden="1" customHeight="1" outlineLevel="3" x14ac:dyDescent="0.2">
      <c r="A1912" s="61" t="s">
        <v>472</v>
      </c>
      <c r="B1912" s="45"/>
      <c r="C1912" s="45"/>
      <c r="D1912" s="45"/>
      <c r="E1912" s="59">
        <v>-4384.8900000000003</v>
      </c>
      <c r="F1912" s="45"/>
      <c r="G1912" s="45"/>
    </row>
    <row r="1913" spans="1:51" ht="12" hidden="1" customHeight="1" outlineLevel="4" x14ac:dyDescent="0.2">
      <c r="A1913" s="60" t="s">
        <v>472</v>
      </c>
      <c r="B1913" s="45"/>
      <c r="C1913" s="45"/>
      <c r="D1913" s="45"/>
      <c r="E1913" s="59">
        <v>-4384.8900000000003</v>
      </c>
      <c r="F1913" s="45"/>
      <c r="G1913" s="45"/>
    </row>
    <row r="1914" spans="1:51" ht="23.25" customHeight="1" outlineLevel="1" collapsed="1" x14ac:dyDescent="0.2">
      <c r="A1914" s="79" t="s">
        <v>502</v>
      </c>
      <c r="B1914" s="48"/>
      <c r="C1914" s="48"/>
      <c r="D1914" s="49">
        <v>2336001.54</v>
      </c>
      <c r="E1914" s="49">
        <v>2336001.54</v>
      </c>
      <c r="F1914" s="48"/>
      <c r="G1914" s="48"/>
      <c r="AY1914" s="41" t="s">
        <v>361</v>
      </c>
    </row>
    <row r="1915" spans="1:51" ht="12" hidden="1" customHeight="1" outlineLevel="2" collapsed="1" x14ac:dyDescent="0.2">
      <c r="A1915" s="63" t="s">
        <v>477</v>
      </c>
      <c r="B1915" s="62"/>
      <c r="C1915" s="62"/>
      <c r="D1915" s="64">
        <v>2336001.54</v>
      </c>
      <c r="E1915" s="64">
        <v>2336001.54</v>
      </c>
      <c r="F1915" s="62"/>
      <c r="G1915" s="62"/>
    </row>
    <row r="1916" spans="1:51" ht="12" hidden="1" customHeight="1" outlineLevel="3" x14ac:dyDescent="0.2">
      <c r="A1916" s="61" t="s">
        <v>472</v>
      </c>
      <c r="B1916" s="45"/>
      <c r="C1916" s="45"/>
      <c r="D1916" s="45"/>
      <c r="E1916" s="46">
        <v>2336001.54</v>
      </c>
      <c r="F1916" s="45"/>
      <c r="G1916" s="45"/>
    </row>
    <row r="1917" spans="1:51" ht="12" hidden="1" customHeight="1" outlineLevel="4" x14ac:dyDescent="0.2">
      <c r="A1917" s="60" t="s">
        <v>472</v>
      </c>
      <c r="B1917" s="45"/>
      <c r="C1917" s="45"/>
      <c r="D1917" s="45"/>
      <c r="E1917" s="46">
        <v>2336001.54</v>
      </c>
      <c r="F1917" s="45"/>
      <c r="G1917" s="45"/>
    </row>
    <row r="1918" spans="1:51" ht="12" hidden="1" customHeight="1" outlineLevel="3" x14ac:dyDescent="0.2">
      <c r="A1918" s="61" t="s">
        <v>498</v>
      </c>
      <c r="B1918" s="45"/>
      <c r="C1918" s="45"/>
      <c r="D1918" s="46">
        <v>3563.82</v>
      </c>
      <c r="E1918" s="45"/>
      <c r="F1918" s="45"/>
      <c r="G1918" s="45"/>
    </row>
    <row r="1919" spans="1:51" ht="12" hidden="1" customHeight="1" outlineLevel="4" x14ac:dyDescent="0.2">
      <c r="A1919" s="60" t="s">
        <v>472</v>
      </c>
      <c r="B1919" s="45"/>
      <c r="C1919" s="45"/>
      <c r="D1919" s="46">
        <v>3563.82</v>
      </c>
      <c r="E1919" s="45"/>
      <c r="F1919" s="45"/>
      <c r="G1919" s="45"/>
    </row>
    <row r="1920" spans="1:51" ht="12" hidden="1" customHeight="1" outlineLevel="3" x14ac:dyDescent="0.2">
      <c r="A1920" s="61" t="s">
        <v>497</v>
      </c>
      <c r="B1920" s="45"/>
      <c r="C1920" s="45"/>
      <c r="D1920" s="46">
        <v>8054.88</v>
      </c>
      <c r="E1920" s="45"/>
      <c r="F1920" s="45"/>
      <c r="G1920" s="45"/>
    </row>
    <row r="1921" spans="1:51" ht="12" hidden="1" customHeight="1" outlineLevel="4" x14ac:dyDescent="0.2">
      <c r="A1921" s="60" t="s">
        <v>472</v>
      </c>
      <c r="B1921" s="45"/>
      <c r="C1921" s="45"/>
      <c r="D1921" s="46">
        <v>8054.88</v>
      </c>
      <c r="E1921" s="45"/>
      <c r="F1921" s="45"/>
      <c r="G1921" s="45"/>
    </row>
    <row r="1922" spans="1:51" ht="12" hidden="1" customHeight="1" outlineLevel="3" x14ac:dyDescent="0.2">
      <c r="A1922" s="61" t="s">
        <v>496</v>
      </c>
      <c r="B1922" s="45"/>
      <c r="C1922" s="45"/>
      <c r="D1922" s="46">
        <v>1789832.93</v>
      </c>
      <c r="E1922" s="45"/>
      <c r="F1922" s="45"/>
      <c r="G1922" s="45"/>
    </row>
    <row r="1923" spans="1:51" ht="12" hidden="1" customHeight="1" outlineLevel="4" x14ac:dyDescent="0.2">
      <c r="A1923" s="60" t="s">
        <v>472</v>
      </c>
      <c r="B1923" s="45"/>
      <c r="C1923" s="45"/>
      <c r="D1923" s="46">
        <v>1789832.93</v>
      </c>
      <c r="E1923" s="45"/>
      <c r="F1923" s="45"/>
      <c r="G1923" s="45"/>
    </row>
    <row r="1924" spans="1:51" ht="12" hidden="1" customHeight="1" outlineLevel="3" x14ac:dyDescent="0.2">
      <c r="A1924" s="61" t="s">
        <v>392</v>
      </c>
      <c r="B1924" s="45"/>
      <c r="C1924" s="45"/>
      <c r="D1924" s="46">
        <v>534549.91</v>
      </c>
      <c r="E1924" s="45"/>
      <c r="F1924" s="45"/>
      <c r="G1924" s="45"/>
    </row>
    <row r="1925" spans="1:51" ht="12" hidden="1" customHeight="1" outlineLevel="4" x14ac:dyDescent="0.2">
      <c r="A1925" s="60" t="s">
        <v>472</v>
      </c>
      <c r="B1925" s="45"/>
      <c r="C1925" s="45"/>
      <c r="D1925" s="46">
        <v>534549.91</v>
      </c>
      <c r="E1925" s="45"/>
      <c r="F1925" s="45"/>
      <c r="G1925" s="45"/>
    </row>
    <row r="1926" spans="1:51" ht="12" customHeight="1" outlineLevel="1" collapsed="1" x14ac:dyDescent="0.2">
      <c r="A1926" s="79" t="s">
        <v>362</v>
      </c>
      <c r="B1926" s="48"/>
      <c r="C1926" s="48"/>
      <c r="D1926" s="49">
        <v>483635.51</v>
      </c>
      <c r="E1926" s="49">
        <v>483635.51</v>
      </c>
      <c r="F1926" s="48"/>
      <c r="G1926" s="48"/>
      <c r="AY1926" s="41" t="s">
        <v>362</v>
      </c>
    </row>
    <row r="1927" spans="1:51" ht="12" hidden="1" customHeight="1" outlineLevel="2" collapsed="1" x14ac:dyDescent="0.2">
      <c r="A1927" s="63" t="s">
        <v>480</v>
      </c>
      <c r="B1927" s="62"/>
      <c r="C1927" s="62"/>
      <c r="D1927" s="62"/>
      <c r="E1927" s="62"/>
      <c r="F1927" s="62"/>
      <c r="G1927" s="62"/>
    </row>
    <row r="1928" spans="1:51" ht="12" hidden="1" customHeight="1" outlineLevel="3" x14ac:dyDescent="0.2">
      <c r="A1928" s="61" t="s">
        <v>472</v>
      </c>
      <c r="B1928" s="45"/>
      <c r="C1928" s="45"/>
      <c r="D1928" s="45"/>
      <c r="E1928" s="66">
        <v>0.41</v>
      </c>
      <c r="F1928" s="45"/>
      <c r="G1928" s="45"/>
    </row>
    <row r="1929" spans="1:51" ht="12" hidden="1" customHeight="1" outlineLevel="4" x14ac:dyDescent="0.2">
      <c r="A1929" s="60" t="s">
        <v>472</v>
      </c>
      <c r="B1929" s="45"/>
      <c r="C1929" s="45"/>
      <c r="D1929" s="45"/>
      <c r="E1929" s="66">
        <v>0.41</v>
      </c>
      <c r="F1929" s="45"/>
      <c r="G1929" s="45"/>
    </row>
    <row r="1930" spans="1:51" ht="12" hidden="1" customHeight="1" outlineLevel="3" x14ac:dyDescent="0.2">
      <c r="A1930" s="61" t="s">
        <v>472</v>
      </c>
      <c r="B1930" s="45"/>
      <c r="C1930" s="45"/>
      <c r="D1930" s="45"/>
      <c r="E1930" s="65">
        <v>-0.41</v>
      </c>
      <c r="F1930" s="45"/>
      <c r="G1930" s="45"/>
    </row>
    <row r="1931" spans="1:51" ht="12" hidden="1" customHeight="1" outlineLevel="4" x14ac:dyDescent="0.2">
      <c r="A1931" s="60" t="s">
        <v>472</v>
      </c>
      <c r="B1931" s="45"/>
      <c r="C1931" s="45"/>
      <c r="D1931" s="45"/>
      <c r="E1931" s="65">
        <v>-0.41</v>
      </c>
      <c r="F1931" s="45"/>
      <c r="G1931" s="45"/>
    </row>
    <row r="1932" spans="1:51" ht="12" hidden="1" customHeight="1" outlineLevel="2" collapsed="1" x14ac:dyDescent="0.2">
      <c r="A1932" s="63" t="s">
        <v>30</v>
      </c>
      <c r="B1932" s="62"/>
      <c r="C1932" s="62"/>
      <c r="D1932" s="62"/>
      <c r="E1932" s="62"/>
      <c r="F1932" s="62"/>
      <c r="G1932" s="62"/>
    </row>
    <row r="1933" spans="1:51" ht="12" hidden="1" customHeight="1" outlineLevel="3" x14ac:dyDescent="0.2">
      <c r="A1933" s="61" t="s">
        <v>472</v>
      </c>
      <c r="B1933" s="45"/>
      <c r="C1933" s="45"/>
      <c r="D1933" s="45"/>
      <c r="E1933" s="46">
        <v>24286.75</v>
      </c>
      <c r="F1933" s="45"/>
      <c r="G1933" s="45"/>
    </row>
    <row r="1934" spans="1:51" ht="12" hidden="1" customHeight="1" outlineLevel="4" x14ac:dyDescent="0.2">
      <c r="A1934" s="60" t="s">
        <v>472</v>
      </c>
      <c r="B1934" s="45"/>
      <c r="C1934" s="45"/>
      <c r="D1934" s="45"/>
      <c r="E1934" s="46">
        <v>24286.75</v>
      </c>
      <c r="F1934" s="45"/>
      <c r="G1934" s="45"/>
    </row>
    <row r="1935" spans="1:51" ht="12" hidden="1" customHeight="1" outlineLevel="3" x14ac:dyDescent="0.2">
      <c r="A1935" s="61" t="s">
        <v>472</v>
      </c>
      <c r="B1935" s="45"/>
      <c r="C1935" s="45"/>
      <c r="D1935" s="45"/>
      <c r="E1935" s="59">
        <v>-24286.75</v>
      </c>
      <c r="F1935" s="45"/>
      <c r="G1935" s="45"/>
    </row>
    <row r="1936" spans="1:51" ht="12" hidden="1" customHeight="1" outlineLevel="4" x14ac:dyDescent="0.2">
      <c r="A1936" s="60" t="s">
        <v>472</v>
      </c>
      <c r="B1936" s="45"/>
      <c r="C1936" s="45"/>
      <c r="D1936" s="45"/>
      <c r="E1936" s="59">
        <v>-24286.75</v>
      </c>
      <c r="F1936" s="45"/>
      <c r="G1936" s="45"/>
    </row>
    <row r="1937" spans="1:7" ht="12" hidden="1" customHeight="1" outlineLevel="2" collapsed="1" x14ac:dyDescent="0.2">
      <c r="A1937" s="63" t="s">
        <v>479</v>
      </c>
      <c r="B1937" s="62"/>
      <c r="C1937" s="62"/>
      <c r="D1937" s="62"/>
      <c r="E1937" s="62"/>
      <c r="F1937" s="62"/>
      <c r="G1937" s="62"/>
    </row>
    <row r="1938" spans="1:7" ht="12" hidden="1" customHeight="1" outlineLevel="3" x14ac:dyDescent="0.2">
      <c r="A1938" s="61" t="s">
        <v>472</v>
      </c>
      <c r="B1938" s="45"/>
      <c r="C1938" s="45"/>
      <c r="D1938" s="45"/>
      <c r="E1938" s="46">
        <v>49369.24</v>
      </c>
      <c r="F1938" s="45"/>
      <c r="G1938" s="45"/>
    </row>
    <row r="1939" spans="1:7" ht="12" hidden="1" customHeight="1" outlineLevel="4" x14ac:dyDescent="0.2">
      <c r="A1939" s="60" t="s">
        <v>472</v>
      </c>
      <c r="B1939" s="45"/>
      <c r="C1939" s="45"/>
      <c r="D1939" s="45"/>
      <c r="E1939" s="46">
        <v>49369.24</v>
      </c>
      <c r="F1939" s="45"/>
      <c r="G1939" s="45"/>
    </row>
    <row r="1940" spans="1:7" ht="12" hidden="1" customHeight="1" outlineLevel="3" x14ac:dyDescent="0.2">
      <c r="A1940" s="61" t="s">
        <v>472</v>
      </c>
      <c r="B1940" s="45"/>
      <c r="C1940" s="45"/>
      <c r="D1940" s="45"/>
      <c r="E1940" s="59">
        <v>-49369.24</v>
      </c>
      <c r="F1940" s="45"/>
      <c r="G1940" s="45"/>
    </row>
    <row r="1941" spans="1:7" ht="12" hidden="1" customHeight="1" outlineLevel="4" x14ac:dyDescent="0.2">
      <c r="A1941" s="60" t="s">
        <v>472</v>
      </c>
      <c r="B1941" s="45"/>
      <c r="C1941" s="45"/>
      <c r="D1941" s="45"/>
      <c r="E1941" s="59">
        <v>-49369.24</v>
      </c>
      <c r="F1941" s="45"/>
      <c r="G1941" s="45"/>
    </row>
    <row r="1942" spans="1:7" ht="12" hidden="1" customHeight="1" outlineLevel="2" collapsed="1" x14ac:dyDescent="0.2">
      <c r="A1942" s="63" t="s">
        <v>478</v>
      </c>
      <c r="B1942" s="62"/>
      <c r="C1942" s="62"/>
      <c r="D1942" s="62"/>
      <c r="E1942" s="62"/>
      <c r="F1942" s="62"/>
      <c r="G1942" s="62"/>
    </row>
    <row r="1943" spans="1:7" ht="12" hidden="1" customHeight="1" outlineLevel="3" x14ac:dyDescent="0.2">
      <c r="A1943" s="61" t="s">
        <v>472</v>
      </c>
      <c r="B1943" s="45"/>
      <c r="C1943" s="45"/>
      <c r="D1943" s="45"/>
      <c r="E1943" s="66">
        <v>7.73</v>
      </c>
      <c r="F1943" s="45"/>
      <c r="G1943" s="45"/>
    </row>
    <row r="1944" spans="1:7" ht="12" hidden="1" customHeight="1" outlineLevel="4" x14ac:dyDescent="0.2">
      <c r="A1944" s="60" t="s">
        <v>472</v>
      </c>
      <c r="B1944" s="45"/>
      <c r="C1944" s="45"/>
      <c r="D1944" s="45"/>
      <c r="E1944" s="66">
        <v>7.73</v>
      </c>
      <c r="F1944" s="45"/>
      <c r="G1944" s="45"/>
    </row>
    <row r="1945" spans="1:7" ht="12" hidden="1" customHeight="1" outlineLevel="3" x14ac:dyDescent="0.2">
      <c r="A1945" s="61" t="s">
        <v>472</v>
      </c>
      <c r="B1945" s="45"/>
      <c r="C1945" s="45"/>
      <c r="D1945" s="45"/>
      <c r="E1945" s="65">
        <v>-7.73</v>
      </c>
      <c r="F1945" s="45"/>
      <c r="G1945" s="45"/>
    </row>
    <row r="1946" spans="1:7" ht="12" hidden="1" customHeight="1" outlineLevel="4" x14ac:dyDescent="0.2">
      <c r="A1946" s="60" t="s">
        <v>472</v>
      </c>
      <c r="B1946" s="45"/>
      <c r="C1946" s="45"/>
      <c r="D1946" s="45"/>
      <c r="E1946" s="65">
        <v>-7.73</v>
      </c>
      <c r="F1946" s="45"/>
      <c r="G1946" s="45"/>
    </row>
    <row r="1947" spans="1:7" ht="12" hidden="1" customHeight="1" outlineLevel="2" collapsed="1" x14ac:dyDescent="0.2">
      <c r="A1947" s="63" t="s">
        <v>32</v>
      </c>
      <c r="B1947" s="62"/>
      <c r="C1947" s="62"/>
      <c r="D1947" s="62"/>
      <c r="E1947" s="62"/>
      <c r="F1947" s="62"/>
      <c r="G1947" s="62"/>
    </row>
    <row r="1948" spans="1:7" ht="12" hidden="1" customHeight="1" outlineLevel="3" x14ac:dyDescent="0.2">
      <c r="A1948" s="61" t="s">
        <v>472</v>
      </c>
      <c r="B1948" s="45"/>
      <c r="C1948" s="45"/>
      <c r="D1948" s="45"/>
      <c r="E1948" s="46">
        <v>87653.06</v>
      </c>
      <c r="F1948" s="45"/>
      <c r="G1948" s="45"/>
    </row>
    <row r="1949" spans="1:7" ht="12" hidden="1" customHeight="1" outlineLevel="4" x14ac:dyDescent="0.2">
      <c r="A1949" s="60" t="s">
        <v>472</v>
      </c>
      <c r="B1949" s="45"/>
      <c r="C1949" s="45"/>
      <c r="D1949" s="45"/>
      <c r="E1949" s="46">
        <v>87653.06</v>
      </c>
      <c r="F1949" s="45"/>
      <c r="G1949" s="45"/>
    </row>
    <row r="1950" spans="1:7" ht="12" hidden="1" customHeight="1" outlineLevel="3" x14ac:dyDescent="0.2">
      <c r="A1950" s="61" t="s">
        <v>472</v>
      </c>
      <c r="B1950" s="45"/>
      <c r="C1950" s="45"/>
      <c r="D1950" s="45"/>
      <c r="E1950" s="59">
        <v>-87653.06</v>
      </c>
      <c r="F1950" s="45"/>
      <c r="G1950" s="45"/>
    </row>
    <row r="1951" spans="1:7" ht="12" hidden="1" customHeight="1" outlineLevel="4" x14ac:dyDescent="0.2">
      <c r="A1951" s="60" t="s">
        <v>472</v>
      </c>
      <c r="B1951" s="45"/>
      <c r="C1951" s="45"/>
      <c r="D1951" s="45"/>
      <c r="E1951" s="59">
        <v>-87653.06</v>
      </c>
      <c r="F1951" s="45"/>
      <c r="G1951" s="45"/>
    </row>
    <row r="1952" spans="1:7" ht="12" hidden="1" customHeight="1" outlineLevel="2" collapsed="1" x14ac:dyDescent="0.2">
      <c r="A1952" s="63" t="s">
        <v>477</v>
      </c>
      <c r="B1952" s="62"/>
      <c r="C1952" s="62"/>
      <c r="D1952" s="64">
        <v>483635.51</v>
      </c>
      <c r="E1952" s="64">
        <v>483635.51</v>
      </c>
      <c r="F1952" s="62"/>
      <c r="G1952" s="62"/>
    </row>
    <row r="1953" spans="1:7" ht="12" hidden="1" customHeight="1" outlineLevel="3" x14ac:dyDescent="0.2">
      <c r="A1953" s="61" t="s">
        <v>472</v>
      </c>
      <c r="B1953" s="45"/>
      <c r="C1953" s="45"/>
      <c r="D1953" s="45"/>
      <c r="E1953" s="46">
        <v>678663.53</v>
      </c>
      <c r="F1953" s="45"/>
      <c r="G1953" s="45"/>
    </row>
    <row r="1954" spans="1:7" ht="12" hidden="1" customHeight="1" outlineLevel="4" x14ac:dyDescent="0.2">
      <c r="A1954" s="60" t="s">
        <v>472</v>
      </c>
      <c r="B1954" s="45"/>
      <c r="C1954" s="45"/>
      <c r="D1954" s="45"/>
      <c r="E1954" s="46">
        <v>678663.53</v>
      </c>
      <c r="F1954" s="45"/>
      <c r="G1954" s="45"/>
    </row>
    <row r="1955" spans="1:7" ht="12" hidden="1" customHeight="1" outlineLevel="3" x14ac:dyDescent="0.2">
      <c r="A1955" s="61" t="s">
        <v>472</v>
      </c>
      <c r="B1955" s="45"/>
      <c r="C1955" s="45"/>
      <c r="D1955" s="45"/>
      <c r="E1955" s="59">
        <v>-195028.02</v>
      </c>
      <c r="F1955" s="45"/>
      <c r="G1955" s="45"/>
    </row>
    <row r="1956" spans="1:7" ht="12" hidden="1" customHeight="1" outlineLevel="4" x14ac:dyDescent="0.2">
      <c r="A1956" s="60" t="s">
        <v>472</v>
      </c>
      <c r="B1956" s="45"/>
      <c r="C1956" s="45"/>
      <c r="D1956" s="45"/>
      <c r="E1956" s="59">
        <v>-195028.02</v>
      </c>
      <c r="F1956" s="45"/>
      <c r="G1956" s="45"/>
    </row>
    <row r="1957" spans="1:7" ht="12" hidden="1" customHeight="1" outlineLevel="3" x14ac:dyDescent="0.2">
      <c r="A1957" s="61" t="s">
        <v>398</v>
      </c>
      <c r="B1957" s="45"/>
      <c r="C1957" s="45"/>
      <c r="D1957" s="46">
        <v>96260</v>
      </c>
      <c r="E1957" s="45"/>
      <c r="F1957" s="45"/>
      <c r="G1957" s="45"/>
    </row>
    <row r="1958" spans="1:7" ht="12" hidden="1" customHeight="1" outlineLevel="4" x14ac:dyDescent="0.2">
      <c r="A1958" s="60" t="s">
        <v>472</v>
      </c>
      <c r="B1958" s="45"/>
      <c r="C1958" s="45"/>
      <c r="D1958" s="46">
        <v>96260</v>
      </c>
      <c r="E1958" s="45"/>
      <c r="F1958" s="45"/>
      <c r="G1958" s="45"/>
    </row>
    <row r="1959" spans="1:7" ht="12" hidden="1" customHeight="1" outlineLevel="3" x14ac:dyDescent="0.2">
      <c r="A1959" s="61" t="s">
        <v>397</v>
      </c>
      <c r="B1959" s="45"/>
      <c r="C1959" s="45"/>
      <c r="D1959" s="46">
        <v>284695.51</v>
      </c>
      <c r="E1959" s="45"/>
      <c r="F1959" s="45"/>
      <c r="G1959" s="45"/>
    </row>
    <row r="1960" spans="1:7" ht="12" hidden="1" customHeight="1" outlineLevel="4" x14ac:dyDescent="0.2">
      <c r="A1960" s="60" t="s">
        <v>472</v>
      </c>
      <c r="B1960" s="45"/>
      <c r="C1960" s="45"/>
      <c r="D1960" s="46">
        <v>284695.51</v>
      </c>
      <c r="E1960" s="45"/>
      <c r="F1960" s="45"/>
      <c r="G1960" s="45"/>
    </row>
    <row r="1961" spans="1:7" ht="12" hidden="1" customHeight="1" outlineLevel="3" x14ac:dyDescent="0.2">
      <c r="A1961" s="61" t="s">
        <v>501</v>
      </c>
      <c r="B1961" s="45"/>
      <c r="C1961" s="45"/>
      <c r="D1961" s="46">
        <v>102680</v>
      </c>
      <c r="E1961" s="45"/>
      <c r="F1961" s="45"/>
      <c r="G1961" s="45"/>
    </row>
    <row r="1962" spans="1:7" ht="12" hidden="1" customHeight="1" outlineLevel="4" x14ac:dyDescent="0.2">
      <c r="A1962" s="60" t="s">
        <v>472</v>
      </c>
      <c r="B1962" s="45"/>
      <c r="C1962" s="45"/>
      <c r="D1962" s="46">
        <v>102680</v>
      </c>
      <c r="E1962" s="45"/>
      <c r="F1962" s="45"/>
      <c r="G1962" s="45"/>
    </row>
    <row r="1963" spans="1:7" ht="12" hidden="1" customHeight="1" outlineLevel="2" collapsed="1" x14ac:dyDescent="0.2">
      <c r="A1963" s="63" t="s">
        <v>476</v>
      </c>
      <c r="B1963" s="62"/>
      <c r="C1963" s="62"/>
      <c r="D1963" s="62"/>
      <c r="E1963" s="62"/>
      <c r="F1963" s="62"/>
      <c r="G1963" s="62"/>
    </row>
    <row r="1964" spans="1:7" ht="12" hidden="1" customHeight="1" outlineLevel="3" x14ac:dyDescent="0.2">
      <c r="A1964" s="61" t="s">
        <v>472</v>
      </c>
      <c r="B1964" s="45"/>
      <c r="C1964" s="45"/>
      <c r="D1964" s="45"/>
      <c r="E1964" s="46">
        <v>13703.8</v>
      </c>
      <c r="F1964" s="45"/>
      <c r="G1964" s="45"/>
    </row>
    <row r="1965" spans="1:7" ht="12" hidden="1" customHeight="1" outlineLevel="4" x14ac:dyDescent="0.2">
      <c r="A1965" s="60" t="s">
        <v>472</v>
      </c>
      <c r="B1965" s="45"/>
      <c r="C1965" s="45"/>
      <c r="D1965" s="45"/>
      <c r="E1965" s="46">
        <v>13703.8</v>
      </c>
      <c r="F1965" s="45"/>
      <c r="G1965" s="45"/>
    </row>
    <row r="1966" spans="1:7" ht="12" hidden="1" customHeight="1" outlineLevel="3" x14ac:dyDescent="0.2">
      <c r="A1966" s="61" t="s">
        <v>472</v>
      </c>
      <c r="B1966" s="45"/>
      <c r="C1966" s="45"/>
      <c r="D1966" s="45"/>
      <c r="E1966" s="59">
        <v>-13703.8</v>
      </c>
      <c r="F1966" s="45"/>
      <c r="G1966" s="45"/>
    </row>
    <row r="1967" spans="1:7" ht="12" hidden="1" customHeight="1" outlineLevel="4" x14ac:dyDescent="0.2">
      <c r="A1967" s="60" t="s">
        <v>472</v>
      </c>
      <c r="B1967" s="45"/>
      <c r="C1967" s="45"/>
      <c r="D1967" s="45"/>
      <c r="E1967" s="59">
        <v>-13703.8</v>
      </c>
      <c r="F1967" s="45"/>
      <c r="G1967" s="45"/>
    </row>
    <row r="1968" spans="1:7" ht="12" hidden="1" customHeight="1" outlineLevel="2" collapsed="1" x14ac:dyDescent="0.2">
      <c r="A1968" s="63" t="s">
        <v>475</v>
      </c>
      <c r="B1968" s="62"/>
      <c r="C1968" s="62"/>
      <c r="D1968" s="62"/>
      <c r="E1968" s="62"/>
      <c r="F1968" s="62"/>
      <c r="G1968" s="62"/>
    </row>
    <row r="1969" spans="1:51" ht="12" hidden="1" customHeight="1" outlineLevel="3" x14ac:dyDescent="0.2">
      <c r="A1969" s="61" t="s">
        <v>472</v>
      </c>
      <c r="B1969" s="45"/>
      <c r="C1969" s="45"/>
      <c r="D1969" s="45"/>
      <c r="E1969" s="46">
        <v>10906.5</v>
      </c>
      <c r="F1969" s="45"/>
      <c r="G1969" s="45"/>
    </row>
    <row r="1970" spans="1:51" ht="12" hidden="1" customHeight="1" outlineLevel="4" x14ac:dyDescent="0.2">
      <c r="A1970" s="60" t="s">
        <v>472</v>
      </c>
      <c r="B1970" s="45"/>
      <c r="C1970" s="45"/>
      <c r="D1970" s="45"/>
      <c r="E1970" s="46">
        <v>10906.5</v>
      </c>
      <c r="F1970" s="45"/>
      <c r="G1970" s="45"/>
    </row>
    <row r="1971" spans="1:51" ht="12" hidden="1" customHeight="1" outlineLevel="3" x14ac:dyDescent="0.2">
      <c r="A1971" s="61" t="s">
        <v>472</v>
      </c>
      <c r="B1971" s="45"/>
      <c r="C1971" s="45"/>
      <c r="D1971" s="45"/>
      <c r="E1971" s="59">
        <v>-10906.5</v>
      </c>
      <c r="F1971" s="45"/>
      <c r="G1971" s="45"/>
    </row>
    <row r="1972" spans="1:51" ht="12" hidden="1" customHeight="1" outlineLevel="4" x14ac:dyDescent="0.2">
      <c r="A1972" s="60" t="s">
        <v>472</v>
      </c>
      <c r="B1972" s="45"/>
      <c r="C1972" s="45"/>
      <c r="D1972" s="45"/>
      <c r="E1972" s="59">
        <v>-10906.5</v>
      </c>
      <c r="F1972" s="45"/>
      <c r="G1972" s="45"/>
    </row>
    <row r="1973" spans="1:51" ht="12" customHeight="1" outlineLevel="1" collapsed="1" x14ac:dyDescent="0.2">
      <c r="A1973" s="79" t="s">
        <v>396</v>
      </c>
      <c r="B1973" s="48"/>
      <c r="C1973" s="48"/>
      <c r="D1973" s="49">
        <v>7986911.8899999997</v>
      </c>
      <c r="E1973" s="49">
        <v>7986911.8899999997</v>
      </c>
      <c r="F1973" s="48"/>
      <c r="G1973" s="48"/>
      <c r="AY1973" s="41" t="s">
        <v>361</v>
      </c>
    </row>
    <row r="1974" spans="1:51" ht="12" hidden="1" customHeight="1" outlineLevel="2" collapsed="1" x14ac:dyDescent="0.2">
      <c r="A1974" s="63" t="s">
        <v>477</v>
      </c>
      <c r="B1974" s="62"/>
      <c r="C1974" s="62"/>
      <c r="D1974" s="64">
        <v>7986911.8899999997</v>
      </c>
      <c r="E1974" s="64">
        <v>7986911.8899999997</v>
      </c>
      <c r="F1974" s="62"/>
      <c r="G1974" s="62"/>
    </row>
    <row r="1975" spans="1:51" ht="12" hidden="1" customHeight="1" outlineLevel="3" x14ac:dyDescent="0.2">
      <c r="A1975" s="61" t="s">
        <v>472</v>
      </c>
      <c r="B1975" s="45"/>
      <c r="C1975" s="45"/>
      <c r="D1975" s="45"/>
      <c r="E1975" s="46">
        <v>10286174.4</v>
      </c>
      <c r="F1975" s="45"/>
      <c r="G1975" s="45"/>
    </row>
    <row r="1976" spans="1:51" ht="12" hidden="1" customHeight="1" outlineLevel="4" x14ac:dyDescent="0.2">
      <c r="A1976" s="60" t="s">
        <v>472</v>
      </c>
      <c r="B1976" s="45"/>
      <c r="C1976" s="45"/>
      <c r="D1976" s="45"/>
      <c r="E1976" s="46">
        <v>10286174.4</v>
      </c>
      <c r="F1976" s="45"/>
      <c r="G1976" s="45"/>
    </row>
    <row r="1977" spans="1:51" ht="12" hidden="1" customHeight="1" outlineLevel="3" x14ac:dyDescent="0.2">
      <c r="A1977" s="61" t="s">
        <v>472</v>
      </c>
      <c r="B1977" s="45"/>
      <c r="C1977" s="45"/>
      <c r="D1977" s="45"/>
      <c r="E1977" s="59">
        <v>-2299262.5099999998</v>
      </c>
      <c r="F1977" s="45"/>
      <c r="G1977" s="45"/>
    </row>
    <row r="1978" spans="1:51" ht="12" hidden="1" customHeight="1" outlineLevel="4" x14ac:dyDescent="0.2">
      <c r="A1978" s="60" t="s">
        <v>472</v>
      </c>
      <c r="B1978" s="45"/>
      <c r="C1978" s="45"/>
      <c r="D1978" s="45"/>
      <c r="E1978" s="59">
        <v>-2299262.5099999998</v>
      </c>
      <c r="F1978" s="45"/>
      <c r="G1978" s="45"/>
    </row>
    <row r="1979" spans="1:51" ht="23.25" hidden="1" customHeight="1" outlineLevel="3" x14ac:dyDescent="0.2">
      <c r="A1979" s="61" t="s">
        <v>395</v>
      </c>
      <c r="B1979" s="45"/>
      <c r="C1979" s="45"/>
      <c r="D1979" s="46">
        <v>2299262.5099999998</v>
      </c>
      <c r="E1979" s="45"/>
      <c r="F1979" s="45"/>
      <c r="G1979" s="45"/>
    </row>
    <row r="1980" spans="1:51" ht="12" hidden="1" customHeight="1" outlineLevel="4" x14ac:dyDescent="0.2">
      <c r="A1980" s="60" t="s">
        <v>472</v>
      </c>
      <c r="B1980" s="45"/>
      <c r="C1980" s="45"/>
      <c r="D1980" s="46">
        <v>2299262.5099999998</v>
      </c>
      <c r="E1980" s="45"/>
      <c r="F1980" s="45"/>
      <c r="G1980" s="45"/>
    </row>
    <row r="1981" spans="1:51" ht="12" hidden="1" customHeight="1" outlineLevel="3" x14ac:dyDescent="0.2">
      <c r="A1981" s="61" t="s">
        <v>500</v>
      </c>
      <c r="B1981" s="45"/>
      <c r="C1981" s="45"/>
      <c r="D1981" s="46">
        <v>5687649.3799999999</v>
      </c>
      <c r="E1981" s="45"/>
      <c r="F1981" s="45"/>
      <c r="G1981" s="45"/>
    </row>
    <row r="1982" spans="1:51" ht="12" hidden="1" customHeight="1" outlineLevel="4" x14ac:dyDescent="0.2">
      <c r="A1982" s="60" t="s">
        <v>472</v>
      </c>
      <c r="B1982" s="45"/>
      <c r="C1982" s="45"/>
      <c r="D1982" s="46">
        <v>5687649.3799999999</v>
      </c>
      <c r="E1982" s="45"/>
      <c r="F1982" s="45"/>
      <c r="G1982" s="45"/>
    </row>
    <row r="1983" spans="1:51" ht="12" customHeight="1" outlineLevel="1" collapsed="1" x14ac:dyDescent="0.2">
      <c r="A1983" s="79" t="s">
        <v>394</v>
      </c>
      <c r="B1983" s="48"/>
      <c r="C1983" s="48"/>
      <c r="D1983" s="49">
        <v>1108891.1399999999</v>
      </c>
      <c r="E1983" s="49">
        <v>1108891.1399999999</v>
      </c>
      <c r="F1983" s="48"/>
      <c r="G1983" s="48"/>
      <c r="AO1983" s="78" t="s">
        <v>832</v>
      </c>
    </row>
    <row r="1984" spans="1:51" ht="12" hidden="1" customHeight="1" outlineLevel="2" collapsed="1" x14ac:dyDescent="0.2">
      <c r="A1984" s="63" t="s">
        <v>480</v>
      </c>
      <c r="B1984" s="62"/>
      <c r="C1984" s="62"/>
      <c r="D1984" s="62"/>
      <c r="E1984" s="62"/>
      <c r="F1984" s="62"/>
      <c r="G1984" s="62"/>
    </row>
    <row r="1985" spans="1:7" ht="12" hidden="1" customHeight="1" outlineLevel="3" x14ac:dyDescent="0.2">
      <c r="A1985" s="61" t="s">
        <v>472</v>
      </c>
      <c r="B1985" s="45"/>
      <c r="C1985" s="45"/>
      <c r="D1985" s="45"/>
      <c r="E1985" s="66">
        <v>1.18</v>
      </c>
      <c r="F1985" s="45"/>
      <c r="G1985" s="45"/>
    </row>
    <row r="1986" spans="1:7" ht="12" hidden="1" customHeight="1" outlineLevel="4" x14ac:dyDescent="0.2">
      <c r="A1986" s="60" t="s">
        <v>472</v>
      </c>
      <c r="B1986" s="45"/>
      <c r="C1986" s="45"/>
      <c r="D1986" s="45"/>
      <c r="E1986" s="66">
        <v>1.18</v>
      </c>
      <c r="F1986" s="45"/>
      <c r="G1986" s="45"/>
    </row>
    <row r="1987" spans="1:7" ht="12" hidden="1" customHeight="1" outlineLevel="3" x14ac:dyDescent="0.2">
      <c r="A1987" s="61" t="s">
        <v>472</v>
      </c>
      <c r="B1987" s="45"/>
      <c r="C1987" s="45"/>
      <c r="D1987" s="45"/>
      <c r="E1987" s="65">
        <v>-1.18</v>
      </c>
      <c r="F1987" s="45"/>
      <c r="G1987" s="45"/>
    </row>
    <row r="1988" spans="1:7" ht="12" hidden="1" customHeight="1" outlineLevel="4" x14ac:dyDescent="0.2">
      <c r="A1988" s="60" t="s">
        <v>472</v>
      </c>
      <c r="B1988" s="45"/>
      <c r="C1988" s="45"/>
      <c r="D1988" s="45"/>
      <c r="E1988" s="65">
        <v>-1.18</v>
      </c>
      <c r="F1988" s="45"/>
      <c r="G1988" s="45"/>
    </row>
    <row r="1989" spans="1:7" ht="12" hidden="1" customHeight="1" outlineLevel="2" collapsed="1" x14ac:dyDescent="0.2">
      <c r="A1989" s="63" t="s">
        <v>30</v>
      </c>
      <c r="B1989" s="62"/>
      <c r="C1989" s="62"/>
      <c r="D1989" s="62"/>
      <c r="E1989" s="62"/>
      <c r="F1989" s="62"/>
      <c r="G1989" s="62"/>
    </row>
    <row r="1990" spans="1:7" ht="12" hidden="1" customHeight="1" outlineLevel="3" x14ac:dyDescent="0.2">
      <c r="A1990" s="61" t="s">
        <v>472</v>
      </c>
      <c r="B1990" s="45"/>
      <c r="C1990" s="45"/>
      <c r="D1990" s="45"/>
      <c r="E1990" s="46">
        <v>73827.59</v>
      </c>
      <c r="F1990" s="45"/>
      <c r="G1990" s="45"/>
    </row>
    <row r="1991" spans="1:7" ht="12" hidden="1" customHeight="1" outlineLevel="4" x14ac:dyDescent="0.2">
      <c r="A1991" s="60" t="s">
        <v>472</v>
      </c>
      <c r="B1991" s="45"/>
      <c r="C1991" s="45"/>
      <c r="D1991" s="45"/>
      <c r="E1991" s="46">
        <v>73827.59</v>
      </c>
      <c r="F1991" s="45"/>
      <c r="G1991" s="45"/>
    </row>
    <row r="1992" spans="1:7" ht="12" hidden="1" customHeight="1" outlineLevel="3" x14ac:dyDescent="0.2">
      <c r="A1992" s="61" t="s">
        <v>472</v>
      </c>
      <c r="B1992" s="45"/>
      <c r="C1992" s="45"/>
      <c r="D1992" s="45"/>
      <c r="E1992" s="59">
        <v>-73827.59</v>
      </c>
      <c r="F1992" s="45"/>
      <c r="G1992" s="45"/>
    </row>
    <row r="1993" spans="1:7" ht="12" hidden="1" customHeight="1" outlineLevel="4" x14ac:dyDescent="0.2">
      <c r="A1993" s="60" t="s">
        <v>472</v>
      </c>
      <c r="B1993" s="45"/>
      <c r="C1993" s="45"/>
      <c r="D1993" s="45"/>
      <c r="E1993" s="59">
        <v>-73827.59</v>
      </c>
      <c r="F1993" s="45"/>
      <c r="G1993" s="45"/>
    </row>
    <row r="1994" spans="1:7" ht="12" hidden="1" customHeight="1" outlineLevel="2" collapsed="1" x14ac:dyDescent="0.2">
      <c r="A1994" s="63" t="s">
        <v>479</v>
      </c>
      <c r="B1994" s="62"/>
      <c r="C1994" s="62"/>
      <c r="D1994" s="62"/>
      <c r="E1994" s="62"/>
      <c r="F1994" s="62"/>
      <c r="G1994" s="62"/>
    </row>
    <row r="1995" spans="1:7" ht="12" hidden="1" customHeight="1" outlineLevel="3" x14ac:dyDescent="0.2">
      <c r="A1995" s="61" t="s">
        <v>472</v>
      </c>
      <c r="B1995" s="45"/>
      <c r="C1995" s="45"/>
      <c r="D1995" s="45"/>
      <c r="E1995" s="46">
        <v>150359.26999999999</v>
      </c>
      <c r="F1995" s="45"/>
      <c r="G1995" s="45"/>
    </row>
    <row r="1996" spans="1:7" ht="12" hidden="1" customHeight="1" outlineLevel="4" x14ac:dyDescent="0.2">
      <c r="A1996" s="60" t="s">
        <v>472</v>
      </c>
      <c r="B1996" s="45"/>
      <c r="C1996" s="45"/>
      <c r="D1996" s="45"/>
      <c r="E1996" s="46">
        <v>150359.26999999999</v>
      </c>
      <c r="F1996" s="45"/>
      <c r="G1996" s="45"/>
    </row>
    <row r="1997" spans="1:7" ht="12" hidden="1" customHeight="1" outlineLevel="3" x14ac:dyDescent="0.2">
      <c r="A1997" s="61" t="s">
        <v>472</v>
      </c>
      <c r="B1997" s="45"/>
      <c r="C1997" s="45"/>
      <c r="D1997" s="45"/>
      <c r="E1997" s="59">
        <v>-150359.26999999999</v>
      </c>
      <c r="F1997" s="45"/>
      <c r="G1997" s="45"/>
    </row>
    <row r="1998" spans="1:7" ht="12" hidden="1" customHeight="1" outlineLevel="4" x14ac:dyDescent="0.2">
      <c r="A1998" s="60" t="s">
        <v>472</v>
      </c>
      <c r="B1998" s="45"/>
      <c r="C1998" s="45"/>
      <c r="D1998" s="45"/>
      <c r="E1998" s="59">
        <v>-150359.26999999999</v>
      </c>
      <c r="F1998" s="45"/>
      <c r="G1998" s="45"/>
    </row>
    <row r="1999" spans="1:7" ht="12" hidden="1" customHeight="1" outlineLevel="2" collapsed="1" x14ac:dyDescent="0.2">
      <c r="A1999" s="63" t="s">
        <v>478</v>
      </c>
      <c r="B1999" s="62"/>
      <c r="C1999" s="62"/>
      <c r="D1999" s="62"/>
      <c r="E1999" s="62"/>
      <c r="F1999" s="62"/>
      <c r="G1999" s="62"/>
    </row>
    <row r="2000" spans="1:7" ht="12" hidden="1" customHeight="1" outlineLevel="3" x14ac:dyDescent="0.2">
      <c r="A2000" s="61" t="s">
        <v>472</v>
      </c>
      <c r="B2000" s="45"/>
      <c r="C2000" s="45"/>
      <c r="D2000" s="45"/>
      <c r="E2000" s="66">
        <v>23.66</v>
      </c>
      <c r="F2000" s="45"/>
      <c r="G2000" s="45"/>
    </row>
    <row r="2001" spans="1:7" ht="12" hidden="1" customHeight="1" outlineLevel="4" x14ac:dyDescent="0.2">
      <c r="A2001" s="60" t="s">
        <v>472</v>
      </c>
      <c r="B2001" s="45"/>
      <c r="C2001" s="45"/>
      <c r="D2001" s="45"/>
      <c r="E2001" s="66">
        <v>23.66</v>
      </c>
      <c r="F2001" s="45"/>
      <c r="G2001" s="45"/>
    </row>
    <row r="2002" spans="1:7" ht="12" hidden="1" customHeight="1" outlineLevel="3" x14ac:dyDescent="0.2">
      <c r="A2002" s="61" t="s">
        <v>472</v>
      </c>
      <c r="B2002" s="45"/>
      <c r="C2002" s="45"/>
      <c r="D2002" s="45"/>
      <c r="E2002" s="65">
        <v>-23.66</v>
      </c>
      <c r="F2002" s="45"/>
      <c r="G2002" s="45"/>
    </row>
    <row r="2003" spans="1:7" ht="12" hidden="1" customHeight="1" outlineLevel="4" x14ac:dyDescent="0.2">
      <c r="A2003" s="60" t="s">
        <v>472</v>
      </c>
      <c r="B2003" s="45"/>
      <c r="C2003" s="45"/>
      <c r="D2003" s="45"/>
      <c r="E2003" s="65">
        <v>-23.66</v>
      </c>
      <c r="F2003" s="45"/>
      <c r="G2003" s="45"/>
    </row>
    <row r="2004" spans="1:7" ht="12" hidden="1" customHeight="1" outlineLevel="2" collapsed="1" x14ac:dyDescent="0.2">
      <c r="A2004" s="63" t="s">
        <v>32</v>
      </c>
      <c r="B2004" s="62"/>
      <c r="C2004" s="62"/>
      <c r="D2004" s="62"/>
      <c r="E2004" s="62"/>
      <c r="F2004" s="62"/>
      <c r="G2004" s="62"/>
    </row>
    <row r="2005" spans="1:7" ht="12" hidden="1" customHeight="1" outlineLevel="3" x14ac:dyDescent="0.2">
      <c r="A2005" s="61" t="s">
        <v>472</v>
      </c>
      <c r="B2005" s="45"/>
      <c r="C2005" s="45"/>
      <c r="D2005" s="45"/>
      <c r="E2005" s="46">
        <v>308400.11</v>
      </c>
      <c r="F2005" s="45"/>
      <c r="G2005" s="45"/>
    </row>
    <row r="2006" spans="1:7" ht="12" hidden="1" customHeight="1" outlineLevel="4" x14ac:dyDescent="0.2">
      <c r="A2006" s="60" t="s">
        <v>472</v>
      </c>
      <c r="B2006" s="45"/>
      <c r="C2006" s="45"/>
      <c r="D2006" s="45"/>
      <c r="E2006" s="46">
        <v>308400.11</v>
      </c>
      <c r="F2006" s="45"/>
      <c r="G2006" s="45"/>
    </row>
    <row r="2007" spans="1:7" ht="12" hidden="1" customHeight="1" outlineLevel="3" x14ac:dyDescent="0.2">
      <c r="A2007" s="61" t="s">
        <v>472</v>
      </c>
      <c r="B2007" s="45"/>
      <c r="C2007" s="45"/>
      <c r="D2007" s="45"/>
      <c r="E2007" s="59">
        <v>-308400.11</v>
      </c>
      <c r="F2007" s="45"/>
      <c r="G2007" s="45"/>
    </row>
    <row r="2008" spans="1:7" ht="12" hidden="1" customHeight="1" outlineLevel="4" x14ac:dyDescent="0.2">
      <c r="A2008" s="60" t="s">
        <v>472</v>
      </c>
      <c r="B2008" s="45"/>
      <c r="C2008" s="45"/>
      <c r="D2008" s="45"/>
      <c r="E2008" s="59">
        <v>-308400.11</v>
      </c>
      <c r="F2008" s="45"/>
      <c r="G2008" s="45"/>
    </row>
    <row r="2009" spans="1:7" ht="12" hidden="1" customHeight="1" outlineLevel="2" collapsed="1" x14ac:dyDescent="0.2">
      <c r="A2009" s="63" t="s">
        <v>477</v>
      </c>
      <c r="B2009" s="62"/>
      <c r="C2009" s="62"/>
      <c r="D2009" s="64">
        <v>1108891.1399999999</v>
      </c>
      <c r="E2009" s="64">
        <v>1108891.1399999999</v>
      </c>
      <c r="F2009" s="62"/>
      <c r="G2009" s="62"/>
    </row>
    <row r="2010" spans="1:7" ht="12" hidden="1" customHeight="1" outlineLevel="3" x14ac:dyDescent="0.2">
      <c r="A2010" s="61" t="s">
        <v>472</v>
      </c>
      <c r="B2010" s="45"/>
      <c r="C2010" s="45"/>
      <c r="D2010" s="45"/>
      <c r="E2010" s="46">
        <v>1610555.08</v>
      </c>
      <c r="F2010" s="45"/>
      <c r="G2010" s="45"/>
    </row>
    <row r="2011" spans="1:7" ht="12" hidden="1" customHeight="1" outlineLevel="4" x14ac:dyDescent="0.2">
      <c r="A2011" s="60" t="s">
        <v>472</v>
      </c>
      <c r="B2011" s="45"/>
      <c r="C2011" s="45"/>
      <c r="D2011" s="45"/>
      <c r="E2011" s="46">
        <v>1610555.08</v>
      </c>
      <c r="F2011" s="45"/>
      <c r="G2011" s="45"/>
    </row>
    <row r="2012" spans="1:7" ht="12" hidden="1" customHeight="1" outlineLevel="3" x14ac:dyDescent="0.2">
      <c r="A2012" s="61" t="s">
        <v>472</v>
      </c>
      <c r="B2012" s="45"/>
      <c r="C2012" s="45"/>
      <c r="D2012" s="45"/>
      <c r="E2012" s="59">
        <v>-501663.94</v>
      </c>
      <c r="F2012" s="45"/>
      <c r="G2012" s="45"/>
    </row>
    <row r="2013" spans="1:7" ht="12" hidden="1" customHeight="1" outlineLevel="4" x14ac:dyDescent="0.2">
      <c r="A2013" s="60" t="s">
        <v>472</v>
      </c>
      <c r="B2013" s="45"/>
      <c r="C2013" s="45"/>
      <c r="D2013" s="45"/>
      <c r="E2013" s="59">
        <v>-501663.94</v>
      </c>
      <c r="F2013" s="45"/>
      <c r="G2013" s="45"/>
    </row>
    <row r="2014" spans="1:7" ht="23.25" hidden="1" customHeight="1" outlineLevel="3" x14ac:dyDescent="0.2">
      <c r="A2014" s="61" t="s">
        <v>393</v>
      </c>
      <c r="B2014" s="45"/>
      <c r="C2014" s="45"/>
      <c r="D2014" s="46">
        <v>854307.92</v>
      </c>
      <c r="E2014" s="45"/>
      <c r="F2014" s="45"/>
      <c r="G2014" s="45"/>
    </row>
    <row r="2015" spans="1:7" ht="12" hidden="1" customHeight="1" outlineLevel="4" x14ac:dyDescent="0.2">
      <c r="A2015" s="60" t="s">
        <v>472</v>
      </c>
      <c r="B2015" s="45"/>
      <c r="C2015" s="45"/>
      <c r="D2015" s="46">
        <v>854307.92</v>
      </c>
      <c r="E2015" s="45"/>
      <c r="F2015" s="45"/>
      <c r="G2015" s="45"/>
    </row>
    <row r="2016" spans="1:7" ht="12" hidden="1" customHeight="1" outlineLevel="3" x14ac:dyDescent="0.2">
      <c r="A2016" s="61" t="s">
        <v>392</v>
      </c>
      <c r="B2016" s="45"/>
      <c r="C2016" s="45"/>
      <c r="D2016" s="46">
        <v>254583.22</v>
      </c>
      <c r="E2016" s="45"/>
      <c r="F2016" s="45"/>
      <c r="G2016" s="45"/>
    </row>
    <row r="2017" spans="1:41" ht="12" hidden="1" customHeight="1" outlineLevel="4" x14ac:dyDescent="0.2">
      <c r="A2017" s="60" t="s">
        <v>472</v>
      </c>
      <c r="B2017" s="45"/>
      <c r="C2017" s="45"/>
      <c r="D2017" s="46">
        <v>254583.22</v>
      </c>
      <c r="E2017" s="45"/>
      <c r="F2017" s="45"/>
      <c r="G2017" s="45"/>
    </row>
    <row r="2018" spans="1:41" ht="12" hidden="1" customHeight="1" outlineLevel="2" collapsed="1" x14ac:dyDescent="0.2">
      <c r="A2018" s="63" t="s">
        <v>476</v>
      </c>
      <c r="B2018" s="62"/>
      <c r="C2018" s="62"/>
      <c r="D2018" s="62"/>
      <c r="E2018" s="62"/>
      <c r="F2018" s="62"/>
      <c r="G2018" s="62"/>
    </row>
    <row r="2019" spans="1:41" ht="12" hidden="1" customHeight="1" outlineLevel="3" x14ac:dyDescent="0.2">
      <c r="A2019" s="61" t="s">
        <v>472</v>
      </c>
      <c r="B2019" s="45"/>
      <c r="C2019" s="45"/>
      <c r="D2019" s="45"/>
      <c r="E2019" s="46">
        <v>41605.67</v>
      </c>
      <c r="F2019" s="45"/>
      <c r="G2019" s="45"/>
    </row>
    <row r="2020" spans="1:41" ht="12" hidden="1" customHeight="1" outlineLevel="4" x14ac:dyDescent="0.2">
      <c r="A2020" s="60" t="s">
        <v>472</v>
      </c>
      <c r="B2020" s="45"/>
      <c r="C2020" s="45"/>
      <c r="D2020" s="45"/>
      <c r="E2020" s="46">
        <v>41605.67</v>
      </c>
      <c r="F2020" s="45"/>
      <c r="G2020" s="45"/>
    </row>
    <row r="2021" spans="1:41" ht="12" hidden="1" customHeight="1" outlineLevel="3" x14ac:dyDescent="0.2">
      <c r="A2021" s="61" t="s">
        <v>472</v>
      </c>
      <c r="B2021" s="45"/>
      <c r="C2021" s="45"/>
      <c r="D2021" s="45"/>
      <c r="E2021" s="59">
        <v>-41605.67</v>
      </c>
      <c r="F2021" s="45"/>
      <c r="G2021" s="45"/>
    </row>
    <row r="2022" spans="1:41" ht="12" hidden="1" customHeight="1" outlineLevel="4" x14ac:dyDescent="0.2">
      <c r="A2022" s="60" t="s">
        <v>472</v>
      </c>
      <c r="B2022" s="45"/>
      <c r="C2022" s="45"/>
      <c r="D2022" s="45"/>
      <c r="E2022" s="59">
        <v>-41605.67</v>
      </c>
      <c r="F2022" s="45"/>
      <c r="G2022" s="45"/>
    </row>
    <row r="2023" spans="1:41" ht="12" hidden="1" customHeight="1" outlineLevel="2" collapsed="1" x14ac:dyDescent="0.2">
      <c r="A2023" s="63" t="s">
        <v>475</v>
      </c>
      <c r="B2023" s="62"/>
      <c r="C2023" s="62"/>
      <c r="D2023" s="62"/>
      <c r="E2023" s="62"/>
      <c r="F2023" s="62"/>
      <c r="G2023" s="62"/>
    </row>
    <row r="2024" spans="1:41" ht="12" hidden="1" customHeight="1" outlineLevel="3" x14ac:dyDescent="0.2">
      <c r="A2024" s="61" t="s">
        <v>472</v>
      </c>
      <c r="B2024" s="45"/>
      <c r="C2024" s="45"/>
      <c r="D2024" s="45"/>
      <c r="E2024" s="46">
        <v>33009.72</v>
      </c>
      <c r="F2024" s="45"/>
      <c r="G2024" s="45"/>
    </row>
    <row r="2025" spans="1:41" ht="12" hidden="1" customHeight="1" outlineLevel="4" x14ac:dyDescent="0.2">
      <c r="A2025" s="60" t="s">
        <v>472</v>
      </c>
      <c r="B2025" s="45"/>
      <c r="C2025" s="45"/>
      <c r="D2025" s="45"/>
      <c r="E2025" s="46">
        <v>33009.72</v>
      </c>
      <c r="F2025" s="45"/>
      <c r="G2025" s="45"/>
    </row>
    <row r="2026" spans="1:41" ht="12" hidden="1" customHeight="1" outlineLevel="3" x14ac:dyDescent="0.2">
      <c r="A2026" s="61" t="s">
        <v>472</v>
      </c>
      <c r="B2026" s="45"/>
      <c r="C2026" s="45"/>
      <c r="D2026" s="45"/>
      <c r="E2026" s="59">
        <v>-33009.72</v>
      </c>
      <c r="F2026" s="45"/>
      <c r="G2026" s="45"/>
    </row>
    <row r="2027" spans="1:41" ht="12" hidden="1" customHeight="1" outlineLevel="4" x14ac:dyDescent="0.2">
      <c r="A2027" s="60" t="s">
        <v>472</v>
      </c>
      <c r="B2027" s="45"/>
      <c r="C2027" s="45"/>
      <c r="D2027" s="45"/>
      <c r="E2027" s="59">
        <v>-33009.72</v>
      </c>
      <c r="F2027" s="45"/>
      <c r="G2027" s="45"/>
    </row>
    <row r="2028" spans="1:41" ht="12" customHeight="1" outlineLevel="1" collapsed="1" x14ac:dyDescent="0.2">
      <c r="A2028" s="79" t="s">
        <v>499</v>
      </c>
      <c r="B2028" s="48"/>
      <c r="C2028" s="48"/>
      <c r="D2028" s="49">
        <v>9957369.5800000001</v>
      </c>
      <c r="E2028" s="49">
        <v>9957369.5800000001</v>
      </c>
      <c r="F2028" s="48"/>
      <c r="G2028" s="48"/>
      <c r="AO2028" s="78" t="s">
        <v>832</v>
      </c>
    </row>
    <row r="2029" spans="1:41" ht="12" hidden="1" customHeight="1" outlineLevel="2" collapsed="1" x14ac:dyDescent="0.2">
      <c r="A2029" s="63" t="s">
        <v>477</v>
      </c>
      <c r="B2029" s="62"/>
      <c r="C2029" s="62"/>
      <c r="D2029" s="64">
        <v>9957369.5800000001</v>
      </c>
      <c r="E2029" s="64">
        <v>9957369.5800000001</v>
      </c>
      <c r="F2029" s="62"/>
      <c r="G2029" s="62"/>
    </row>
    <row r="2030" spans="1:41" ht="12" hidden="1" customHeight="1" outlineLevel="3" x14ac:dyDescent="0.2">
      <c r="A2030" s="61" t="s">
        <v>472</v>
      </c>
      <c r="B2030" s="45"/>
      <c r="C2030" s="45"/>
      <c r="D2030" s="45"/>
      <c r="E2030" s="46">
        <v>9957369.5800000001</v>
      </c>
      <c r="F2030" s="45"/>
      <c r="G2030" s="45"/>
    </row>
    <row r="2031" spans="1:41" ht="12" hidden="1" customHeight="1" outlineLevel="4" x14ac:dyDescent="0.2">
      <c r="A2031" s="60" t="s">
        <v>472</v>
      </c>
      <c r="B2031" s="45"/>
      <c r="C2031" s="45"/>
      <c r="D2031" s="45"/>
      <c r="E2031" s="46">
        <v>9957369.5800000001</v>
      </c>
      <c r="F2031" s="45"/>
      <c r="G2031" s="45"/>
    </row>
    <row r="2032" spans="1:41" ht="12" hidden="1" customHeight="1" outlineLevel="3" x14ac:dyDescent="0.2">
      <c r="A2032" s="61" t="s">
        <v>498</v>
      </c>
      <c r="B2032" s="45"/>
      <c r="C2032" s="45"/>
      <c r="D2032" s="46">
        <v>15108.12</v>
      </c>
      <c r="E2032" s="45"/>
      <c r="F2032" s="45"/>
      <c r="G2032" s="45"/>
    </row>
    <row r="2033" spans="1:7" ht="12" hidden="1" customHeight="1" outlineLevel="4" x14ac:dyDescent="0.2">
      <c r="A2033" s="60" t="s">
        <v>472</v>
      </c>
      <c r="B2033" s="45"/>
      <c r="C2033" s="45"/>
      <c r="D2033" s="46">
        <v>15108.12</v>
      </c>
      <c r="E2033" s="45"/>
      <c r="F2033" s="45"/>
      <c r="G2033" s="45"/>
    </row>
    <row r="2034" spans="1:7" ht="12" hidden="1" customHeight="1" outlineLevel="3" x14ac:dyDescent="0.2">
      <c r="A2034" s="61" t="s">
        <v>497</v>
      </c>
      <c r="B2034" s="45"/>
      <c r="C2034" s="45"/>
      <c r="D2034" s="46">
        <v>41317.01</v>
      </c>
      <c r="E2034" s="45"/>
      <c r="F2034" s="45"/>
      <c r="G2034" s="45"/>
    </row>
    <row r="2035" spans="1:7" ht="12" hidden="1" customHeight="1" outlineLevel="4" x14ac:dyDescent="0.2">
      <c r="A2035" s="60" t="s">
        <v>472</v>
      </c>
      <c r="B2035" s="45"/>
      <c r="C2035" s="45"/>
      <c r="D2035" s="46">
        <v>41317.01</v>
      </c>
      <c r="E2035" s="45"/>
      <c r="F2035" s="45"/>
      <c r="G2035" s="45"/>
    </row>
    <row r="2036" spans="1:7" ht="12" hidden="1" customHeight="1" outlineLevel="3" x14ac:dyDescent="0.2">
      <c r="A2036" s="61" t="s">
        <v>496</v>
      </c>
      <c r="B2036" s="45"/>
      <c r="C2036" s="45"/>
      <c r="D2036" s="46">
        <v>7634742.2599999998</v>
      </c>
      <c r="E2036" s="45"/>
      <c r="F2036" s="45"/>
      <c r="G2036" s="45"/>
    </row>
    <row r="2037" spans="1:7" ht="12" hidden="1" customHeight="1" outlineLevel="4" x14ac:dyDescent="0.2">
      <c r="A2037" s="60" t="s">
        <v>472</v>
      </c>
      <c r="B2037" s="45"/>
      <c r="C2037" s="45"/>
      <c r="D2037" s="46">
        <v>7634742.2599999998</v>
      </c>
      <c r="E2037" s="45"/>
      <c r="F2037" s="45"/>
      <c r="G2037" s="45"/>
    </row>
    <row r="2038" spans="1:7" ht="12" hidden="1" customHeight="1" outlineLevel="3" x14ac:dyDescent="0.2">
      <c r="A2038" s="61" t="s">
        <v>392</v>
      </c>
      <c r="B2038" s="45"/>
      <c r="C2038" s="45"/>
      <c r="D2038" s="46">
        <v>2266202.19</v>
      </c>
      <c r="E2038" s="45"/>
      <c r="F2038" s="45"/>
      <c r="G2038" s="45"/>
    </row>
    <row r="2039" spans="1:7" ht="12" hidden="1" customHeight="1" outlineLevel="4" x14ac:dyDescent="0.2">
      <c r="A2039" s="60" t="s">
        <v>472</v>
      </c>
      <c r="B2039" s="45"/>
      <c r="C2039" s="45"/>
      <c r="D2039" s="46">
        <v>2266202.19</v>
      </c>
      <c r="E2039" s="45"/>
      <c r="F2039" s="45"/>
      <c r="G2039" s="45"/>
    </row>
    <row r="2040" spans="1:7" ht="12" customHeight="1" outlineLevel="1" collapsed="1" x14ac:dyDescent="0.2">
      <c r="A2040" s="79" t="s">
        <v>391</v>
      </c>
      <c r="B2040" s="48"/>
      <c r="C2040" s="48"/>
      <c r="D2040" s="49">
        <v>779234.48</v>
      </c>
      <c r="E2040" s="49">
        <v>779234.48</v>
      </c>
      <c r="F2040" s="48"/>
      <c r="G2040" s="48"/>
    </row>
    <row r="2041" spans="1:7" ht="12" hidden="1" customHeight="1" outlineLevel="2" collapsed="1" x14ac:dyDescent="0.2">
      <c r="A2041" s="63" t="s">
        <v>30</v>
      </c>
      <c r="B2041" s="62"/>
      <c r="C2041" s="62"/>
      <c r="D2041" s="62"/>
      <c r="E2041" s="62"/>
      <c r="F2041" s="62"/>
      <c r="G2041" s="62"/>
    </row>
    <row r="2042" spans="1:7" ht="12" hidden="1" customHeight="1" outlineLevel="3" x14ac:dyDescent="0.2">
      <c r="A2042" s="61" t="s">
        <v>472</v>
      </c>
      <c r="B2042" s="45"/>
      <c r="C2042" s="45"/>
      <c r="D2042" s="45"/>
      <c r="E2042" s="46">
        <v>18810.599999999999</v>
      </c>
      <c r="F2042" s="45"/>
      <c r="G2042" s="45"/>
    </row>
    <row r="2043" spans="1:7" ht="12" hidden="1" customHeight="1" outlineLevel="4" x14ac:dyDescent="0.2">
      <c r="A2043" s="60" t="s">
        <v>472</v>
      </c>
      <c r="B2043" s="45"/>
      <c r="C2043" s="45"/>
      <c r="D2043" s="45"/>
      <c r="E2043" s="46">
        <v>18810.599999999999</v>
      </c>
      <c r="F2043" s="45"/>
      <c r="G2043" s="45"/>
    </row>
    <row r="2044" spans="1:7" ht="12" hidden="1" customHeight="1" outlineLevel="3" x14ac:dyDescent="0.2">
      <c r="A2044" s="61" t="s">
        <v>472</v>
      </c>
      <c r="B2044" s="45"/>
      <c r="C2044" s="45"/>
      <c r="D2044" s="45"/>
      <c r="E2044" s="59">
        <v>-18810.599999999999</v>
      </c>
      <c r="F2044" s="45"/>
      <c r="G2044" s="45"/>
    </row>
    <row r="2045" spans="1:7" ht="12" hidden="1" customHeight="1" outlineLevel="4" x14ac:dyDescent="0.2">
      <c r="A2045" s="60" t="s">
        <v>472</v>
      </c>
      <c r="B2045" s="45"/>
      <c r="C2045" s="45"/>
      <c r="D2045" s="45"/>
      <c r="E2045" s="59">
        <v>-18810.599999999999</v>
      </c>
      <c r="F2045" s="45"/>
      <c r="G2045" s="45"/>
    </row>
    <row r="2046" spans="1:7" ht="12" hidden="1" customHeight="1" outlineLevel="2" collapsed="1" x14ac:dyDescent="0.2">
      <c r="A2046" s="63" t="s">
        <v>479</v>
      </c>
      <c r="B2046" s="62"/>
      <c r="C2046" s="62"/>
      <c r="D2046" s="62"/>
      <c r="E2046" s="62"/>
      <c r="F2046" s="62"/>
      <c r="G2046" s="62"/>
    </row>
    <row r="2047" spans="1:7" ht="12" hidden="1" customHeight="1" outlineLevel="3" x14ac:dyDescent="0.2">
      <c r="A2047" s="61" t="s">
        <v>472</v>
      </c>
      <c r="B2047" s="45"/>
      <c r="C2047" s="45"/>
      <c r="D2047" s="45"/>
      <c r="E2047" s="46">
        <v>38099.85</v>
      </c>
      <c r="F2047" s="45"/>
      <c r="G2047" s="45"/>
    </row>
    <row r="2048" spans="1:7" ht="12" hidden="1" customHeight="1" outlineLevel="4" x14ac:dyDescent="0.2">
      <c r="A2048" s="60" t="s">
        <v>472</v>
      </c>
      <c r="B2048" s="45"/>
      <c r="C2048" s="45"/>
      <c r="D2048" s="45"/>
      <c r="E2048" s="46">
        <v>38099.85</v>
      </c>
      <c r="F2048" s="45"/>
      <c r="G2048" s="45"/>
    </row>
    <row r="2049" spans="1:7" ht="12" hidden="1" customHeight="1" outlineLevel="3" x14ac:dyDescent="0.2">
      <c r="A2049" s="61" t="s">
        <v>472</v>
      </c>
      <c r="B2049" s="45"/>
      <c r="C2049" s="45"/>
      <c r="D2049" s="45"/>
      <c r="E2049" s="59">
        <v>-38099.85</v>
      </c>
      <c r="F2049" s="45"/>
      <c r="G2049" s="45"/>
    </row>
    <row r="2050" spans="1:7" ht="12" hidden="1" customHeight="1" outlineLevel="4" x14ac:dyDescent="0.2">
      <c r="A2050" s="60" t="s">
        <v>472</v>
      </c>
      <c r="B2050" s="45"/>
      <c r="C2050" s="45"/>
      <c r="D2050" s="45"/>
      <c r="E2050" s="59">
        <v>-38099.85</v>
      </c>
      <c r="F2050" s="45"/>
      <c r="G2050" s="45"/>
    </row>
    <row r="2051" spans="1:7" ht="12" hidden="1" customHeight="1" outlineLevel="2" collapsed="1" x14ac:dyDescent="0.2">
      <c r="A2051" s="63" t="s">
        <v>478</v>
      </c>
      <c r="B2051" s="62"/>
      <c r="C2051" s="62"/>
      <c r="D2051" s="62"/>
      <c r="E2051" s="62"/>
      <c r="F2051" s="62"/>
      <c r="G2051" s="62"/>
    </row>
    <row r="2052" spans="1:7" ht="12" hidden="1" customHeight="1" outlineLevel="3" x14ac:dyDescent="0.2">
      <c r="A2052" s="61" t="s">
        <v>472</v>
      </c>
      <c r="B2052" s="45"/>
      <c r="C2052" s="45"/>
      <c r="D2052" s="45"/>
      <c r="E2052" s="66">
        <v>6.16</v>
      </c>
      <c r="F2052" s="45"/>
      <c r="G2052" s="45"/>
    </row>
    <row r="2053" spans="1:7" ht="12" hidden="1" customHeight="1" outlineLevel="4" x14ac:dyDescent="0.2">
      <c r="A2053" s="60" t="s">
        <v>472</v>
      </c>
      <c r="B2053" s="45"/>
      <c r="C2053" s="45"/>
      <c r="D2053" s="45"/>
      <c r="E2053" s="66">
        <v>6.16</v>
      </c>
      <c r="F2053" s="45"/>
      <c r="G2053" s="45"/>
    </row>
    <row r="2054" spans="1:7" ht="12" hidden="1" customHeight="1" outlineLevel="3" x14ac:dyDescent="0.2">
      <c r="A2054" s="61" t="s">
        <v>472</v>
      </c>
      <c r="B2054" s="45"/>
      <c r="C2054" s="45"/>
      <c r="D2054" s="45"/>
      <c r="E2054" s="65">
        <v>-6.16</v>
      </c>
      <c r="F2054" s="45"/>
      <c r="G2054" s="45"/>
    </row>
    <row r="2055" spans="1:7" ht="12" hidden="1" customHeight="1" outlineLevel="4" x14ac:dyDescent="0.2">
      <c r="A2055" s="60" t="s">
        <v>472</v>
      </c>
      <c r="B2055" s="45"/>
      <c r="C2055" s="45"/>
      <c r="D2055" s="45"/>
      <c r="E2055" s="65">
        <v>-6.16</v>
      </c>
      <c r="F2055" s="45"/>
      <c r="G2055" s="45"/>
    </row>
    <row r="2056" spans="1:7" ht="12" hidden="1" customHeight="1" outlineLevel="2" collapsed="1" x14ac:dyDescent="0.2">
      <c r="A2056" s="63" t="s">
        <v>32</v>
      </c>
      <c r="B2056" s="62"/>
      <c r="C2056" s="62"/>
      <c r="D2056" s="62"/>
      <c r="E2056" s="62"/>
      <c r="F2056" s="62"/>
      <c r="G2056" s="62"/>
    </row>
    <row r="2057" spans="1:7" ht="12" hidden="1" customHeight="1" outlineLevel="3" x14ac:dyDescent="0.2">
      <c r="A2057" s="61" t="s">
        <v>472</v>
      </c>
      <c r="B2057" s="45"/>
      <c r="C2057" s="45"/>
      <c r="D2057" s="45"/>
      <c r="E2057" s="46">
        <v>61403.040000000001</v>
      </c>
      <c r="F2057" s="45"/>
      <c r="G2057" s="45"/>
    </row>
    <row r="2058" spans="1:7" ht="12" hidden="1" customHeight="1" outlineLevel="4" x14ac:dyDescent="0.2">
      <c r="A2058" s="60" t="s">
        <v>472</v>
      </c>
      <c r="B2058" s="45"/>
      <c r="C2058" s="45"/>
      <c r="D2058" s="45"/>
      <c r="E2058" s="46">
        <v>61403.040000000001</v>
      </c>
      <c r="F2058" s="45"/>
      <c r="G2058" s="45"/>
    </row>
    <row r="2059" spans="1:7" ht="12" hidden="1" customHeight="1" outlineLevel="3" x14ac:dyDescent="0.2">
      <c r="A2059" s="61" t="s">
        <v>472</v>
      </c>
      <c r="B2059" s="45"/>
      <c r="C2059" s="45"/>
      <c r="D2059" s="45"/>
      <c r="E2059" s="59">
        <v>-61403.040000000001</v>
      </c>
      <c r="F2059" s="45"/>
      <c r="G2059" s="45"/>
    </row>
    <row r="2060" spans="1:7" ht="12" hidden="1" customHeight="1" outlineLevel="4" x14ac:dyDescent="0.2">
      <c r="A2060" s="60" t="s">
        <v>472</v>
      </c>
      <c r="B2060" s="45"/>
      <c r="C2060" s="45"/>
      <c r="D2060" s="45"/>
      <c r="E2060" s="59">
        <v>-61403.040000000001</v>
      </c>
      <c r="F2060" s="45"/>
      <c r="G2060" s="45"/>
    </row>
    <row r="2061" spans="1:7" ht="12" hidden="1" customHeight="1" outlineLevel="2" collapsed="1" x14ac:dyDescent="0.2">
      <c r="A2061" s="63" t="s">
        <v>477</v>
      </c>
      <c r="B2061" s="62"/>
      <c r="C2061" s="62"/>
      <c r="D2061" s="64">
        <v>779234.48</v>
      </c>
      <c r="E2061" s="64">
        <v>779234.48</v>
      </c>
      <c r="F2061" s="62"/>
      <c r="G2061" s="62"/>
    </row>
    <row r="2062" spans="1:7" ht="12" hidden="1" customHeight="1" outlineLevel="3" x14ac:dyDescent="0.2">
      <c r="A2062" s="61" t="s">
        <v>472</v>
      </c>
      <c r="B2062" s="45"/>
      <c r="C2062" s="45"/>
      <c r="D2062" s="45"/>
      <c r="E2062" s="46">
        <v>1104152.55</v>
      </c>
      <c r="F2062" s="45"/>
      <c r="G2062" s="45"/>
    </row>
    <row r="2063" spans="1:7" ht="12" hidden="1" customHeight="1" outlineLevel="4" x14ac:dyDescent="0.2">
      <c r="A2063" s="60" t="s">
        <v>472</v>
      </c>
      <c r="B2063" s="45"/>
      <c r="C2063" s="45"/>
      <c r="D2063" s="45"/>
      <c r="E2063" s="46">
        <v>1104152.55</v>
      </c>
      <c r="F2063" s="45"/>
      <c r="G2063" s="45"/>
    </row>
    <row r="2064" spans="1:7" ht="12" hidden="1" customHeight="1" outlineLevel="3" x14ac:dyDescent="0.2">
      <c r="A2064" s="61" t="s">
        <v>472</v>
      </c>
      <c r="B2064" s="45"/>
      <c r="C2064" s="45"/>
      <c r="D2064" s="45"/>
      <c r="E2064" s="59">
        <v>-324918.07</v>
      </c>
      <c r="F2064" s="45"/>
      <c r="G2064" s="45"/>
    </row>
    <row r="2065" spans="1:10" ht="12" hidden="1" customHeight="1" outlineLevel="4" x14ac:dyDescent="0.2">
      <c r="A2065" s="60" t="s">
        <v>472</v>
      </c>
      <c r="B2065" s="45"/>
      <c r="C2065" s="45"/>
      <c r="D2065" s="45"/>
      <c r="E2065" s="59">
        <v>-324918.07</v>
      </c>
      <c r="F2065" s="45"/>
      <c r="G2065" s="45"/>
    </row>
    <row r="2066" spans="1:10" ht="23.25" hidden="1" customHeight="1" outlineLevel="3" collapsed="1" x14ac:dyDescent="0.2">
      <c r="A2066" s="61" t="s">
        <v>403</v>
      </c>
      <c r="B2066" s="45"/>
      <c r="C2066" s="45"/>
      <c r="D2066" s="83">
        <v>75473.95</v>
      </c>
      <c r="E2066" s="45"/>
      <c r="F2066" s="45"/>
      <c r="G2066" s="45"/>
      <c r="J2066" s="41" t="s">
        <v>833</v>
      </c>
    </row>
    <row r="2067" spans="1:10" ht="12" hidden="1" customHeight="1" outlineLevel="4" x14ac:dyDescent="0.2">
      <c r="A2067" s="60" t="s">
        <v>495</v>
      </c>
      <c r="B2067" s="45"/>
      <c r="C2067" s="45"/>
      <c r="D2067" s="46">
        <v>75473.95</v>
      </c>
      <c r="E2067" s="45"/>
      <c r="F2067" s="45"/>
      <c r="G2067" s="45"/>
    </row>
    <row r="2068" spans="1:10" ht="12" hidden="1" customHeight="1" outlineLevel="3" collapsed="1" x14ac:dyDescent="0.2">
      <c r="A2068" s="61" t="s">
        <v>390</v>
      </c>
      <c r="B2068" s="45"/>
      <c r="C2068" s="45"/>
      <c r="D2068" s="83">
        <v>589503.88</v>
      </c>
      <c r="E2068" s="45"/>
      <c r="F2068" s="45"/>
      <c r="G2068" s="45"/>
      <c r="J2068" s="41" t="s">
        <v>833</v>
      </c>
    </row>
    <row r="2069" spans="1:10" ht="12" hidden="1" customHeight="1" outlineLevel="4" x14ac:dyDescent="0.2">
      <c r="A2069" s="60" t="s">
        <v>472</v>
      </c>
      <c r="B2069" s="45"/>
      <c r="C2069" s="45"/>
      <c r="D2069" s="46">
        <v>589503.88</v>
      </c>
      <c r="E2069" s="45"/>
      <c r="F2069" s="45"/>
      <c r="G2069" s="45"/>
    </row>
    <row r="2070" spans="1:10" ht="23.25" hidden="1" customHeight="1" outlineLevel="3" x14ac:dyDescent="0.2">
      <c r="A2070" s="61" t="s">
        <v>494</v>
      </c>
      <c r="B2070" s="45"/>
      <c r="C2070" s="45"/>
      <c r="D2070" s="83">
        <v>114256.65</v>
      </c>
      <c r="E2070" s="45"/>
      <c r="F2070" s="45"/>
      <c r="G2070" s="45"/>
    </row>
    <row r="2071" spans="1:10" ht="12" hidden="1" customHeight="1" outlineLevel="4" x14ac:dyDescent="0.2">
      <c r="A2071" s="60" t="s">
        <v>493</v>
      </c>
      <c r="B2071" s="45"/>
      <c r="C2071" s="45"/>
      <c r="D2071" s="46">
        <v>2586.66</v>
      </c>
      <c r="E2071" s="45"/>
      <c r="F2071" s="45"/>
      <c r="G2071" s="45"/>
      <c r="J2071" s="73" t="s">
        <v>90</v>
      </c>
    </row>
    <row r="2072" spans="1:10" ht="12" hidden="1" customHeight="1" outlineLevel="4" x14ac:dyDescent="0.2">
      <c r="A2072" s="60" t="s">
        <v>492</v>
      </c>
      <c r="B2072" s="45"/>
      <c r="C2072" s="45"/>
      <c r="D2072" s="46">
        <v>2378.33</v>
      </c>
      <c r="E2072" s="45"/>
      <c r="F2072" s="45"/>
      <c r="G2072" s="45"/>
      <c r="J2072" s="73" t="s">
        <v>175</v>
      </c>
    </row>
    <row r="2073" spans="1:10" ht="12" hidden="1" customHeight="1" outlineLevel="4" x14ac:dyDescent="0.2">
      <c r="A2073" s="60" t="s">
        <v>491</v>
      </c>
      <c r="B2073" s="45"/>
      <c r="C2073" s="45"/>
      <c r="D2073" s="46">
        <v>2575</v>
      </c>
      <c r="E2073" s="45"/>
      <c r="F2073" s="45"/>
      <c r="G2073" s="45"/>
      <c r="J2073" s="73" t="s">
        <v>176</v>
      </c>
    </row>
    <row r="2074" spans="1:10" ht="12" hidden="1" customHeight="1" outlineLevel="4" x14ac:dyDescent="0.2">
      <c r="A2074" s="60" t="s">
        <v>490</v>
      </c>
      <c r="B2074" s="45"/>
      <c r="C2074" s="45"/>
      <c r="D2074" s="46">
        <v>4756.67</v>
      </c>
      <c r="E2074" s="45"/>
      <c r="F2074" s="45"/>
      <c r="G2074" s="45"/>
      <c r="J2074" s="73" t="s">
        <v>178</v>
      </c>
    </row>
    <row r="2075" spans="1:10" ht="12" hidden="1" customHeight="1" outlineLevel="4" x14ac:dyDescent="0.2">
      <c r="A2075" s="60" t="s">
        <v>489</v>
      </c>
      <c r="B2075" s="45"/>
      <c r="C2075" s="45"/>
      <c r="D2075" s="46">
        <v>5675.01</v>
      </c>
      <c r="E2075" s="45"/>
      <c r="F2075" s="45"/>
      <c r="G2075" s="45"/>
      <c r="J2075" s="74" t="s">
        <v>179</v>
      </c>
    </row>
    <row r="2076" spans="1:10" ht="12" hidden="1" customHeight="1" outlineLevel="4" x14ac:dyDescent="0.2">
      <c r="A2076" s="60" t="s">
        <v>488</v>
      </c>
      <c r="B2076" s="45"/>
      <c r="C2076" s="45"/>
      <c r="D2076" s="46">
        <v>4756.66</v>
      </c>
      <c r="E2076" s="45"/>
      <c r="F2076" s="45"/>
      <c r="G2076" s="45"/>
      <c r="J2076" s="73" t="s">
        <v>180</v>
      </c>
    </row>
    <row r="2077" spans="1:10" ht="12" hidden="1" customHeight="1" outlineLevel="4" x14ac:dyDescent="0.2">
      <c r="A2077" s="60" t="s">
        <v>487</v>
      </c>
      <c r="B2077" s="45"/>
      <c r="C2077" s="45"/>
      <c r="D2077" s="46">
        <v>2713.33</v>
      </c>
      <c r="E2077" s="45"/>
      <c r="F2077" s="45"/>
      <c r="G2077" s="45"/>
      <c r="J2077" s="73" t="s">
        <v>125</v>
      </c>
    </row>
    <row r="2078" spans="1:10" ht="12" hidden="1" customHeight="1" outlineLevel="4" x14ac:dyDescent="0.2">
      <c r="A2078" s="60" t="s">
        <v>486</v>
      </c>
      <c r="B2078" s="45"/>
      <c r="C2078" s="45"/>
      <c r="D2078" s="46">
        <v>2586.67</v>
      </c>
      <c r="E2078" s="45"/>
      <c r="F2078" s="45"/>
      <c r="G2078" s="45"/>
      <c r="J2078" s="73" t="s">
        <v>124</v>
      </c>
    </row>
    <row r="2079" spans="1:10" ht="12" hidden="1" customHeight="1" outlineLevel="4" x14ac:dyDescent="0.2">
      <c r="A2079" s="60" t="s">
        <v>485</v>
      </c>
      <c r="B2079" s="45"/>
      <c r="C2079" s="45"/>
      <c r="D2079" s="46">
        <v>1889.99</v>
      </c>
      <c r="E2079" s="45"/>
      <c r="F2079" s="45"/>
      <c r="G2079" s="45"/>
      <c r="J2079" s="73" t="s">
        <v>181</v>
      </c>
    </row>
    <row r="2080" spans="1:10" ht="23.25" hidden="1" customHeight="1" outlineLevel="4" x14ac:dyDescent="0.2">
      <c r="A2080" s="60" t="s">
        <v>484</v>
      </c>
      <c r="B2080" s="45"/>
      <c r="C2080" s="45"/>
      <c r="D2080" s="46">
        <v>2713.33</v>
      </c>
      <c r="E2080" s="45"/>
      <c r="F2080" s="45"/>
      <c r="G2080" s="45"/>
      <c r="J2080" s="73" t="s">
        <v>248</v>
      </c>
    </row>
    <row r="2081" spans="1:10" ht="23.25" hidden="1" customHeight="1" outlineLevel="4" x14ac:dyDescent="0.2">
      <c r="A2081" s="60" t="s">
        <v>483</v>
      </c>
      <c r="B2081" s="45"/>
      <c r="C2081" s="45"/>
      <c r="D2081" s="46">
        <v>28875</v>
      </c>
      <c r="E2081" s="45"/>
      <c r="F2081" s="45"/>
      <c r="G2081" s="45"/>
      <c r="J2081" s="73" t="s">
        <v>249</v>
      </c>
    </row>
    <row r="2082" spans="1:10" ht="23.25" hidden="1" customHeight="1" outlineLevel="4" x14ac:dyDescent="0.2">
      <c r="A2082" s="60" t="s">
        <v>482</v>
      </c>
      <c r="B2082" s="45"/>
      <c r="C2082" s="45"/>
      <c r="D2082" s="46">
        <v>28875</v>
      </c>
      <c r="E2082" s="45"/>
      <c r="F2082" s="45"/>
      <c r="G2082" s="45"/>
      <c r="J2082" s="73" t="s">
        <v>250</v>
      </c>
    </row>
    <row r="2083" spans="1:10" ht="23.25" hidden="1" customHeight="1" outlineLevel="4" x14ac:dyDescent="0.2">
      <c r="A2083" s="60" t="s">
        <v>481</v>
      </c>
      <c r="B2083" s="45"/>
      <c r="C2083" s="45"/>
      <c r="D2083" s="46">
        <v>23875</v>
      </c>
      <c r="E2083" s="45"/>
      <c r="F2083" s="45"/>
      <c r="G2083" s="45"/>
      <c r="J2083" s="73" t="s">
        <v>252</v>
      </c>
    </row>
    <row r="2084" spans="1:10" ht="12" hidden="1" customHeight="1" outlineLevel="2" collapsed="1" x14ac:dyDescent="0.2">
      <c r="A2084" s="63" t="s">
        <v>476</v>
      </c>
      <c r="B2084" s="62"/>
      <c r="C2084" s="62"/>
      <c r="D2084" s="62"/>
      <c r="E2084" s="62"/>
      <c r="F2084" s="62"/>
      <c r="G2084" s="62"/>
    </row>
    <row r="2085" spans="1:10" ht="12" hidden="1" customHeight="1" outlineLevel="3" x14ac:dyDescent="0.2">
      <c r="A2085" s="61" t="s">
        <v>472</v>
      </c>
      <c r="B2085" s="45"/>
      <c r="C2085" s="45"/>
      <c r="D2085" s="45"/>
      <c r="E2085" s="46">
        <v>10632.72</v>
      </c>
      <c r="F2085" s="45"/>
      <c r="G2085" s="45"/>
    </row>
    <row r="2086" spans="1:10" ht="12" hidden="1" customHeight="1" outlineLevel="4" x14ac:dyDescent="0.2">
      <c r="A2086" s="60" t="s">
        <v>472</v>
      </c>
      <c r="B2086" s="45"/>
      <c r="C2086" s="45"/>
      <c r="D2086" s="45"/>
      <c r="E2086" s="46">
        <v>10632.72</v>
      </c>
      <c r="F2086" s="45"/>
      <c r="G2086" s="45"/>
    </row>
    <row r="2087" spans="1:10" ht="12" hidden="1" customHeight="1" outlineLevel="3" x14ac:dyDescent="0.2">
      <c r="A2087" s="61" t="s">
        <v>472</v>
      </c>
      <c r="B2087" s="45"/>
      <c r="C2087" s="45"/>
      <c r="D2087" s="45"/>
      <c r="E2087" s="59">
        <v>-10632.72</v>
      </c>
      <c r="F2087" s="45"/>
      <c r="G2087" s="45"/>
    </row>
    <row r="2088" spans="1:10" ht="12" hidden="1" customHeight="1" outlineLevel="4" x14ac:dyDescent="0.2">
      <c r="A2088" s="60" t="s">
        <v>472</v>
      </c>
      <c r="B2088" s="45"/>
      <c r="C2088" s="45"/>
      <c r="D2088" s="45"/>
      <c r="E2088" s="59">
        <v>-10632.72</v>
      </c>
      <c r="F2088" s="45"/>
      <c r="G2088" s="45"/>
    </row>
    <row r="2089" spans="1:10" ht="12" hidden="1" customHeight="1" outlineLevel="2" collapsed="1" x14ac:dyDescent="0.2">
      <c r="A2089" s="63" t="s">
        <v>475</v>
      </c>
      <c r="B2089" s="62"/>
      <c r="C2089" s="62"/>
      <c r="D2089" s="62"/>
      <c r="E2089" s="62"/>
      <c r="F2089" s="62"/>
      <c r="G2089" s="62"/>
    </row>
    <row r="2090" spans="1:10" ht="12" hidden="1" customHeight="1" outlineLevel="3" x14ac:dyDescent="0.2">
      <c r="A2090" s="61" t="s">
        <v>472</v>
      </c>
      <c r="B2090" s="45"/>
      <c r="C2090" s="45"/>
      <c r="D2090" s="45"/>
      <c r="E2090" s="46">
        <v>8602.0400000000009</v>
      </c>
      <c r="F2090" s="45"/>
      <c r="G2090" s="45"/>
    </row>
    <row r="2091" spans="1:10" ht="12" hidden="1" customHeight="1" outlineLevel="4" x14ac:dyDescent="0.2">
      <c r="A2091" s="60" t="s">
        <v>472</v>
      </c>
      <c r="B2091" s="45"/>
      <c r="C2091" s="45"/>
      <c r="D2091" s="45"/>
      <c r="E2091" s="46">
        <v>8602.0400000000009</v>
      </c>
      <c r="F2091" s="45"/>
      <c r="G2091" s="45"/>
    </row>
    <row r="2092" spans="1:10" ht="12" hidden="1" customHeight="1" outlineLevel="3" x14ac:dyDescent="0.2">
      <c r="A2092" s="61" t="s">
        <v>472</v>
      </c>
      <c r="B2092" s="45"/>
      <c r="C2092" s="45"/>
      <c r="D2092" s="45"/>
      <c r="E2092" s="59">
        <v>-8602.0400000000009</v>
      </c>
      <c r="F2092" s="45"/>
      <c r="G2092" s="45"/>
    </row>
    <row r="2093" spans="1:10" ht="12" hidden="1" customHeight="1" outlineLevel="4" x14ac:dyDescent="0.2">
      <c r="A2093" s="60" t="s">
        <v>472</v>
      </c>
      <c r="B2093" s="45"/>
      <c r="C2093" s="45"/>
      <c r="D2093" s="45"/>
      <c r="E2093" s="59">
        <v>-8602.0400000000009</v>
      </c>
      <c r="F2093" s="45"/>
      <c r="G2093" s="45"/>
    </row>
    <row r="2094" spans="1:10" ht="12" customHeight="1" outlineLevel="1" collapsed="1" x14ac:dyDescent="0.2">
      <c r="A2094" s="79" t="s">
        <v>389</v>
      </c>
      <c r="B2094" s="48"/>
      <c r="C2094" s="48"/>
      <c r="D2094" s="49">
        <v>73492.23</v>
      </c>
      <c r="E2094" s="49">
        <v>73492.23</v>
      </c>
      <c r="F2094" s="48"/>
      <c r="G2094" s="48"/>
      <c r="H2094" s="41" t="s">
        <v>340</v>
      </c>
    </row>
    <row r="2095" spans="1:10" ht="12" hidden="1" customHeight="1" outlineLevel="2" collapsed="1" x14ac:dyDescent="0.2">
      <c r="A2095" s="63" t="s">
        <v>480</v>
      </c>
      <c r="B2095" s="62"/>
      <c r="C2095" s="62"/>
      <c r="D2095" s="62"/>
      <c r="E2095" s="62"/>
      <c r="F2095" s="62"/>
      <c r="G2095" s="62"/>
    </row>
    <row r="2096" spans="1:10" ht="12" hidden="1" customHeight="1" outlineLevel="3" x14ac:dyDescent="0.2">
      <c r="A2096" s="61" t="s">
        <v>472</v>
      </c>
      <c r="B2096" s="45"/>
      <c r="C2096" s="45"/>
      <c r="D2096" s="45"/>
      <c r="E2096" s="66">
        <v>0.11</v>
      </c>
      <c r="F2096" s="45"/>
      <c r="G2096" s="45"/>
    </row>
    <row r="2097" spans="1:7" ht="12" hidden="1" customHeight="1" outlineLevel="4" x14ac:dyDescent="0.2">
      <c r="A2097" s="60" t="s">
        <v>472</v>
      </c>
      <c r="B2097" s="45"/>
      <c r="C2097" s="45"/>
      <c r="D2097" s="45"/>
      <c r="E2097" s="66">
        <v>0.11</v>
      </c>
      <c r="F2097" s="45"/>
      <c r="G2097" s="45"/>
    </row>
    <row r="2098" spans="1:7" ht="12" hidden="1" customHeight="1" outlineLevel="3" x14ac:dyDescent="0.2">
      <c r="A2098" s="61" t="s">
        <v>472</v>
      </c>
      <c r="B2098" s="45"/>
      <c r="C2098" s="45"/>
      <c r="D2098" s="45"/>
      <c r="E2098" s="65">
        <v>-0.11</v>
      </c>
      <c r="F2098" s="45"/>
      <c r="G2098" s="45"/>
    </row>
    <row r="2099" spans="1:7" ht="12" hidden="1" customHeight="1" outlineLevel="4" x14ac:dyDescent="0.2">
      <c r="A2099" s="60" t="s">
        <v>472</v>
      </c>
      <c r="B2099" s="45"/>
      <c r="C2099" s="45"/>
      <c r="D2099" s="45"/>
      <c r="E2099" s="65">
        <v>-0.11</v>
      </c>
      <c r="F2099" s="45"/>
      <c r="G2099" s="45"/>
    </row>
    <row r="2100" spans="1:7" ht="12" hidden="1" customHeight="1" outlineLevel="2" collapsed="1" x14ac:dyDescent="0.2">
      <c r="A2100" s="63" t="s">
        <v>30</v>
      </c>
      <c r="B2100" s="62"/>
      <c r="C2100" s="62"/>
      <c r="D2100" s="62"/>
      <c r="E2100" s="62"/>
      <c r="F2100" s="62"/>
      <c r="G2100" s="62"/>
    </row>
    <row r="2101" spans="1:7" ht="12" hidden="1" customHeight="1" outlineLevel="3" x14ac:dyDescent="0.2">
      <c r="A2101" s="61" t="s">
        <v>472</v>
      </c>
      <c r="B2101" s="45"/>
      <c r="C2101" s="45"/>
      <c r="D2101" s="45"/>
      <c r="E2101" s="46">
        <v>4707.1099999999997</v>
      </c>
      <c r="F2101" s="45"/>
      <c r="G2101" s="45"/>
    </row>
    <row r="2102" spans="1:7" ht="12" hidden="1" customHeight="1" outlineLevel="4" x14ac:dyDescent="0.2">
      <c r="A2102" s="60" t="s">
        <v>472</v>
      </c>
      <c r="B2102" s="45"/>
      <c r="C2102" s="45"/>
      <c r="D2102" s="45"/>
      <c r="E2102" s="46">
        <v>4707.1099999999997</v>
      </c>
      <c r="F2102" s="45"/>
      <c r="G2102" s="45"/>
    </row>
    <row r="2103" spans="1:7" ht="12" hidden="1" customHeight="1" outlineLevel="3" x14ac:dyDescent="0.2">
      <c r="A2103" s="61" t="s">
        <v>472</v>
      </c>
      <c r="B2103" s="45"/>
      <c r="C2103" s="45"/>
      <c r="D2103" s="45"/>
      <c r="E2103" s="59">
        <v>-4707.1099999999997</v>
      </c>
      <c r="F2103" s="45"/>
      <c r="G2103" s="45"/>
    </row>
    <row r="2104" spans="1:7" ht="12" hidden="1" customHeight="1" outlineLevel="4" x14ac:dyDescent="0.2">
      <c r="A2104" s="60" t="s">
        <v>472</v>
      </c>
      <c r="B2104" s="45"/>
      <c r="C2104" s="45"/>
      <c r="D2104" s="45"/>
      <c r="E2104" s="59">
        <v>-4707.1099999999997</v>
      </c>
      <c r="F2104" s="45"/>
      <c r="G2104" s="45"/>
    </row>
    <row r="2105" spans="1:7" ht="12" hidden="1" customHeight="1" outlineLevel="2" collapsed="1" x14ac:dyDescent="0.2">
      <c r="A2105" s="63" t="s">
        <v>479</v>
      </c>
      <c r="B2105" s="62"/>
      <c r="C2105" s="62"/>
      <c r="D2105" s="62"/>
      <c r="E2105" s="62"/>
      <c r="F2105" s="62"/>
      <c r="G2105" s="62"/>
    </row>
    <row r="2106" spans="1:7" ht="12" hidden="1" customHeight="1" outlineLevel="3" x14ac:dyDescent="0.2">
      <c r="A2106" s="61" t="s">
        <v>472</v>
      </c>
      <c r="B2106" s="45"/>
      <c r="C2106" s="45"/>
      <c r="D2106" s="45"/>
      <c r="E2106" s="46">
        <v>9600.8700000000008</v>
      </c>
      <c r="F2106" s="45"/>
      <c r="G2106" s="45"/>
    </row>
    <row r="2107" spans="1:7" ht="12" hidden="1" customHeight="1" outlineLevel="4" x14ac:dyDescent="0.2">
      <c r="A2107" s="60" t="s">
        <v>472</v>
      </c>
      <c r="B2107" s="45"/>
      <c r="C2107" s="45"/>
      <c r="D2107" s="45"/>
      <c r="E2107" s="46">
        <v>9600.8700000000008</v>
      </c>
      <c r="F2107" s="45"/>
      <c r="G2107" s="45"/>
    </row>
    <row r="2108" spans="1:7" ht="12" hidden="1" customHeight="1" outlineLevel="3" x14ac:dyDescent="0.2">
      <c r="A2108" s="61" t="s">
        <v>472</v>
      </c>
      <c r="B2108" s="45"/>
      <c r="C2108" s="45"/>
      <c r="D2108" s="45"/>
      <c r="E2108" s="59">
        <v>-9600.8700000000008</v>
      </c>
      <c r="F2108" s="45"/>
      <c r="G2108" s="45"/>
    </row>
    <row r="2109" spans="1:7" ht="12" hidden="1" customHeight="1" outlineLevel="4" x14ac:dyDescent="0.2">
      <c r="A2109" s="60" t="s">
        <v>472</v>
      </c>
      <c r="B2109" s="45"/>
      <c r="C2109" s="45"/>
      <c r="D2109" s="45"/>
      <c r="E2109" s="59">
        <v>-9600.8700000000008</v>
      </c>
      <c r="F2109" s="45"/>
      <c r="G2109" s="45"/>
    </row>
    <row r="2110" spans="1:7" ht="12" hidden="1" customHeight="1" outlineLevel="2" collapsed="1" x14ac:dyDescent="0.2">
      <c r="A2110" s="63" t="s">
        <v>478</v>
      </c>
      <c r="B2110" s="62"/>
      <c r="C2110" s="62"/>
      <c r="D2110" s="62"/>
      <c r="E2110" s="62"/>
      <c r="F2110" s="62"/>
      <c r="G2110" s="62"/>
    </row>
    <row r="2111" spans="1:7" ht="12" hidden="1" customHeight="1" outlineLevel="3" x14ac:dyDescent="0.2">
      <c r="A2111" s="61" t="s">
        <v>472</v>
      </c>
      <c r="B2111" s="45"/>
      <c r="C2111" s="45"/>
      <c r="D2111" s="45"/>
      <c r="E2111" s="66">
        <v>1.52</v>
      </c>
      <c r="F2111" s="45"/>
      <c r="G2111" s="45"/>
    </row>
    <row r="2112" spans="1:7" ht="12" hidden="1" customHeight="1" outlineLevel="4" x14ac:dyDescent="0.2">
      <c r="A2112" s="60" t="s">
        <v>472</v>
      </c>
      <c r="B2112" s="45"/>
      <c r="C2112" s="45"/>
      <c r="D2112" s="45"/>
      <c r="E2112" s="66">
        <v>1.52</v>
      </c>
      <c r="F2112" s="45"/>
      <c r="G2112" s="45"/>
    </row>
    <row r="2113" spans="1:7" ht="12" hidden="1" customHeight="1" outlineLevel="3" x14ac:dyDescent="0.2">
      <c r="A2113" s="61" t="s">
        <v>472</v>
      </c>
      <c r="B2113" s="45"/>
      <c r="C2113" s="45"/>
      <c r="D2113" s="45"/>
      <c r="E2113" s="65">
        <v>-1.52</v>
      </c>
      <c r="F2113" s="45"/>
      <c r="G2113" s="45"/>
    </row>
    <row r="2114" spans="1:7" ht="12" hidden="1" customHeight="1" outlineLevel="4" x14ac:dyDescent="0.2">
      <c r="A2114" s="60" t="s">
        <v>472</v>
      </c>
      <c r="B2114" s="45"/>
      <c r="C2114" s="45"/>
      <c r="D2114" s="45"/>
      <c r="E2114" s="65">
        <v>-1.52</v>
      </c>
      <c r="F2114" s="45"/>
      <c r="G2114" s="45"/>
    </row>
    <row r="2115" spans="1:7" ht="12" hidden="1" customHeight="1" outlineLevel="2" collapsed="1" x14ac:dyDescent="0.2">
      <c r="A2115" s="63" t="s">
        <v>32</v>
      </c>
      <c r="B2115" s="62"/>
      <c r="C2115" s="62"/>
      <c r="D2115" s="62"/>
      <c r="E2115" s="62"/>
      <c r="F2115" s="62"/>
      <c r="G2115" s="62"/>
    </row>
    <row r="2116" spans="1:7" ht="12" hidden="1" customHeight="1" outlineLevel="3" x14ac:dyDescent="0.2">
      <c r="A2116" s="61" t="s">
        <v>472</v>
      </c>
      <c r="B2116" s="45"/>
      <c r="C2116" s="45"/>
      <c r="D2116" s="45"/>
      <c r="E2116" s="46">
        <v>21824.63</v>
      </c>
      <c r="F2116" s="45"/>
      <c r="G2116" s="45"/>
    </row>
    <row r="2117" spans="1:7" ht="12" hidden="1" customHeight="1" outlineLevel="4" x14ac:dyDescent="0.2">
      <c r="A2117" s="60" t="s">
        <v>472</v>
      </c>
      <c r="B2117" s="45"/>
      <c r="C2117" s="45"/>
      <c r="D2117" s="45"/>
      <c r="E2117" s="46">
        <v>21824.63</v>
      </c>
      <c r="F2117" s="45"/>
      <c r="G2117" s="45"/>
    </row>
    <row r="2118" spans="1:7" ht="12" hidden="1" customHeight="1" outlineLevel="3" x14ac:dyDescent="0.2">
      <c r="A2118" s="61" t="s">
        <v>472</v>
      </c>
      <c r="B2118" s="45"/>
      <c r="C2118" s="45"/>
      <c r="D2118" s="45"/>
      <c r="E2118" s="59">
        <v>-21824.63</v>
      </c>
      <c r="F2118" s="45"/>
      <c r="G2118" s="45"/>
    </row>
    <row r="2119" spans="1:7" ht="12" hidden="1" customHeight="1" outlineLevel="4" x14ac:dyDescent="0.2">
      <c r="A2119" s="60" t="s">
        <v>472</v>
      </c>
      <c r="B2119" s="45"/>
      <c r="C2119" s="45"/>
      <c r="D2119" s="45"/>
      <c r="E2119" s="59">
        <v>-21824.63</v>
      </c>
      <c r="F2119" s="45"/>
      <c r="G2119" s="45"/>
    </row>
    <row r="2120" spans="1:7" ht="12" hidden="1" customHeight="1" outlineLevel="2" collapsed="1" x14ac:dyDescent="0.2">
      <c r="A2120" s="63" t="s">
        <v>477</v>
      </c>
      <c r="B2120" s="62"/>
      <c r="C2120" s="62"/>
      <c r="D2120" s="64">
        <v>73492.23</v>
      </c>
      <c r="E2120" s="64">
        <v>73492.23</v>
      </c>
      <c r="F2120" s="62"/>
      <c r="G2120" s="62"/>
    </row>
    <row r="2121" spans="1:7" ht="12" hidden="1" customHeight="1" outlineLevel="3" x14ac:dyDescent="0.2">
      <c r="A2121" s="61" t="s">
        <v>472</v>
      </c>
      <c r="B2121" s="45"/>
      <c r="C2121" s="45"/>
      <c r="D2121" s="45"/>
      <c r="E2121" s="46">
        <v>106155.45</v>
      </c>
      <c r="F2121" s="45"/>
      <c r="G2121" s="45"/>
    </row>
    <row r="2122" spans="1:7" ht="12" hidden="1" customHeight="1" outlineLevel="4" x14ac:dyDescent="0.2">
      <c r="A2122" s="60" t="s">
        <v>472</v>
      </c>
      <c r="B2122" s="45"/>
      <c r="C2122" s="45"/>
      <c r="D2122" s="45"/>
      <c r="E2122" s="46">
        <v>106155.45</v>
      </c>
      <c r="F2122" s="45"/>
      <c r="G2122" s="45"/>
    </row>
    <row r="2123" spans="1:7" ht="12" hidden="1" customHeight="1" outlineLevel="3" x14ac:dyDescent="0.2">
      <c r="A2123" s="61" t="s">
        <v>472</v>
      </c>
      <c r="B2123" s="45"/>
      <c r="C2123" s="45"/>
      <c r="D2123" s="45"/>
      <c r="E2123" s="59">
        <v>-32663.22</v>
      </c>
      <c r="F2123" s="45"/>
      <c r="G2123" s="45"/>
    </row>
    <row r="2124" spans="1:7" ht="12" hidden="1" customHeight="1" outlineLevel="4" x14ac:dyDescent="0.2">
      <c r="A2124" s="60" t="s">
        <v>472</v>
      </c>
      <c r="B2124" s="45"/>
      <c r="C2124" s="45"/>
      <c r="D2124" s="45"/>
      <c r="E2124" s="59">
        <v>-32663.22</v>
      </c>
      <c r="F2124" s="45"/>
      <c r="G2124" s="45"/>
    </row>
    <row r="2125" spans="1:7" ht="23.25" hidden="1" customHeight="1" outlineLevel="3" x14ac:dyDescent="0.2">
      <c r="A2125" s="61" t="s">
        <v>388</v>
      </c>
      <c r="B2125" s="45"/>
      <c r="C2125" s="45"/>
      <c r="D2125" s="46">
        <v>73492.23</v>
      </c>
      <c r="E2125" s="45"/>
      <c r="F2125" s="45"/>
      <c r="G2125" s="45"/>
    </row>
    <row r="2126" spans="1:7" ht="12" hidden="1" customHeight="1" outlineLevel="4" x14ac:dyDescent="0.2">
      <c r="A2126" s="60" t="s">
        <v>472</v>
      </c>
      <c r="B2126" s="45"/>
      <c r="C2126" s="45"/>
      <c r="D2126" s="46">
        <v>73492.23</v>
      </c>
      <c r="E2126" s="45"/>
      <c r="F2126" s="45"/>
      <c r="G2126" s="45"/>
    </row>
    <row r="2127" spans="1:7" ht="12" hidden="1" customHeight="1" outlineLevel="2" collapsed="1" x14ac:dyDescent="0.2">
      <c r="A2127" s="63" t="s">
        <v>476</v>
      </c>
      <c r="B2127" s="62"/>
      <c r="C2127" s="62"/>
      <c r="D2127" s="62"/>
      <c r="E2127" s="62"/>
      <c r="F2127" s="62"/>
      <c r="G2127" s="62"/>
    </row>
    <row r="2128" spans="1:7" ht="12" hidden="1" customHeight="1" outlineLevel="3" x14ac:dyDescent="0.2">
      <c r="A2128" s="61" t="s">
        <v>472</v>
      </c>
      <c r="B2128" s="45"/>
      <c r="C2128" s="45"/>
      <c r="D2128" s="45"/>
      <c r="E2128" s="46">
        <v>2645.12</v>
      </c>
      <c r="F2128" s="45"/>
      <c r="G2128" s="45"/>
    </row>
    <row r="2129" spans="1:7" ht="12" hidden="1" customHeight="1" outlineLevel="4" x14ac:dyDescent="0.2">
      <c r="A2129" s="60" t="s">
        <v>472</v>
      </c>
      <c r="B2129" s="45"/>
      <c r="C2129" s="45"/>
      <c r="D2129" s="45"/>
      <c r="E2129" s="46">
        <v>2645.12</v>
      </c>
      <c r="F2129" s="45"/>
      <c r="G2129" s="45"/>
    </row>
    <row r="2130" spans="1:7" ht="12" hidden="1" customHeight="1" outlineLevel="3" x14ac:dyDescent="0.2">
      <c r="A2130" s="61" t="s">
        <v>472</v>
      </c>
      <c r="B2130" s="45"/>
      <c r="C2130" s="45"/>
      <c r="D2130" s="45"/>
      <c r="E2130" s="59">
        <v>-2645.12</v>
      </c>
      <c r="F2130" s="45"/>
      <c r="G2130" s="45"/>
    </row>
    <row r="2131" spans="1:7" ht="12" hidden="1" customHeight="1" outlineLevel="4" x14ac:dyDescent="0.2">
      <c r="A2131" s="60" t="s">
        <v>472</v>
      </c>
      <c r="B2131" s="45"/>
      <c r="C2131" s="45"/>
      <c r="D2131" s="45"/>
      <c r="E2131" s="59">
        <v>-2645.12</v>
      </c>
      <c r="F2131" s="45"/>
      <c r="G2131" s="45"/>
    </row>
    <row r="2132" spans="1:7" ht="12" hidden="1" customHeight="1" outlineLevel="2" collapsed="1" x14ac:dyDescent="0.2">
      <c r="A2132" s="63" t="s">
        <v>475</v>
      </c>
      <c r="B2132" s="62"/>
      <c r="C2132" s="62"/>
      <c r="D2132" s="62"/>
      <c r="E2132" s="62"/>
      <c r="F2132" s="62"/>
      <c r="G2132" s="62"/>
    </row>
    <row r="2133" spans="1:7" ht="12" hidden="1" customHeight="1" outlineLevel="3" x14ac:dyDescent="0.2">
      <c r="A2133" s="61" t="s">
        <v>472</v>
      </c>
      <c r="B2133" s="45"/>
      <c r="C2133" s="45"/>
      <c r="D2133" s="45"/>
      <c r="E2133" s="46">
        <v>2049.65</v>
      </c>
      <c r="F2133" s="45"/>
      <c r="G2133" s="45"/>
    </row>
    <row r="2134" spans="1:7" ht="12" hidden="1" customHeight="1" outlineLevel="4" x14ac:dyDescent="0.2">
      <c r="A2134" s="60" t="s">
        <v>472</v>
      </c>
      <c r="B2134" s="45"/>
      <c r="C2134" s="45"/>
      <c r="D2134" s="45"/>
      <c r="E2134" s="46">
        <v>2049.65</v>
      </c>
      <c r="F2134" s="45"/>
      <c r="G2134" s="45"/>
    </row>
    <row r="2135" spans="1:7" ht="12" hidden="1" customHeight="1" outlineLevel="3" x14ac:dyDescent="0.2">
      <c r="A2135" s="61" t="s">
        <v>472</v>
      </c>
      <c r="B2135" s="45"/>
      <c r="C2135" s="45"/>
      <c r="D2135" s="45"/>
      <c r="E2135" s="59">
        <v>-2049.65</v>
      </c>
      <c r="F2135" s="45"/>
      <c r="G2135" s="45"/>
    </row>
    <row r="2136" spans="1:7" ht="12" hidden="1" customHeight="1" outlineLevel="4" x14ac:dyDescent="0.2">
      <c r="A2136" s="60" t="s">
        <v>472</v>
      </c>
      <c r="B2136" s="45"/>
      <c r="C2136" s="45"/>
      <c r="D2136" s="45"/>
      <c r="E2136" s="59">
        <v>-2049.65</v>
      </c>
      <c r="F2136" s="45"/>
      <c r="G2136" s="45"/>
    </row>
    <row r="2137" spans="1:7" ht="12.75" hidden="1" customHeight="1" x14ac:dyDescent="0.2">
      <c r="A2137" s="44" t="s">
        <v>387</v>
      </c>
      <c r="B2137" s="42"/>
      <c r="C2137" s="42"/>
      <c r="D2137" s="43">
        <v>796448874.5</v>
      </c>
      <c r="E2137" s="43">
        <v>796448874.5</v>
      </c>
      <c r="F2137" s="42"/>
      <c r="G2137" s="42"/>
    </row>
    <row r="2143" spans="1:7" x14ac:dyDescent="0.2">
      <c r="D2143" s="132"/>
    </row>
  </sheetData>
  <autoFilter ref="A11:BD2137">
    <filterColumn colId="55">
      <customFilters>
        <customFilter operator="notEqual" val=" "/>
      </customFilters>
    </filterColumn>
  </autoFilter>
  <mergeCells count="10">
    <mergeCell ref="A4:G4"/>
    <mergeCell ref="B6:C6"/>
    <mergeCell ref="D6:E6"/>
    <mergeCell ref="F6:G6"/>
    <mergeCell ref="B7:B10"/>
    <mergeCell ref="C7:C10"/>
    <mergeCell ref="D7:D10"/>
    <mergeCell ref="E7:E10"/>
    <mergeCell ref="F7:F10"/>
    <mergeCell ref="G7:G10"/>
  </mergeCells>
  <pageMargins left="0.39370078740157477" right="0.39370078740157477" top="0" bottom="0" header="0" footer="0"/>
  <pageSetup paperSize="9" scale="55" fitToWidth="0" fitToHeight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autoPageBreaks="0"/>
  </sheetPr>
  <dimension ref="A1:K77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 outlineLevelRow="2" outlineLevelCol="1" x14ac:dyDescent="0.2"/>
  <cols>
    <col min="1" max="1" width="30" style="41" customWidth="1" collapsed="1"/>
    <col min="2" max="3" width="16" style="41" hidden="1" customWidth="1" outlineLevel="1"/>
    <col min="4" max="4" width="16" style="41" customWidth="1" collapsed="1"/>
    <col min="5" max="7" width="16" style="41" hidden="1" customWidth="1" outlineLevel="1"/>
    <col min="8" max="256" width="9.140625" style="41" customWidth="1"/>
    <col min="257" max="16384" width="9.140625" style="41"/>
  </cols>
  <sheetData>
    <row r="1" spans="1:11" ht="12.75" customHeight="1" x14ac:dyDescent="0.2">
      <c r="A1" s="58" t="s">
        <v>437</v>
      </c>
      <c r="B1" s="55"/>
      <c r="C1" s="55"/>
      <c r="D1" s="55"/>
      <c r="H1" s="85"/>
      <c r="I1" s="41" t="s">
        <v>829</v>
      </c>
    </row>
    <row r="2" spans="1:11" ht="15.75" customHeight="1" x14ac:dyDescent="0.25">
      <c r="A2" s="57" t="s">
        <v>436</v>
      </c>
      <c r="B2" s="55"/>
      <c r="C2" s="55"/>
      <c r="D2" s="55"/>
    </row>
    <row r="3" spans="1:11" ht="2.1" customHeight="1" x14ac:dyDescent="0.2"/>
    <row r="4" spans="1:11" ht="11.25" customHeight="1" x14ac:dyDescent="0.2">
      <c r="A4" s="278" t="s">
        <v>435</v>
      </c>
      <c r="B4" s="279"/>
      <c r="C4" s="280"/>
      <c r="D4" s="280"/>
      <c r="E4" s="280"/>
      <c r="F4" s="280"/>
      <c r="G4" s="280"/>
    </row>
    <row r="5" spans="1:11" ht="2.1" customHeight="1" x14ac:dyDescent="0.2">
      <c r="A5" s="56"/>
      <c r="B5" s="56"/>
      <c r="C5" s="55"/>
      <c r="D5" s="55"/>
      <c r="E5" s="55"/>
      <c r="F5" s="55"/>
      <c r="G5" s="55"/>
    </row>
    <row r="6" spans="1:11" ht="12.75" customHeight="1" x14ac:dyDescent="0.2">
      <c r="A6" s="54" t="s">
        <v>434</v>
      </c>
      <c r="B6" s="281" t="s">
        <v>433</v>
      </c>
      <c r="C6" s="281"/>
      <c r="D6" s="281" t="s">
        <v>432</v>
      </c>
      <c r="E6" s="281"/>
      <c r="F6" s="281" t="s">
        <v>431</v>
      </c>
      <c r="G6" s="281"/>
    </row>
    <row r="7" spans="1:11" ht="12.75" customHeight="1" x14ac:dyDescent="0.2">
      <c r="A7" s="54" t="s">
        <v>430</v>
      </c>
      <c r="B7" s="282" t="s">
        <v>429</v>
      </c>
      <c r="C7" s="282" t="s">
        <v>428</v>
      </c>
      <c r="D7" s="282" t="s">
        <v>429</v>
      </c>
      <c r="E7" s="282" t="s">
        <v>428</v>
      </c>
      <c r="F7" s="282" t="s">
        <v>429</v>
      </c>
      <c r="G7" s="282" t="s">
        <v>428</v>
      </c>
    </row>
    <row r="8" spans="1:11" ht="12.75" customHeight="1" x14ac:dyDescent="0.2">
      <c r="A8" s="54" t="s">
        <v>427</v>
      </c>
      <c r="B8" s="284"/>
      <c r="C8" s="284"/>
      <c r="D8" s="284"/>
      <c r="E8" s="284"/>
      <c r="F8" s="284"/>
      <c r="G8" s="284"/>
    </row>
    <row r="9" spans="1:11" ht="12.75" customHeight="1" x14ac:dyDescent="0.2">
      <c r="A9" s="53" t="s">
        <v>426</v>
      </c>
      <c r="B9" s="51"/>
      <c r="C9" s="51"/>
      <c r="D9" s="52">
        <v>37290372.5</v>
      </c>
      <c r="E9" s="52">
        <v>37290372.5</v>
      </c>
      <c r="F9" s="51"/>
      <c r="G9" s="51"/>
      <c r="H9" s="126" t="s">
        <v>20</v>
      </c>
      <c r="I9" s="126" t="s">
        <v>21</v>
      </c>
      <c r="J9" s="126" t="s">
        <v>22</v>
      </c>
      <c r="K9" s="126" t="s">
        <v>26</v>
      </c>
    </row>
    <row r="10" spans="1:11" ht="12" customHeight="1" outlineLevel="1" collapsed="1" x14ac:dyDescent="0.2">
      <c r="A10" s="79" t="s">
        <v>425</v>
      </c>
      <c r="B10" s="48"/>
      <c r="C10" s="48"/>
      <c r="D10" s="68">
        <v>3021579.09</v>
      </c>
      <c r="E10" s="49">
        <v>3021579.09</v>
      </c>
      <c r="F10" s="48"/>
      <c r="G10" s="48"/>
      <c r="I10" s="109" t="s">
        <v>822</v>
      </c>
    </row>
    <row r="11" spans="1:11" ht="12" hidden="1" customHeight="1" outlineLevel="2" x14ac:dyDescent="0.2">
      <c r="A11" s="47" t="s">
        <v>393</v>
      </c>
      <c r="B11" s="45"/>
      <c r="C11" s="45"/>
      <c r="D11" s="46">
        <v>2331643.7000000002</v>
      </c>
      <c r="E11" s="46">
        <v>2331643.7000000002</v>
      </c>
      <c r="F11" s="45"/>
      <c r="G11" s="45"/>
    </row>
    <row r="12" spans="1:11" ht="12" hidden="1" customHeight="1" outlineLevel="2" x14ac:dyDescent="0.2">
      <c r="A12" s="47" t="s">
        <v>392</v>
      </c>
      <c r="B12" s="45"/>
      <c r="C12" s="45"/>
      <c r="D12" s="46">
        <v>689935.39</v>
      </c>
      <c r="E12" s="46">
        <v>689935.39</v>
      </c>
      <c r="F12" s="45"/>
      <c r="G12" s="45"/>
    </row>
    <row r="13" spans="1:11" ht="12" customHeight="1" outlineLevel="1" collapsed="1" x14ac:dyDescent="0.2">
      <c r="A13" s="79" t="s">
        <v>424</v>
      </c>
      <c r="B13" s="48"/>
      <c r="C13" s="48"/>
      <c r="D13" s="68">
        <v>131154.96</v>
      </c>
      <c r="E13" s="49">
        <v>131154.96</v>
      </c>
      <c r="F13" s="48"/>
      <c r="G13" s="48"/>
      <c r="K13" s="109" t="s">
        <v>370</v>
      </c>
    </row>
    <row r="14" spans="1:11" ht="23.25" hidden="1" customHeight="1" outlineLevel="2" x14ac:dyDescent="0.2">
      <c r="A14" s="47" t="s">
        <v>419</v>
      </c>
      <c r="B14" s="45"/>
      <c r="C14" s="45"/>
      <c r="D14" s="46">
        <v>131154.96</v>
      </c>
      <c r="E14" s="46">
        <v>131154.96</v>
      </c>
      <c r="F14" s="45"/>
      <c r="G14" s="45"/>
    </row>
    <row r="15" spans="1:11" ht="12" customHeight="1" outlineLevel="1" collapsed="1" x14ac:dyDescent="0.2">
      <c r="A15" s="79" t="s">
        <v>423</v>
      </c>
      <c r="B15" s="48"/>
      <c r="C15" s="48"/>
      <c r="D15" s="68">
        <v>657414.52</v>
      </c>
      <c r="E15" s="49">
        <v>657414.52</v>
      </c>
      <c r="F15" s="48"/>
      <c r="G15" s="48"/>
      <c r="H15" s="109" t="s">
        <v>340</v>
      </c>
    </row>
    <row r="16" spans="1:11" ht="12" hidden="1" customHeight="1" outlineLevel="2" x14ac:dyDescent="0.2">
      <c r="A16" s="47" t="s">
        <v>422</v>
      </c>
      <c r="B16" s="45"/>
      <c r="C16" s="45"/>
      <c r="D16" s="46">
        <v>627827.72</v>
      </c>
      <c r="E16" s="46">
        <v>627827.72</v>
      </c>
      <c r="F16" s="45"/>
      <c r="G16" s="45"/>
    </row>
    <row r="17" spans="1:11" ht="23.25" hidden="1" customHeight="1" outlineLevel="2" x14ac:dyDescent="0.2">
      <c r="A17" s="47" t="s">
        <v>403</v>
      </c>
      <c r="B17" s="45"/>
      <c r="C17" s="45"/>
      <c r="D17" s="46">
        <v>29586.799999999999</v>
      </c>
      <c r="E17" s="46">
        <v>29586.799999999999</v>
      </c>
      <c r="F17" s="45"/>
      <c r="G17" s="45"/>
    </row>
    <row r="18" spans="1:11" ht="12" customHeight="1" outlineLevel="1" x14ac:dyDescent="0.2">
      <c r="A18" s="79" t="s">
        <v>421</v>
      </c>
      <c r="B18" s="48"/>
      <c r="C18" s="48"/>
      <c r="D18" s="68">
        <v>133211.73000000001</v>
      </c>
      <c r="E18" s="49">
        <v>133211.73000000001</v>
      </c>
      <c r="F18" s="48"/>
      <c r="G18" s="48"/>
    </row>
    <row r="19" spans="1:11" ht="12" customHeight="1" outlineLevel="2" x14ac:dyDescent="0.2">
      <c r="A19" s="47" t="s">
        <v>420</v>
      </c>
      <c r="B19" s="45"/>
      <c r="C19" s="45"/>
      <c r="D19" s="46">
        <v>95010</v>
      </c>
      <c r="E19" s="46">
        <v>95010</v>
      </c>
      <c r="F19" s="45"/>
      <c r="G19" s="45"/>
      <c r="I19" s="109" t="s">
        <v>823</v>
      </c>
    </row>
    <row r="20" spans="1:11" ht="23.25" customHeight="1" outlineLevel="2" x14ac:dyDescent="0.2">
      <c r="A20" s="47" t="s">
        <v>419</v>
      </c>
      <c r="B20" s="45"/>
      <c r="C20" s="45"/>
      <c r="D20" s="46">
        <v>38201.730000000003</v>
      </c>
      <c r="E20" s="46">
        <v>38201.730000000003</v>
      </c>
      <c r="F20" s="45"/>
      <c r="G20" s="45"/>
      <c r="K20" s="109" t="s">
        <v>370</v>
      </c>
    </row>
    <row r="21" spans="1:11" ht="12" customHeight="1" outlineLevel="1" collapsed="1" x14ac:dyDescent="0.2">
      <c r="A21" s="79" t="s">
        <v>418</v>
      </c>
      <c r="B21" s="48"/>
      <c r="C21" s="48"/>
      <c r="D21" s="68">
        <v>113125.14</v>
      </c>
      <c r="E21" s="49">
        <v>113125.14</v>
      </c>
      <c r="F21" s="48"/>
      <c r="G21" s="48"/>
      <c r="I21" s="109" t="s">
        <v>823</v>
      </c>
    </row>
    <row r="22" spans="1:11" ht="12" hidden="1" customHeight="1" outlineLevel="2" x14ac:dyDescent="0.2">
      <c r="A22" s="47" t="s">
        <v>417</v>
      </c>
      <c r="B22" s="45"/>
      <c r="C22" s="45"/>
      <c r="D22" s="46">
        <v>113125.14</v>
      </c>
      <c r="E22" s="46">
        <v>113125.14</v>
      </c>
      <c r="F22" s="45"/>
      <c r="G22" s="45"/>
    </row>
    <row r="23" spans="1:11" ht="12" customHeight="1" outlineLevel="1" collapsed="1" x14ac:dyDescent="0.2">
      <c r="A23" s="79" t="s">
        <v>416</v>
      </c>
      <c r="B23" s="48"/>
      <c r="C23" s="48"/>
      <c r="D23" s="68">
        <v>8714624.8499999996</v>
      </c>
      <c r="E23" s="49">
        <v>8714624.8499999996</v>
      </c>
      <c r="F23" s="48"/>
      <c r="G23" s="48"/>
      <c r="I23" s="109" t="s">
        <v>143</v>
      </c>
    </row>
    <row r="24" spans="1:11" ht="12" hidden="1" customHeight="1" outlineLevel="2" x14ac:dyDescent="0.2">
      <c r="A24" s="47" t="s">
        <v>393</v>
      </c>
      <c r="B24" s="45"/>
      <c r="C24" s="45"/>
      <c r="D24" s="46">
        <v>6732250.1500000004</v>
      </c>
      <c r="E24" s="46">
        <v>6732250.1500000004</v>
      </c>
      <c r="F24" s="45"/>
      <c r="G24" s="45"/>
    </row>
    <row r="25" spans="1:11" ht="12" hidden="1" customHeight="1" outlineLevel="2" x14ac:dyDescent="0.2">
      <c r="A25" s="47" t="s">
        <v>392</v>
      </c>
      <c r="B25" s="45"/>
      <c r="C25" s="45"/>
      <c r="D25" s="46">
        <v>1982374.7</v>
      </c>
      <c r="E25" s="46">
        <v>1982374.7</v>
      </c>
      <c r="F25" s="45"/>
      <c r="G25" s="45"/>
    </row>
    <row r="26" spans="1:11" ht="12" customHeight="1" outlineLevel="1" collapsed="1" x14ac:dyDescent="0.2">
      <c r="A26" s="50" t="s">
        <v>415</v>
      </c>
      <c r="B26" s="48"/>
      <c r="C26" s="48"/>
      <c r="D26" s="84">
        <v>1234593.3</v>
      </c>
      <c r="E26" s="49">
        <v>1234593.3</v>
      </c>
      <c r="F26" s="48"/>
      <c r="G26" s="48"/>
    </row>
    <row r="27" spans="1:11" ht="23.25" hidden="1" customHeight="1" outlineLevel="2" x14ac:dyDescent="0.2">
      <c r="A27" s="47" t="s">
        <v>403</v>
      </c>
      <c r="B27" s="45"/>
      <c r="C27" s="45"/>
      <c r="D27" s="46">
        <v>1234593.3</v>
      </c>
      <c r="E27" s="46">
        <v>1234593.3</v>
      </c>
      <c r="F27" s="45"/>
      <c r="G27" s="45"/>
    </row>
    <row r="28" spans="1:11" ht="12" customHeight="1" outlineLevel="1" collapsed="1" x14ac:dyDescent="0.2">
      <c r="A28" s="79" t="s">
        <v>414</v>
      </c>
      <c r="B28" s="48"/>
      <c r="C28" s="48"/>
      <c r="D28" s="68">
        <v>6453607.1100000003</v>
      </c>
      <c r="E28" s="49">
        <v>6453607.1100000003</v>
      </c>
      <c r="F28" s="48"/>
      <c r="G28" s="48"/>
      <c r="I28" s="109" t="s">
        <v>73</v>
      </c>
    </row>
    <row r="29" spans="1:11" ht="12" hidden="1" customHeight="1" outlineLevel="2" x14ac:dyDescent="0.2">
      <c r="A29" s="47" t="s">
        <v>393</v>
      </c>
      <c r="B29" s="45"/>
      <c r="C29" s="45"/>
      <c r="D29" s="46">
        <v>4985955.8</v>
      </c>
      <c r="E29" s="46">
        <v>4985955.8</v>
      </c>
      <c r="F29" s="45"/>
      <c r="G29" s="45"/>
    </row>
    <row r="30" spans="1:11" ht="12" hidden="1" customHeight="1" outlineLevel="2" x14ac:dyDescent="0.2">
      <c r="A30" s="47" t="s">
        <v>392</v>
      </c>
      <c r="B30" s="45"/>
      <c r="C30" s="45"/>
      <c r="D30" s="46">
        <v>1467651.31</v>
      </c>
      <c r="E30" s="46">
        <v>1467651.31</v>
      </c>
      <c r="F30" s="45"/>
      <c r="G30" s="45"/>
    </row>
    <row r="31" spans="1:11" ht="12" customHeight="1" outlineLevel="1" collapsed="1" x14ac:dyDescent="0.2">
      <c r="A31" s="79" t="s">
        <v>413</v>
      </c>
      <c r="B31" s="48"/>
      <c r="C31" s="48"/>
      <c r="D31" s="68">
        <v>6057739.2800000003</v>
      </c>
      <c r="E31" s="49">
        <v>6057739.2800000003</v>
      </c>
      <c r="F31" s="48"/>
      <c r="G31" s="48"/>
      <c r="I31" s="109" t="s">
        <v>102</v>
      </c>
    </row>
    <row r="32" spans="1:11" ht="12" hidden="1" customHeight="1" outlineLevel="2" x14ac:dyDescent="0.2">
      <c r="A32" s="47" t="s">
        <v>393</v>
      </c>
      <c r="B32" s="45"/>
      <c r="C32" s="45"/>
      <c r="D32" s="46">
        <v>4680881.05</v>
      </c>
      <c r="E32" s="46">
        <v>4680881.05</v>
      </c>
      <c r="F32" s="45"/>
      <c r="G32" s="45"/>
    </row>
    <row r="33" spans="1:10" ht="12" hidden="1" customHeight="1" outlineLevel="2" x14ac:dyDescent="0.2">
      <c r="A33" s="47" t="s">
        <v>392</v>
      </c>
      <c r="B33" s="45"/>
      <c r="C33" s="45"/>
      <c r="D33" s="46">
        <v>1376858.23</v>
      </c>
      <c r="E33" s="46">
        <v>1376858.23</v>
      </c>
      <c r="F33" s="45"/>
      <c r="G33" s="45"/>
    </row>
    <row r="34" spans="1:10" ht="12" customHeight="1" outlineLevel="1" collapsed="1" x14ac:dyDescent="0.2">
      <c r="A34" s="50" t="s">
        <v>412</v>
      </c>
      <c r="B34" s="48"/>
      <c r="C34" s="48"/>
      <c r="D34" s="84">
        <v>8733.2000000000007</v>
      </c>
      <c r="E34" s="49">
        <v>8733.2000000000007</v>
      </c>
      <c r="F34" s="48"/>
      <c r="G34" s="48"/>
    </row>
    <row r="35" spans="1:10" ht="23.25" hidden="1" customHeight="1" outlineLevel="2" x14ac:dyDescent="0.2">
      <c r="A35" s="47" t="s">
        <v>403</v>
      </c>
      <c r="B35" s="45"/>
      <c r="C35" s="45"/>
      <c r="D35" s="46">
        <v>8733.2000000000007</v>
      </c>
      <c r="E35" s="46">
        <v>8733.2000000000007</v>
      </c>
      <c r="F35" s="45"/>
      <c r="G35" s="45"/>
    </row>
    <row r="36" spans="1:10" ht="12" customHeight="1" outlineLevel="1" collapsed="1" x14ac:dyDescent="0.2">
      <c r="A36" s="50" t="s">
        <v>411</v>
      </c>
      <c r="B36" s="48"/>
      <c r="C36" s="48"/>
      <c r="D36" s="84">
        <v>562325.16</v>
      </c>
      <c r="E36" s="49">
        <v>562325.16</v>
      </c>
      <c r="F36" s="48"/>
      <c r="G36" s="48"/>
    </row>
    <row r="37" spans="1:10" ht="23.25" hidden="1" customHeight="1" outlineLevel="2" x14ac:dyDescent="0.2">
      <c r="A37" s="47" t="s">
        <v>403</v>
      </c>
      <c r="B37" s="45"/>
      <c r="C37" s="45"/>
      <c r="D37" s="46">
        <v>562325.16</v>
      </c>
      <c r="E37" s="46">
        <v>562325.16</v>
      </c>
      <c r="F37" s="45"/>
      <c r="G37" s="45"/>
    </row>
    <row r="38" spans="1:10" ht="12" customHeight="1" outlineLevel="1" collapsed="1" x14ac:dyDescent="0.2">
      <c r="A38" s="79" t="s">
        <v>410</v>
      </c>
      <c r="B38" s="48"/>
      <c r="C38" s="48"/>
      <c r="D38" s="68">
        <v>556496.38</v>
      </c>
      <c r="E38" s="49">
        <v>556496.38</v>
      </c>
      <c r="F38" s="48"/>
      <c r="G38" s="48"/>
      <c r="I38" s="109" t="s">
        <v>95</v>
      </c>
    </row>
    <row r="39" spans="1:10" ht="12" hidden="1" customHeight="1" outlineLevel="2" x14ac:dyDescent="0.2">
      <c r="A39" s="47" t="s">
        <v>393</v>
      </c>
      <c r="B39" s="45"/>
      <c r="C39" s="45"/>
      <c r="D39" s="46">
        <v>430554.92</v>
      </c>
      <c r="E39" s="46">
        <v>430554.92</v>
      </c>
      <c r="F39" s="45"/>
      <c r="G39" s="45"/>
    </row>
    <row r="40" spans="1:10" ht="12" hidden="1" customHeight="1" outlineLevel="2" x14ac:dyDescent="0.2">
      <c r="A40" s="47" t="s">
        <v>392</v>
      </c>
      <c r="B40" s="45"/>
      <c r="C40" s="45"/>
      <c r="D40" s="46">
        <v>125941.46</v>
      </c>
      <c r="E40" s="46">
        <v>125941.46</v>
      </c>
      <c r="F40" s="45"/>
      <c r="G40" s="45"/>
    </row>
    <row r="41" spans="1:10" ht="12" customHeight="1" outlineLevel="1" collapsed="1" x14ac:dyDescent="0.2">
      <c r="A41" s="50" t="s">
        <v>409</v>
      </c>
      <c r="B41" s="48"/>
      <c r="C41" s="48"/>
      <c r="D41" s="84">
        <v>6539.84</v>
      </c>
      <c r="E41" s="49">
        <v>6539.84</v>
      </c>
      <c r="F41" s="48"/>
      <c r="G41" s="48"/>
    </row>
    <row r="42" spans="1:10" ht="23.25" hidden="1" customHeight="1" outlineLevel="2" x14ac:dyDescent="0.2">
      <c r="A42" s="47" t="s">
        <v>403</v>
      </c>
      <c r="B42" s="45"/>
      <c r="C42" s="45"/>
      <c r="D42" s="46">
        <v>6539.84</v>
      </c>
      <c r="E42" s="46">
        <v>6539.84</v>
      </c>
      <c r="F42" s="45"/>
      <c r="G42" s="45"/>
    </row>
    <row r="43" spans="1:10" ht="12" customHeight="1" outlineLevel="1" collapsed="1" x14ac:dyDescent="0.2">
      <c r="A43" s="79" t="s">
        <v>408</v>
      </c>
      <c r="B43" s="48"/>
      <c r="C43" s="48"/>
      <c r="D43" s="68">
        <v>1648118.24</v>
      </c>
      <c r="E43" s="49">
        <v>1648118.24</v>
      </c>
      <c r="F43" s="48"/>
      <c r="G43" s="48"/>
      <c r="I43" s="109" t="s">
        <v>310</v>
      </c>
    </row>
    <row r="44" spans="1:10" ht="12" hidden="1" customHeight="1" outlineLevel="2" x14ac:dyDescent="0.2">
      <c r="A44" s="47" t="s">
        <v>393</v>
      </c>
      <c r="B44" s="45"/>
      <c r="C44" s="45"/>
      <c r="D44" s="46">
        <v>1270948.22</v>
      </c>
      <c r="E44" s="46">
        <v>1270948.22</v>
      </c>
      <c r="F44" s="45"/>
      <c r="G44" s="45"/>
    </row>
    <row r="45" spans="1:10" ht="12" hidden="1" customHeight="1" outlineLevel="2" x14ac:dyDescent="0.2">
      <c r="A45" s="47" t="s">
        <v>392</v>
      </c>
      <c r="B45" s="45"/>
      <c r="C45" s="45"/>
      <c r="D45" s="46">
        <v>377170.02</v>
      </c>
      <c r="E45" s="46">
        <v>377170.02</v>
      </c>
      <c r="F45" s="45"/>
      <c r="G45" s="45"/>
    </row>
    <row r="46" spans="1:10" ht="12" customHeight="1" outlineLevel="1" collapsed="1" x14ac:dyDescent="0.2">
      <c r="A46" s="79" t="s">
        <v>310</v>
      </c>
      <c r="B46" s="48"/>
      <c r="C46" s="48"/>
      <c r="D46" s="68">
        <v>8088.3</v>
      </c>
      <c r="E46" s="49">
        <v>8088.3</v>
      </c>
      <c r="F46" s="48"/>
      <c r="G46" s="48"/>
      <c r="J46" s="109" t="s">
        <v>362</v>
      </c>
    </row>
    <row r="47" spans="1:10" ht="12" hidden="1" customHeight="1" outlineLevel="2" x14ac:dyDescent="0.2">
      <c r="A47" s="47" t="s">
        <v>397</v>
      </c>
      <c r="B47" s="45"/>
      <c r="C47" s="45"/>
      <c r="D47" s="46">
        <v>8088.3</v>
      </c>
      <c r="E47" s="46">
        <v>8088.3</v>
      </c>
      <c r="F47" s="45"/>
      <c r="G47" s="45"/>
    </row>
    <row r="48" spans="1:10" ht="12" customHeight="1" outlineLevel="1" collapsed="1" x14ac:dyDescent="0.2">
      <c r="A48" s="50" t="s">
        <v>407</v>
      </c>
      <c r="B48" s="48"/>
      <c r="C48" s="48"/>
      <c r="D48" s="84">
        <v>48417.5</v>
      </c>
      <c r="E48" s="49">
        <v>48417.5</v>
      </c>
      <c r="F48" s="48"/>
      <c r="G48" s="48"/>
    </row>
    <row r="49" spans="1:9" ht="23.25" hidden="1" customHeight="1" outlineLevel="2" x14ac:dyDescent="0.2">
      <c r="A49" s="47" t="s">
        <v>403</v>
      </c>
      <c r="B49" s="45"/>
      <c r="C49" s="45"/>
      <c r="D49" s="46">
        <v>48417.5</v>
      </c>
      <c r="E49" s="46">
        <v>48417.5</v>
      </c>
      <c r="F49" s="45"/>
      <c r="G49" s="45"/>
    </row>
    <row r="50" spans="1:9" ht="12" customHeight="1" outlineLevel="1" collapsed="1" x14ac:dyDescent="0.2">
      <c r="A50" s="50" t="s">
        <v>406</v>
      </c>
      <c r="B50" s="48"/>
      <c r="C50" s="48"/>
      <c r="D50" s="84">
        <v>872250.27</v>
      </c>
      <c r="E50" s="49">
        <v>872250.27</v>
      </c>
      <c r="F50" s="48"/>
      <c r="G50" s="48"/>
    </row>
    <row r="51" spans="1:9" ht="12" hidden="1" customHeight="1" outlineLevel="2" x14ac:dyDescent="0.2">
      <c r="A51" s="47" t="s">
        <v>393</v>
      </c>
      <c r="B51" s="45"/>
      <c r="C51" s="45"/>
      <c r="D51" s="46">
        <v>672192.59</v>
      </c>
      <c r="E51" s="46">
        <v>672192.59</v>
      </c>
      <c r="F51" s="45"/>
      <c r="G51" s="45"/>
    </row>
    <row r="52" spans="1:9" ht="12" hidden="1" customHeight="1" outlineLevel="2" x14ac:dyDescent="0.2">
      <c r="A52" s="47" t="s">
        <v>392</v>
      </c>
      <c r="B52" s="45"/>
      <c r="C52" s="45"/>
      <c r="D52" s="46">
        <v>200057.68</v>
      </c>
      <c r="E52" s="46">
        <v>200057.68</v>
      </c>
      <c r="F52" s="45"/>
      <c r="G52" s="45"/>
    </row>
    <row r="53" spans="1:9" ht="12" customHeight="1" outlineLevel="1" collapsed="1" x14ac:dyDescent="0.2">
      <c r="A53" s="79" t="s">
        <v>98</v>
      </c>
      <c r="B53" s="48"/>
      <c r="C53" s="48"/>
      <c r="D53" s="68">
        <v>1538979.69</v>
      </c>
      <c r="E53" s="49">
        <v>1538979.69</v>
      </c>
      <c r="F53" s="48"/>
      <c r="G53" s="48"/>
      <c r="I53" s="109" t="s">
        <v>98</v>
      </c>
    </row>
    <row r="54" spans="1:9" ht="12" hidden="1" customHeight="1" outlineLevel="2" x14ac:dyDescent="0.2">
      <c r="A54" s="47" t="s">
        <v>393</v>
      </c>
      <c r="B54" s="45"/>
      <c r="C54" s="45"/>
      <c r="D54" s="46">
        <v>1189275.48</v>
      </c>
      <c r="E54" s="46">
        <v>1189275.48</v>
      </c>
      <c r="F54" s="45"/>
      <c r="G54" s="45"/>
    </row>
    <row r="55" spans="1:9" ht="12" hidden="1" customHeight="1" outlineLevel="2" x14ac:dyDescent="0.2">
      <c r="A55" s="47" t="s">
        <v>392</v>
      </c>
      <c r="B55" s="45"/>
      <c r="C55" s="45"/>
      <c r="D55" s="46">
        <v>349704.21</v>
      </c>
      <c r="E55" s="46">
        <v>349704.21</v>
      </c>
      <c r="F55" s="45"/>
      <c r="G55" s="45"/>
    </row>
    <row r="56" spans="1:9" ht="12" customHeight="1" outlineLevel="1" collapsed="1" x14ac:dyDescent="0.2">
      <c r="A56" s="50" t="s">
        <v>405</v>
      </c>
      <c r="B56" s="48"/>
      <c r="C56" s="48"/>
      <c r="D56" s="84">
        <v>105450.54</v>
      </c>
      <c r="E56" s="49">
        <v>105450.54</v>
      </c>
      <c r="F56" s="48"/>
      <c r="G56" s="48"/>
    </row>
    <row r="57" spans="1:9" ht="23.25" hidden="1" customHeight="1" outlineLevel="2" x14ac:dyDescent="0.2">
      <c r="A57" s="47" t="s">
        <v>403</v>
      </c>
      <c r="B57" s="45"/>
      <c r="C57" s="45"/>
      <c r="D57" s="46">
        <v>105450.54</v>
      </c>
      <c r="E57" s="46">
        <v>105450.54</v>
      </c>
      <c r="F57" s="45"/>
      <c r="G57" s="45"/>
    </row>
    <row r="58" spans="1:9" ht="12" customHeight="1" outlineLevel="1" collapsed="1" x14ac:dyDescent="0.2">
      <c r="A58" s="50" t="s">
        <v>404</v>
      </c>
      <c r="B58" s="48"/>
      <c r="C58" s="48"/>
      <c r="D58" s="84">
        <v>795660.42</v>
      </c>
      <c r="E58" s="49">
        <v>795660.42</v>
      </c>
      <c r="F58" s="48"/>
      <c r="G58" s="48"/>
    </row>
    <row r="59" spans="1:9" ht="12" hidden="1" customHeight="1" outlineLevel="2" x14ac:dyDescent="0.2">
      <c r="A59" s="47" t="s">
        <v>401</v>
      </c>
      <c r="B59" s="45"/>
      <c r="C59" s="45"/>
      <c r="D59" s="46">
        <v>621600</v>
      </c>
      <c r="E59" s="46">
        <v>621600</v>
      </c>
      <c r="F59" s="45"/>
      <c r="G59" s="45"/>
    </row>
    <row r="60" spans="1:9" ht="23.25" hidden="1" customHeight="1" outlineLevel="2" x14ac:dyDescent="0.2">
      <c r="A60" s="47" t="s">
        <v>403</v>
      </c>
      <c r="B60" s="45"/>
      <c r="C60" s="45"/>
      <c r="D60" s="46">
        <v>174060.42</v>
      </c>
      <c r="E60" s="46">
        <v>174060.42</v>
      </c>
      <c r="F60" s="45"/>
      <c r="G60" s="45"/>
    </row>
    <row r="61" spans="1:9" ht="12" customHeight="1" outlineLevel="1" collapsed="1" x14ac:dyDescent="0.2">
      <c r="A61" s="50" t="s">
        <v>402</v>
      </c>
      <c r="B61" s="48"/>
      <c r="C61" s="48"/>
      <c r="D61" s="84">
        <v>150000</v>
      </c>
      <c r="E61" s="49">
        <v>150000</v>
      </c>
      <c r="F61" s="48"/>
      <c r="G61" s="48"/>
    </row>
    <row r="62" spans="1:9" ht="12" hidden="1" customHeight="1" outlineLevel="2" x14ac:dyDescent="0.2">
      <c r="A62" s="47" t="s">
        <v>401</v>
      </c>
      <c r="B62" s="45"/>
      <c r="C62" s="45"/>
      <c r="D62" s="46">
        <v>150000</v>
      </c>
      <c r="E62" s="46">
        <v>150000</v>
      </c>
      <c r="F62" s="45"/>
      <c r="G62" s="45"/>
    </row>
    <row r="63" spans="1:9" ht="23.25" customHeight="1" outlineLevel="1" collapsed="1" x14ac:dyDescent="0.2">
      <c r="A63" s="50" t="s">
        <v>400</v>
      </c>
      <c r="B63" s="48"/>
      <c r="C63" s="48"/>
      <c r="D63" s="84">
        <v>147189.10999999999</v>
      </c>
      <c r="E63" s="49">
        <v>147189.10999999999</v>
      </c>
      <c r="F63" s="48"/>
      <c r="G63" s="48"/>
    </row>
    <row r="64" spans="1:9" ht="12" hidden="1" customHeight="1" outlineLevel="2" x14ac:dyDescent="0.2">
      <c r="A64" s="47" t="s">
        <v>399</v>
      </c>
      <c r="B64" s="45"/>
      <c r="C64" s="45"/>
      <c r="D64" s="46">
        <v>147189.10999999999</v>
      </c>
      <c r="E64" s="46">
        <v>147189.10999999999</v>
      </c>
      <c r="F64" s="45"/>
      <c r="G64" s="45"/>
    </row>
    <row r="65" spans="1:7" ht="12" customHeight="1" outlineLevel="1" collapsed="1" x14ac:dyDescent="0.2">
      <c r="A65" s="50" t="s">
        <v>362</v>
      </c>
      <c r="B65" s="48"/>
      <c r="C65" s="48"/>
      <c r="D65" s="84">
        <v>380955.51</v>
      </c>
      <c r="E65" s="49">
        <v>380955.51</v>
      </c>
      <c r="F65" s="48"/>
      <c r="G65" s="48"/>
    </row>
    <row r="66" spans="1:7" ht="12" hidden="1" customHeight="1" outlineLevel="2" x14ac:dyDescent="0.2">
      <c r="A66" s="47" t="s">
        <v>398</v>
      </c>
      <c r="B66" s="45"/>
      <c r="C66" s="45"/>
      <c r="D66" s="46">
        <v>96260</v>
      </c>
      <c r="E66" s="46">
        <v>96260</v>
      </c>
      <c r="F66" s="45"/>
      <c r="G66" s="45"/>
    </row>
    <row r="67" spans="1:7" ht="12" hidden="1" customHeight="1" outlineLevel="2" x14ac:dyDescent="0.2">
      <c r="A67" s="47" t="s">
        <v>397</v>
      </c>
      <c r="B67" s="45"/>
      <c r="C67" s="45"/>
      <c r="D67" s="46">
        <v>284695.51</v>
      </c>
      <c r="E67" s="46">
        <v>284695.51</v>
      </c>
      <c r="F67" s="45"/>
      <c r="G67" s="45"/>
    </row>
    <row r="68" spans="1:7" ht="12" customHeight="1" outlineLevel="1" collapsed="1" x14ac:dyDescent="0.2">
      <c r="A68" s="50" t="s">
        <v>396</v>
      </c>
      <c r="B68" s="48"/>
      <c r="C68" s="48"/>
      <c r="D68" s="84">
        <v>2299262.5099999998</v>
      </c>
      <c r="E68" s="49">
        <v>2299262.5099999998</v>
      </c>
      <c r="F68" s="48"/>
      <c r="G68" s="48"/>
    </row>
    <row r="69" spans="1:7" ht="23.25" hidden="1" customHeight="1" outlineLevel="2" x14ac:dyDescent="0.2">
      <c r="A69" s="47" t="s">
        <v>395</v>
      </c>
      <c r="B69" s="45"/>
      <c r="C69" s="45"/>
      <c r="D69" s="46">
        <v>2299262.5099999998</v>
      </c>
      <c r="E69" s="46">
        <v>2299262.5099999998</v>
      </c>
      <c r="F69" s="45"/>
      <c r="G69" s="45"/>
    </row>
    <row r="70" spans="1:7" ht="12" customHeight="1" outlineLevel="1" collapsed="1" x14ac:dyDescent="0.2">
      <c r="A70" s="50" t="s">
        <v>394</v>
      </c>
      <c r="B70" s="48"/>
      <c r="C70" s="48"/>
      <c r="D70" s="84">
        <v>1108891.1399999999</v>
      </c>
      <c r="E70" s="49">
        <v>1108891.1399999999</v>
      </c>
      <c r="F70" s="48"/>
      <c r="G70" s="48"/>
    </row>
    <row r="71" spans="1:7" ht="12" hidden="1" customHeight="1" outlineLevel="2" x14ac:dyDescent="0.2">
      <c r="A71" s="47" t="s">
        <v>393</v>
      </c>
      <c r="B71" s="45"/>
      <c r="C71" s="45"/>
      <c r="D71" s="46">
        <v>854307.92</v>
      </c>
      <c r="E71" s="46">
        <v>854307.92</v>
      </c>
      <c r="F71" s="45"/>
      <c r="G71" s="45"/>
    </row>
    <row r="72" spans="1:7" ht="12" hidden="1" customHeight="1" outlineLevel="2" x14ac:dyDescent="0.2">
      <c r="A72" s="47" t="s">
        <v>392</v>
      </c>
      <c r="B72" s="45"/>
      <c r="C72" s="45"/>
      <c r="D72" s="46">
        <v>254583.22</v>
      </c>
      <c r="E72" s="46">
        <v>254583.22</v>
      </c>
      <c r="F72" s="45"/>
      <c r="G72" s="45"/>
    </row>
    <row r="73" spans="1:7" ht="12" customHeight="1" outlineLevel="1" collapsed="1" x14ac:dyDescent="0.2">
      <c r="A73" s="50" t="s">
        <v>391</v>
      </c>
      <c r="B73" s="48"/>
      <c r="C73" s="48"/>
      <c r="D73" s="84">
        <v>462472.48</v>
      </c>
      <c r="E73" s="49">
        <v>462472.48</v>
      </c>
      <c r="F73" s="48"/>
      <c r="G73" s="48"/>
    </row>
    <row r="74" spans="1:7" ht="12" hidden="1" customHeight="1" outlineLevel="2" x14ac:dyDescent="0.2">
      <c r="A74" s="47" t="s">
        <v>390</v>
      </c>
      <c r="B74" s="45"/>
      <c r="C74" s="45"/>
      <c r="D74" s="46">
        <v>462472.48</v>
      </c>
      <c r="E74" s="46">
        <v>462472.48</v>
      </c>
      <c r="F74" s="45"/>
      <c r="G74" s="45"/>
    </row>
    <row r="75" spans="1:7" ht="12" customHeight="1" outlineLevel="1" collapsed="1" x14ac:dyDescent="0.2">
      <c r="A75" s="50" t="s">
        <v>389</v>
      </c>
      <c r="B75" s="48"/>
      <c r="C75" s="48"/>
      <c r="D75" s="84">
        <v>73492.23</v>
      </c>
      <c r="E75" s="49">
        <v>73492.23</v>
      </c>
      <c r="F75" s="48"/>
      <c r="G75" s="48"/>
    </row>
    <row r="76" spans="1:7" ht="12" hidden="1" customHeight="1" outlineLevel="2" x14ac:dyDescent="0.2">
      <c r="A76" s="47" t="s">
        <v>388</v>
      </c>
      <c r="B76" s="45"/>
      <c r="C76" s="45"/>
      <c r="D76" s="46">
        <v>73492.23</v>
      </c>
      <c r="E76" s="46">
        <v>73492.23</v>
      </c>
      <c r="F76" s="45"/>
      <c r="G76" s="45"/>
    </row>
    <row r="77" spans="1:7" ht="12.75" customHeight="1" x14ac:dyDescent="0.2">
      <c r="A77" s="44" t="s">
        <v>387</v>
      </c>
      <c r="B77" s="42"/>
      <c r="C77" s="42"/>
      <c r="D77" s="43">
        <v>37290372.5</v>
      </c>
      <c r="E77" s="43">
        <v>37290372.5</v>
      </c>
      <c r="F77" s="42"/>
      <c r="G77" s="42"/>
    </row>
  </sheetData>
  <autoFilter ref="A9:K9"/>
  <mergeCells count="10">
    <mergeCell ref="A4:G4"/>
    <mergeCell ref="B6:C6"/>
    <mergeCell ref="D6:E6"/>
    <mergeCell ref="F6:G6"/>
    <mergeCell ref="B7:B8"/>
    <mergeCell ref="C7:C8"/>
    <mergeCell ref="D7:D8"/>
    <mergeCell ref="E7:E8"/>
    <mergeCell ref="F7:F8"/>
    <mergeCell ref="G7:G8"/>
  </mergeCells>
  <pageMargins left="0.39370078740157477" right="0.39370078740157477" top="0" bottom="0" header="0" footer="0"/>
  <pageSetup paperSize="9" scale="55" fitToWidth="0" fitToHeight="0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autoPageBreaks="0"/>
  </sheetPr>
  <dimension ref="A1:H80"/>
  <sheetViews>
    <sheetView zoomScaleNormal="100" workbookViewId="0">
      <pane xSplit="1" ySplit="9" topLeftCell="D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 outlineLevelRow="2" outlineLevelCol="1" x14ac:dyDescent="0.2"/>
  <cols>
    <col min="1" max="1" width="30" style="41" customWidth="1" collapsed="1"/>
    <col min="2" max="3" width="16" style="41" hidden="1" customWidth="1" outlineLevel="1"/>
    <col min="4" max="4" width="16" style="41" customWidth="1" collapsed="1"/>
    <col min="5" max="7" width="16" style="41" hidden="1" customWidth="1" outlineLevel="1"/>
    <col min="8" max="256" width="9.140625" style="41" customWidth="1"/>
    <col min="257" max="16384" width="9.140625" style="41"/>
  </cols>
  <sheetData>
    <row r="1" spans="1:8" ht="12.75" customHeight="1" x14ac:dyDescent="0.2">
      <c r="A1" s="58" t="s">
        <v>437</v>
      </c>
      <c r="B1" s="55"/>
      <c r="C1" s="55"/>
      <c r="D1" s="55"/>
    </row>
    <row r="2" spans="1:8" ht="15.75" customHeight="1" x14ac:dyDescent="0.25">
      <c r="A2" s="57" t="s">
        <v>474</v>
      </c>
      <c r="B2" s="55"/>
      <c r="C2" s="55"/>
      <c r="D2" s="55"/>
    </row>
    <row r="3" spans="1:8" ht="2.1" customHeight="1" x14ac:dyDescent="0.2"/>
    <row r="4" spans="1:8" ht="11.25" customHeight="1" x14ac:dyDescent="0.2">
      <c r="A4" s="278" t="s">
        <v>435</v>
      </c>
      <c r="B4" s="279"/>
      <c r="C4" s="280"/>
      <c r="D4" s="280"/>
      <c r="E4" s="280"/>
      <c r="F4" s="280"/>
      <c r="G4" s="280"/>
    </row>
    <row r="5" spans="1:8" ht="2.1" customHeight="1" x14ac:dyDescent="0.2">
      <c r="A5" s="56"/>
      <c r="B5" s="56"/>
      <c r="C5" s="55"/>
      <c r="D5" s="55"/>
      <c r="E5" s="55"/>
      <c r="F5" s="55"/>
      <c r="G5" s="55"/>
    </row>
    <row r="6" spans="1:8" ht="12.75" customHeight="1" x14ac:dyDescent="0.2">
      <c r="A6" s="54" t="s">
        <v>434</v>
      </c>
      <c r="B6" s="281" t="s">
        <v>433</v>
      </c>
      <c r="C6" s="281"/>
      <c r="D6" s="281" t="s">
        <v>432</v>
      </c>
      <c r="E6" s="281"/>
      <c r="F6" s="281" t="s">
        <v>431</v>
      </c>
      <c r="G6" s="281"/>
    </row>
    <row r="7" spans="1:8" ht="12.75" customHeight="1" x14ac:dyDescent="0.2">
      <c r="A7" s="54" t="s">
        <v>430</v>
      </c>
      <c r="B7" s="282" t="s">
        <v>429</v>
      </c>
      <c r="C7" s="282" t="s">
        <v>428</v>
      </c>
      <c r="D7" s="282" t="s">
        <v>429</v>
      </c>
      <c r="E7" s="282" t="s">
        <v>428</v>
      </c>
      <c r="F7" s="282" t="s">
        <v>429</v>
      </c>
      <c r="G7" s="282" t="s">
        <v>428</v>
      </c>
    </row>
    <row r="8" spans="1:8" ht="12.75" customHeight="1" x14ac:dyDescent="0.2">
      <c r="A8" s="54" t="s">
        <v>427</v>
      </c>
      <c r="B8" s="284"/>
      <c r="C8" s="284"/>
      <c r="D8" s="284"/>
      <c r="E8" s="284"/>
      <c r="F8" s="284"/>
      <c r="G8" s="284"/>
    </row>
    <row r="9" spans="1:8" ht="12.75" customHeight="1" x14ac:dyDescent="0.2">
      <c r="A9" s="53" t="s">
        <v>473</v>
      </c>
      <c r="B9" s="51"/>
      <c r="C9" s="51"/>
      <c r="D9" s="52">
        <v>66149694.539999999</v>
      </c>
      <c r="E9" s="52">
        <v>66149694.539999999</v>
      </c>
      <c r="F9" s="51"/>
      <c r="G9" s="51"/>
      <c r="H9" s="126" t="s">
        <v>22</v>
      </c>
    </row>
    <row r="10" spans="1:8" ht="12" customHeight="1" outlineLevel="1" collapsed="1" x14ac:dyDescent="0.2">
      <c r="A10" s="79" t="s">
        <v>472</v>
      </c>
      <c r="B10" s="48"/>
      <c r="C10" s="48"/>
      <c r="D10" s="49">
        <v>2648926.4900000002</v>
      </c>
      <c r="E10" s="49">
        <v>2648926.4900000002</v>
      </c>
      <c r="F10" s="48"/>
      <c r="G10" s="48"/>
      <c r="H10" s="109" t="s">
        <v>362</v>
      </c>
    </row>
    <row r="11" spans="1:8" ht="12" hidden="1" customHeight="1" outlineLevel="2" x14ac:dyDescent="0.2">
      <c r="A11" s="47" t="s">
        <v>472</v>
      </c>
      <c r="B11" s="45"/>
      <c r="C11" s="45"/>
      <c r="D11" s="46">
        <v>59800</v>
      </c>
      <c r="E11" s="46">
        <v>59800</v>
      </c>
      <c r="F11" s="45"/>
      <c r="G11" s="45"/>
    </row>
    <row r="12" spans="1:8" ht="12" hidden="1" customHeight="1" outlineLevel="2" x14ac:dyDescent="0.2">
      <c r="A12" s="47" t="s">
        <v>471</v>
      </c>
      <c r="B12" s="45"/>
      <c r="C12" s="45"/>
      <c r="D12" s="46">
        <v>2298939.96</v>
      </c>
      <c r="E12" s="46">
        <v>2298939.96</v>
      </c>
      <c r="F12" s="45"/>
      <c r="G12" s="45"/>
    </row>
    <row r="13" spans="1:8" ht="23.25" hidden="1" customHeight="1" outlineLevel="2" x14ac:dyDescent="0.2">
      <c r="A13" s="47" t="s">
        <v>470</v>
      </c>
      <c r="B13" s="45"/>
      <c r="C13" s="45"/>
      <c r="D13" s="46">
        <v>74800</v>
      </c>
      <c r="E13" s="46">
        <v>74800</v>
      </c>
      <c r="F13" s="45"/>
      <c r="G13" s="45"/>
    </row>
    <row r="14" spans="1:8" ht="12" hidden="1" customHeight="1" outlineLevel="2" x14ac:dyDescent="0.2">
      <c r="A14" s="47" t="s">
        <v>469</v>
      </c>
      <c r="B14" s="45"/>
      <c r="C14" s="45"/>
      <c r="D14" s="46">
        <v>165493.32999999999</v>
      </c>
      <c r="E14" s="46">
        <v>165493.32999999999</v>
      </c>
      <c r="F14" s="45"/>
      <c r="G14" s="45"/>
    </row>
    <row r="15" spans="1:8" ht="12" hidden="1" customHeight="1" outlineLevel="2" x14ac:dyDescent="0.2">
      <c r="A15" s="47" t="s">
        <v>340</v>
      </c>
      <c r="B15" s="45"/>
      <c r="C15" s="45"/>
      <c r="D15" s="46">
        <v>33687.4</v>
      </c>
      <c r="E15" s="46">
        <v>33687.4</v>
      </c>
      <c r="F15" s="45"/>
      <c r="G15" s="45"/>
    </row>
    <row r="16" spans="1:8" ht="12" hidden="1" customHeight="1" outlineLevel="2" x14ac:dyDescent="0.2">
      <c r="A16" s="47" t="s">
        <v>392</v>
      </c>
      <c r="B16" s="45"/>
      <c r="C16" s="45"/>
      <c r="D16" s="46">
        <v>16205.8</v>
      </c>
      <c r="E16" s="46">
        <v>16205.8</v>
      </c>
      <c r="F16" s="45"/>
      <c r="G16" s="45"/>
    </row>
    <row r="17" spans="1:8" ht="12" customHeight="1" outlineLevel="1" collapsed="1" x14ac:dyDescent="0.2">
      <c r="A17" s="79" t="s">
        <v>468</v>
      </c>
      <c r="B17" s="48"/>
      <c r="C17" s="48"/>
      <c r="D17" s="49">
        <v>9563714.1699999999</v>
      </c>
      <c r="E17" s="49">
        <v>9563714.1699999999</v>
      </c>
      <c r="F17" s="48"/>
      <c r="G17" s="48"/>
      <c r="H17" s="109" t="s">
        <v>361</v>
      </c>
    </row>
    <row r="18" spans="1:8" ht="12" hidden="1" customHeight="1" outlineLevel="2" x14ac:dyDescent="0.2">
      <c r="A18" s="47" t="s">
        <v>438</v>
      </c>
      <c r="B18" s="45"/>
      <c r="C18" s="45"/>
      <c r="D18" s="46">
        <v>7540350.6699999999</v>
      </c>
      <c r="E18" s="46">
        <v>7540350.6699999999</v>
      </c>
      <c r="F18" s="45"/>
      <c r="G18" s="45"/>
    </row>
    <row r="19" spans="1:8" ht="12" hidden="1" customHeight="1" outlineLevel="2" x14ac:dyDescent="0.2">
      <c r="A19" s="47" t="s">
        <v>392</v>
      </c>
      <c r="B19" s="45"/>
      <c r="C19" s="45"/>
      <c r="D19" s="46">
        <v>2023363.5</v>
      </c>
      <c r="E19" s="46">
        <v>2023363.5</v>
      </c>
      <c r="F19" s="45"/>
      <c r="G19" s="45"/>
    </row>
    <row r="20" spans="1:8" ht="12" customHeight="1" outlineLevel="1" collapsed="1" x14ac:dyDescent="0.2">
      <c r="A20" s="79" t="s">
        <v>467</v>
      </c>
      <c r="B20" s="48"/>
      <c r="C20" s="48"/>
      <c r="D20" s="49">
        <v>2027699.97</v>
      </c>
      <c r="E20" s="49">
        <v>2027699.97</v>
      </c>
      <c r="F20" s="48"/>
      <c r="G20" s="48"/>
      <c r="H20" s="109" t="s">
        <v>361</v>
      </c>
    </row>
    <row r="21" spans="1:8" ht="12" hidden="1" customHeight="1" outlineLevel="2" x14ac:dyDescent="0.2">
      <c r="A21" s="47" t="s">
        <v>438</v>
      </c>
      <c r="B21" s="45"/>
      <c r="C21" s="45"/>
      <c r="D21" s="46">
        <v>1565110.65</v>
      </c>
      <c r="E21" s="46">
        <v>1565110.65</v>
      </c>
      <c r="F21" s="45"/>
      <c r="G21" s="45"/>
    </row>
    <row r="22" spans="1:8" ht="12" hidden="1" customHeight="1" outlineLevel="2" x14ac:dyDescent="0.2">
      <c r="A22" s="47" t="s">
        <v>392</v>
      </c>
      <c r="B22" s="45"/>
      <c r="C22" s="45"/>
      <c r="D22" s="46">
        <v>462589.32</v>
      </c>
      <c r="E22" s="46">
        <v>462589.32</v>
      </c>
      <c r="F22" s="45"/>
      <c r="G22" s="45"/>
    </row>
    <row r="23" spans="1:8" ht="12" customHeight="1" outlineLevel="1" x14ac:dyDescent="0.2">
      <c r="A23" s="79" t="s">
        <v>424</v>
      </c>
      <c r="B23" s="48"/>
      <c r="C23" s="48"/>
      <c r="D23" s="49">
        <v>6128067.9500000002</v>
      </c>
      <c r="E23" s="49">
        <v>6128067.9500000002</v>
      </c>
      <c r="F23" s="48"/>
      <c r="G23" s="48"/>
    </row>
    <row r="24" spans="1:8" ht="12" customHeight="1" outlineLevel="2" x14ac:dyDescent="0.2">
      <c r="A24" s="47" t="s">
        <v>466</v>
      </c>
      <c r="B24" s="45"/>
      <c r="C24" s="45"/>
      <c r="D24" s="46">
        <v>700000</v>
      </c>
      <c r="E24" s="46">
        <v>700000</v>
      </c>
      <c r="F24" s="45"/>
      <c r="G24" s="45"/>
      <c r="H24" s="109" t="s">
        <v>362</v>
      </c>
    </row>
    <row r="25" spans="1:8" ht="12" customHeight="1" outlineLevel="2" x14ac:dyDescent="0.2">
      <c r="A25" s="47" t="s">
        <v>465</v>
      </c>
      <c r="B25" s="45"/>
      <c r="C25" s="45"/>
      <c r="D25" s="46">
        <v>156345.54999999999</v>
      </c>
      <c r="E25" s="46">
        <v>156345.54999999999</v>
      </c>
      <c r="F25" s="45"/>
      <c r="G25" s="45"/>
      <c r="H25" s="109" t="s">
        <v>362</v>
      </c>
    </row>
    <row r="26" spans="1:8" ht="12" customHeight="1" outlineLevel="2" x14ac:dyDescent="0.2">
      <c r="A26" s="47" t="s">
        <v>464</v>
      </c>
      <c r="B26" s="45"/>
      <c r="C26" s="45"/>
      <c r="D26" s="46">
        <v>71250</v>
      </c>
      <c r="E26" s="46">
        <v>71250</v>
      </c>
      <c r="F26" s="45"/>
      <c r="G26" s="45"/>
      <c r="H26" s="109" t="s">
        <v>362</v>
      </c>
    </row>
    <row r="27" spans="1:8" ht="12" customHeight="1" outlineLevel="2" x14ac:dyDescent="0.2">
      <c r="A27" s="47" t="s">
        <v>463</v>
      </c>
      <c r="B27" s="45"/>
      <c r="C27" s="45"/>
      <c r="D27" s="46">
        <v>5534.25</v>
      </c>
      <c r="E27" s="46">
        <v>5534.25</v>
      </c>
      <c r="F27" s="45"/>
      <c r="G27" s="45"/>
      <c r="H27" s="109" t="s">
        <v>362</v>
      </c>
    </row>
    <row r="28" spans="1:8" ht="12" customHeight="1" outlineLevel="2" x14ac:dyDescent="0.2">
      <c r="A28" s="47" t="s">
        <v>462</v>
      </c>
      <c r="B28" s="45"/>
      <c r="C28" s="45"/>
      <c r="D28" s="46">
        <v>7240</v>
      </c>
      <c r="E28" s="46">
        <v>7240</v>
      </c>
      <c r="F28" s="45"/>
      <c r="G28" s="45"/>
      <c r="H28" s="109" t="s">
        <v>362</v>
      </c>
    </row>
    <row r="29" spans="1:8" ht="12" customHeight="1" outlineLevel="2" x14ac:dyDescent="0.2">
      <c r="A29" s="47" t="s">
        <v>441</v>
      </c>
      <c r="B29" s="45"/>
      <c r="C29" s="45"/>
      <c r="D29" s="46">
        <v>1056778.06</v>
      </c>
      <c r="E29" s="46">
        <v>1056778.06</v>
      </c>
      <c r="F29" s="45"/>
      <c r="G29" s="45"/>
      <c r="H29" s="109" t="s">
        <v>362</v>
      </c>
    </row>
    <row r="30" spans="1:8" ht="12" customHeight="1" outlineLevel="2" x14ac:dyDescent="0.2">
      <c r="A30" s="47" t="s">
        <v>461</v>
      </c>
      <c r="B30" s="45"/>
      <c r="C30" s="45"/>
      <c r="D30" s="46">
        <v>34908.81</v>
      </c>
      <c r="E30" s="46">
        <v>34908.81</v>
      </c>
      <c r="F30" s="45"/>
      <c r="G30" s="45"/>
      <c r="H30" s="109" t="s">
        <v>362</v>
      </c>
    </row>
    <row r="31" spans="1:8" ht="12" customHeight="1" outlineLevel="2" x14ac:dyDescent="0.2">
      <c r="A31" s="47" t="s">
        <v>460</v>
      </c>
      <c r="B31" s="45"/>
      <c r="C31" s="45"/>
      <c r="D31" s="46">
        <v>4022361.28</v>
      </c>
      <c r="E31" s="46">
        <v>4022361.28</v>
      </c>
      <c r="F31" s="45"/>
      <c r="G31" s="45"/>
      <c r="H31" s="109" t="s">
        <v>362</v>
      </c>
    </row>
    <row r="32" spans="1:8" ht="23.25" customHeight="1" outlineLevel="2" x14ac:dyDescent="0.2">
      <c r="A32" s="47" t="s">
        <v>440</v>
      </c>
      <c r="B32" s="45"/>
      <c r="C32" s="45"/>
      <c r="D32" s="46">
        <v>25650</v>
      </c>
      <c r="E32" s="46">
        <v>25650</v>
      </c>
      <c r="F32" s="45"/>
      <c r="G32" s="45"/>
      <c r="H32" s="109" t="s">
        <v>362</v>
      </c>
    </row>
    <row r="33" spans="1:8" ht="12" customHeight="1" outlineLevel="2" x14ac:dyDescent="0.2">
      <c r="A33" s="47" t="s">
        <v>459</v>
      </c>
      <c r="B33" s="45"/>
      <c r="C33" s="45"/>
      <c r="D33" s="46">
        <v>48000</v>
      </c>
      <c r="E33" s="46">
        <v>48000</v>
      </c>
      <c r="F33" s="45"/>
      <c r="G33" s="45"/>
      <c r="H33" s="109" t="s">
        <v>363</v>
      </c>
    </row>
    <row r="34" spans="1:8" ht="12" customHeight="1" outlineLevel="1" collapsed="1" x14ac:dyDescent="0.2">
      <c r="A34" s="79" t="s">
        <v>458</v>
      </c>
      <c r="B34" s="48"/>
      <c r="C34" s="48"/>
      <c r="D34" s="49">
        <v>523800</v>
      </c>
      <c r="E34" s="49">
        <v>523800</v>
      </c>
      <c r="F34" s="48"/>
      <c r="G34" s="48"/>
      <c r="H34" s="109" t="s">
        <v>362</v>
      </c>
    </row>
    <row r="35" spans="1:8" ht="12" hidden="1" customHeight="1" outlineLevel="2" x14ac:dyDescent="0.2">
      <c r="A35" s="47" t="s">
        <v>457</v>
      </c>
      <c r="B35" s="45"/>
      <c r="C35" s="45"/>
      <c r="D35" s="46">
        <v>523800</v>
      </c>
      <c r="E35" s="46">
        <v>523800</v>
      </c>
      <c r="F35" s="45"/>
      <c r="G35" s="45"/>
    </row>
    <row r="36" spans="1:8" ht="12" customHeight="1" outlineLevel="1" collapsed="1" x14ac:dyDescent="0.2">
      <c r="A36" s="79" t="s">
        <v>456</v>
      </c>
      <c r="B36" s="48"/>
      <c r="C36" s="48"/>
      <c r="D36" s="49">
        <v>1842283.47</v>
      </c>
      <c r="E36" s="49">
        <v>1842283.47</v>
      </c>
      <c r="F36" s="48"/>
      <c r="G36" s="48"/>
      <c r="H36" s="109" t="s">
        <v>361</v>
      </c>
    </row>
    <row r="37" spans="1:8" ht="12" hidden="1" customHeight="1" outlineLevel="2" x14ac:dyDescent="0.2">
      <c r="A37" s="47" t="s">
        <v>438</v>
      </c>
      <c r="B37" s="45"/>
      <c r="C37" s="45"/>
      <c r="D37" s="46">
        <v>1423274.77</v>
      </c>
      <c r="E37" s="46">
        <v>1423274.77</v>
      </c>
      <c r="F37" s="45"/>
      <c r="G37" s="45"/>
    </row>
    <row r="38" spans="1:8" ht="12" hidden="1" customHeight="1" outlineLevel="2" x14ac:dyDescent="0.2">
      <c r="A38" s="47" t="s">
        <v>392</v>
      </c>
      <c r="B38" s="45"/>
      <c r="C38" s="45"/>
      <c r="D38" s="46">
        <v>419008.7</v>
      </c>
      <c r="E38" s="46">
        <v>419008.7</v>
      </c>
      <c r="F38" s="45"/>
      <c r="G38" s="45"/>
    </row>
    <row r="39" spans="1:8" ht="12" customHeight="1" outlineLevel="1" collapsed="1" x14ac:dyDescent="0.2">
      <c r="A39" s="79" t="s">
        <v>421</v>
      </c>
      <c r="B39" s="48"/>
      <c r="C39" s="48"/>
      <c r="D39" s="49">
        <v>12300</v>
      </c>
      <c r="E39" s="49">
        <v>12300</v>
      </c>
      <c r="F39" s="48"/>
      <c r="G39" s="48"/>
      <c r="H39" s="109" t="s">
        <v>362</v>
      </c>
    </row>
    <row r="40" spans="1:8" ht="12" hidden="1" customHeight="1" outlineLevel="2" x14ac:dyDescent="0.2">
      <c r="A40" s="47" t="s">
        <v>420</v>
      </c>
      <c r="B40" s="45"/>
      <c r="C40" s="45"/>
      <c r="D40" s="46">
        <v>12300</v>
      </c>
      <c r="E40" s="46">
        <v>12300</v>
      </c>
      <c r="F40" s="45"/>
      <c r="G40" s="45"/>
    </row>
    <row r="41" spans="1:8" ht="12" customHeight="1" outlineLevel="1" collapsed="1" x14ac:dyDescent="0.2">
      <c r="A41" s="79" t="s">
        <v>455</v>
      </c>
      <c r="B41" s="48"/>
      <c r="C41" s="48"/>
      <c r="D41" s="49">
        <v>5465930.6799999997</v>
      </c>
      <c r="E41" s="49">
        <v>5465930.6799999997</v>
      </c>
      <c r="F41" s="48"/>
      <c r="G41" s="48"/>
      <c r="H41" s="109" t="s">
        <v>361</v>
      </c>
    </row>
    <row r="42" spans="1:8" ht="12" hidden="1" customHeight="1" outlineLevel="2" x14ac:dyDescent="0.2">
      <c r="A42" s="47" t="s">
        <v>438</v>
      </c>
      <c r="B42" s="45"/>
      <c r="C42" s="45"/>
      <c r="D42" s="46">
        <v>4253048.41</v>
      </c>
      <c r="E42" s="46">
        <v>4253048.41</v>
      </c>
      <c r="F42" s="45"/>
      <c r="G42" s="45"/>
    </row>
    <row r="43" spans="1:8" ht="12" hidden="1" customHeight="1" outlineLevel="2" x14ac:dyDescent="0.2">
      <c r="A43" s="47" t="s">
        <v>392</v>
      </c>
      <c r="B43" s="45"/>
      <c r="C43" s="45"/>
      <c r="D43" s="46">
        <v>1212882.27</v>
      </c>
      <c r="E43" s="46">
        <v>1212882.27</v>
      </c>
      <c r="F43" s="45"/>
      <c r="G43" s="45"/>
    </row>
    <row r="44" spans="1:8" ht="12" customHeight="1" outlineLevel="1" collapsed="1" x14ac:dyDescent="0.2">
      <c r="A44" s="79" t="s">
        <v>454</v>
      </c>
      <c r="B44" s="48"/>
      <c r="C44" s="48"/>
      <c r="D44" s="49">
        <v>14275452.35</v>
      </c>
      <c r="E44" s="49">
        <v>14275452.35</v>
      </c>
      <c r="F44" s="48"/>
      <c r="G44" s="48"/>
      <c r="H44" s="109" t="s">
        <v>361</v>
      </c>
    </row>
    <row r="45" spans="1:8" ht="12" hidden="1" customHeight="1" outlineLevel="2" x14ac:dyDescent="0.2">
      <c r="A45" s="47" t="s">
        <v>438</v>
      </c>
      <c r="B45" s="45"/>
      <c r="C45" s="45"/>
      <c r="D45" s="46">
        <v>11026070.779999999</v>
      </c>
      <c r="E45" s="46">
        <v>11026070.779999999</v>
      </c>
      <c r="F45" s="45"/>
      <c r="G45" s="45"/>
    </row>
    <row r="46" spans="1:8" ht="12" hidden="1" customHeight="1" outlineLevel="2" x14ac:dyDescent="0.2">
      <c r="A46" s="47" t="s">
        <v>392</v>
      </c>
      <c r="B46" s="45"/>
      <c r="C46" s="45"/>
      <c r="D46" s="46">
        <v>3249381.57</v>
      </c>
      <c r="E46" s="46">
        <v>3249381.57</v>
      </c>
      <c r="F46" s="45"/>
      <c r="G46" s="45"/>
    </row>
    <row r="47" spans="1:8" ht="12" customHeight="1" outlineLevel="1" collapsed="1" x14ac:dyDescent="0.2">
      <c r="A47" s="79" t="s">
        <v>453</v>
      </c>
      <c r="B47" s="48"/>
      <c r="C47" s="48"/>
      <c r="D47" s="49">
        <v>2095569.39</v>
      </c>
      <c r="E47" s="49">
        <v>2095569.39</v>
      </c>
      <c r="F47" s="48"/>
      <c r="G47" s="48"/>
      <c r="H47" s="109" t="s">
        <v>361</v>
      </c>
    </row>
    <row r="48" spans="1:8" ht="12" hidden="1" customHeight="1" outlineLevel="2" x14ac:dyDescent="0.2">
      <c r="A48" s="47" t="s">
        <v>438</v>
      </c>
      <c r="B48" s="45"/>
      <c r="C48" s="45"/>
      <c r="D48" s="46">
        <v>1619031.68</v>
      </c>
      <c r="E48" s="46">
        <v>1619031.68</v>
      </c>
      <c r="F48" s="45"/>
      <c r="G48" s="45"/>
    </row>
    <row r="49" spans="1:8" ht="12" hidden="1" customHeight="1" outlineLevel="2" x14ac:dyDescent="0.2">
      <c r="A49" s="47" t="s">
        <v>392</v>
      </c>
      <c r="B49" s="45"/>
      <c r="C49" s="45"/>
      <c r="D49" s="46">
        <v>476537.71</v>
      </c>
      <c r="E49" s="46">
        <v>476537.71</v>
      </c>
      <c r="F49" s="45"/>
      <c r="G49" s="45"/>
    </row>
    <row r="50" spans="1:8" ht="12" customHeight="1" outlineLevel="1" collapsed="1" x14ac:dyDescent="0.2">
      <c r="A50" s="79" t="s">
        <v>402</v>
      </c>
      <c r="B50" s="48"/>
      <c r="C50" s="48"/>
      <c r="D50" s="49">
        <v>219286</v>
      </c>
      <c r="E50" s="49">
        <v>219286</v>
      </c>
      <c r="F50" s="48"/>
      <c r="G50" s="48"/>
      <c r="H50" s="109" t="s">
        <v>362</v>
      </c>
    </row>
    <row r="51" spans="1:8" ht="12" hidden="1" customHeight="1" outlineLevel="2" x14ac:dyDescent="0.2">
      <c r="A51" s="47" t="s">
        <v>452</v>
      </c>
      <c r="B51" s="45"/>
      <c r="C51" s="45"/>
      <c r="D51" s="46">
        <v>219286</v>
      </c>
      <c r="E51" s="46">
        <v>219286</v>
      </c>
      <c r="F51" s="45"/>
      <c r="G51" s="45"/>
    </row>
    <row r="52" spans="1:8" ht="12" customHeight="1" outlineLevel="1" collapsed="1" x14ac:dyDescent="0.2">
      <c r="A52" s="79" t="s">
        <v>451</v>
      </c>
      <c r="B52" s="48"/>
      <c r="C52" s="48"/>
      <c r="D52" s="49">
        <v>2530572.08</v>
      </c>
      <c r="E52" s="49">
        <v>2530572.08</v>
      </c>
      <c r="F52" s="48"/>
      <c r="G52" s="48"/>
      <c r="H52" s="109" t="s">
        <v>361</v>
      </c>
    </row>
    <row r="53" spans="1:8" ht="12" hidden="1" customHeight="1" outlineLevel="2" x14ac:dyDescent="0.2">
      <c r="A53" s="47" t="s">
        <v>438</v>
      </c>
      <c r="B53" s="45"/>
      <c r="C53" s="45"/>
      <c r="D53" s="46">
        <v>1956977.72</v>
      </c>
      <c r="E53" s="46">
        <v>1956977.72</v>
      </c>
      <c r="F53" s="45"/>
      <c r="G53" s="45"/>
    </row>
    <row r="54" spans="1:8" ht="12" hidden="1" customHeight="1" outlineLevel="2" x14ac:dyDescent="0.2">
      <c r="A54" s="47" t="s">
        <v>392</v>
      </c>
      <c r="B54" s="45"/>
      <c r="C54" s="45"/>
      <c r="D54" s="46">
        <v>573594.36</v>
      </c>
      <c r="E54" s="46">
        <v>573594.36</v>
      </c>
      <c r="F54" s="45"/>
      <c r="G54" s="45"/>
    </row>
    <row r="55" spans="1:8" ht="12" customHeight="1" outlineLevel="1" collapsed="1" x14ac:dyDescent="0.2">
      <c r="A55" s="79" t="s">
        <v>450</v>
      </c>
      <c r="B55" s="48"/>
      <c r="C55" s="48"/>
      <c r="D55" s="49">
        <v>950635.63</v>
      </c>
      <c r="E55" s="49">
        <v>950635.63</v>
      </c>
      <c r="F55" s="48"/>
      <c r="G55" s="48"/>
      <c r="H55" s="109" t="s">
        <v>361</v>
      </c>
    </row>
    <row r="56" spans="1:8" ht="12" hidden="1" customHeight="1" outlineLevel="2" x14ac:dyDescent="0.2">
      <c r="A56" s="47" t="s">
        <v>438</v>
      </c>
      <c r="B56" s="45"/>
      <c r="C56" s="45"/>
      <c r="D56" s="46">
        <v>732516.83</v>
      </c>
      <c r="E56" s="46">
        <v>732516.83</v>
      </c>
      <c r="F56" s="45"/>
      <c r="G56" s="45"/>
    </row>
    <row r="57" spans="1:8" ht="12" hidden="1" customHeight="1" outlineLevel="2" x14ac:dyDescent="0.2">
      <c r="A57" s="47" t="s">
        <v>392</v>
      </c>
      <c r="B57" s="45"/>
      <c r="C57" s="45"/>
      <c r="D57" s="46">
        <v>218118.8</v>
      </c>
      <c r="E57" s="46">
        <v>218118.8</v>
      </c>
      <c r="F57" s="45"/>
      <c r="G57" s="45"/>
    </row>
    <row r="58" spans="1:8" ht="12" customHeight="1" outlineLevel="1" collapsed="1" x14ac:dyDescent="0.2">
      <c r="A58" s="79" t="s">
        <v>449</v>
      </c>
      <c r="B58" s="48"/>
      <c r="C58" s="48"/>
      <c r="D58" s="49">
        <v>1854566.73</v>
      </c>
      <c r="E58" s="49">
        <v>1854566.73</v>
      </c>
      <c r="F58" s="48"/>
      <c r="G58" s="48"/>
      <c r="H58" s="109" t="s">
        <v>361</v>
      </c>
    </row>
    <row r="59" spans="1:8" ht="12" hidden="1" customHeight="1" outlineLevel="2" x14ac:dyDescent="0.2">
      <c r="A59" s="47" t="s">
        <v>438</v>
      </c>
      <c r="B59" s="45"/>
      <c r="C59" s="45"/>
      <c r="D59" s="46">
        <v>1431288.87</v>
      </c>
      <c r="E59" s="46">
        <v>1431288.87</v>
      </c>
      <c r="F59" s="45"/>
      <c r="G59" s="45"/>
    </row>
    <row r="60" spans="1:8" ht="12" hidden="1" customHeight="1" outlineLevel="2" x14ac:dyDescent="0.2">
      <c r="A60" s="47" t="s">
        <v>392</v>
      </c>
      <c r="B60" s="45"/>
      <c r="C60" s="45"/>
      <c r="D60" s="46">
        <v>423277.86</v>
      </c>
      <c r="E60" s="46">
        <v>423277.86</v>
      </c>
      <c r="F60" s="45"/>
      <c r="G60" s="45"/>
    </row>
    <row r="61" spans="1:8" ht="12" customHeight="1" outlineLevel="1" collapsed="1" x14ac:dyDescent="0.2">
      <c r="A61" s="79" t="s">
        <v>448</v>
      </c>
      <c r="B61" s="48"/>
      <c r="C61" s="48"/>
      <c r="D61" s="49">
        <v>3969267.65</v>
      </c>
      <c r="E61" s="49">
        <v>3969267.65</v>
      </c>
      <c r="F61" s="48"/>
      <c r="G61" s="48"/>
      <c r="H61" s="109" t="s">
        <v>361</v>
      </c>
    </row>
    <row r="62" spans="1:8" ht="12" hidden="1" customHeight="1" outlineLevel="2" x14ac:dyDescent="0.2">
      <c r="A62" s="47" t="s">
        <v>438</v>
      </c>
      <c r="B62" s="45"/>
      <c r="C62" s="45"/>
      <c r="D62" s="46">
        <v>3068147.17</v>
      </c>
      <c r="E62" s="46">
        <v>3068147.17</v>
      </c>
      <c r="F62" s="45"/>
      <c r="G62" s="45"/>
    </row>
    <row r="63" spans="1:8" ht="12" hidden="1" customHeight="1" outlineLevel="2" x14ac:dyDescent="0.2">
      <c r="A63" s="47" t="s">
        <v>392</v>
      </c>
      <c r="B63" s="45"/>
      <c r="C63" s="45"/>
      <c r="D63" s="46">
        <v>901120.48</v>
      </c>
      <c r="E63" s="46">
        <v>901120.48</v>
      </c>
      <c r="F63" s="45"/>
      <c r="G63" s="45"/>
    </row>
    <row r="64" spans="1:8" ht="12" customHeight="1" outlineLevel="1" collapsed="1" x14ac:dyDescent="0.2">
      <c r="A64" s="79" t="s">
        <v>362</v>
      </c>
      <c r="B64" s="48"/>
      <c r="C64" s="48"/>
      <c r="D64" s="49">
        <v>1781804.55</v>
      </c>
      <c r="E64" s="49">
        <v>1781804.55</v>
      </c>
      <c r="F64" s="48"/>
      <c r="G64" s="48"/>
      <c r="H64" s="109" t="s">
        <v>362</v>
      </c>
    </row>
    <row r="65" spans="1:8" ht="34.5" hidden="1" customHeight="1" outlineLevel="2" x14ac:dyDescent="0.2">
      <c r="A65" s="47" t="s">
        <v>447</v>
      </c>
      <c r="B65" s="45"/>
      <c r="C65" s="45"/>
      <c r="D65" s="46">
        <v>45000</v>
      </c>
      <c r="E65" s="46">
        <v>45000</v>
      </c>
      <c r="F65" s="45"/>
      <c r="G65" s="45"/>
    </row>
    <row r="66" spans="1:8" ht="12" hidden="1" customHeight="1" outlineLevel="2" x14ac:dyDescent="0.2">
      <c r="A66" s="47" t="s">
        <v>446</v>
      </c>
      <c r="B66" s="45"/>
      <c r="C66" s="45"/>
      <c r="D66" s="46">
        <v>3500</v>
      </c>
      <c r="E66" s="46">
        <v>3500</v>
      </c>
      <c r="F66" s="45"/>
      <c r="G66" s="45"/>
    </row>
    <row r="67" spans="1:8" ht="12" hidden="1" customHeight="1" outlineLevel="2" x14ac:dyDescent="0.2">
      <c r="A67" s="47" t="s">
        <v>445</v>
      </c>
      <c r="B67" s="45"/>
      <c r="C67" s="45"/>
      <c r="D67" s="46">
        <v>342988.04</v>
      </c>
      <c r="E67" s="46">
        <v>342988.04</v>
      </c>
      <c r="F67" s="45"/>
      <c r="G67" s="45"/>
    </row>
    <row r="68" spans="1:8" ht="12" hidden="1" customHeight="1" outlineLevel="2" x14ac:dyDescent="0.2">
      <c r="A68" s="47" t="s">
        <v>444</v>
      </c>
      <c r="B68" s="45"/>
      <c r="C68" s="45"/>
      <c r="D68" s="46">
        <v>245780</v>
      </c>
      <c r="E68" s="46">
        <v>245780</v>
      </c>
      <c r="F68" s="45"/>
      <c r="G68" s="45"/>
    </row>
    <row r="69" spans="1:8" ht="12" hidden="1" customHeight="1" outlineLevel="2" x14ac:dyDescent="0.2">
      <c r="A69" s="47" t="s">
        <v>443</v>
      </c>
      <c r="B69" s="45"/>
      <c r="C69" s="45"/>
      <c r="D69" s="46">
        <v>51469</v>
      </c>
      <c r="E69" s="46">
        <v>51469</v>
      </c>
      <c r="F69" s="45"/>
      <c r="G69" s="45"/>
    </row>
    <row r="70" spans="1:8" ht="12" hidden="1" customHeight="1" outlineLevel="2" x14ac:dyDescent="0.2">
      <c r="A70" s="47" t="s">
        <v>442</v>
      </c>
      <c r="B70" s="45"/>
      <c r="C70" s="45"/>
      <c r="D70" s="46">
        <v>41367.51</v>
      </c>
      <c r="E70" s="46">
        <v>41367.51</v>
      </c>
      <c r="F70" s="45"/>
      <c r="G70" s="45"/>
    </row>
    <row r="71" spans="1:8" ht="12" hidden="1" customHeight="1" outlineLevel="2" x14ac:dyDescent="0.2">
      <c r="A71" s="47" t="s">
        <v>441</v>
      </c>
      <c r="B71" s="45"/>
      <c r="C71" s="45"/>
      <c r="D71" s="46">
        <v>13700</v>
      </c>
      <c r="E71" s="46">
        <v>13700</v>
      </c>
      <c r="F71" s="45"/>
      <c r="G71" s="45"/>
    </row>
    <row r="72" spans="1:8" ht="23.25" hidden="1" customHeight="1" outlineLevel="2" x14ac:dyDescent="0.2">
      <c r="A72" s="47" t="s">
        <v>440</v>
      </c>
      <c r="B72" s="45"/>
      <c r="C72" s="45"/>
      <c r="D72" s="46">
        <v>1038000</v>
      </c>
      <c r="E72" s="46">
        <v>1038000</v>
      </c>
      <c r="F72" s="45"/>
      <c r="G72" s="45"/>
    </row>
    <row r="73" spans="1:8" ht="12" customHeight="1" outlineLevel="1" collapsed="1" x14ac:dyDescent="0.2">
      <c r="A73" s="79" t="s">
        <v>396</v>
      </c>
      <c r="B73" s="48"/>
      <c r="C73" s="48"/>
      <c r="D73" s="49">
        <v>4114469.76</v>
      </c>
      <c r="E73" s="49">
        <v>4114469.76</v>
      </c>
      <c r="F73" s="48"/>
      <c r="G73" s="48"/>
      <c r="H73" s="109" t="s">
        <v>361</v>
      </c>
    </row>
    <row r="74" spans="1:8" ht="23.25" hidden="1" customHeight="1" outlineLevel="2" x14ac:dyDescent="0.2">
      <c r="A74" s="47" t="s">
        <v>395</v>
      </c>
      <c r="B74" s="45"/>
      <c r="C74" s="45"/>
      <c r="D74" s="46">
        <v>4114469.76</v>
      </c>
      <c r="E74" s="46">
        <v>4114469.76</v>
      </c>
      <c r="F74" s="45"/>
      <c r="G74" s="45"/>
    </row>
    <row r="75" spans="1:8" ht="12" customHeight="1" outlineLevel="1" collapsed="1" x14ac:dyDescent="0.2">
      <c r="A75" s="79" t="s">
        <v>389</v>
      </c>
      <c r="B75" s="48"/>
      <c r="C75" s="48"/>
      <c r="D75" s="49">
        <v>122954.58</v>
      </c>
      <c r="E75" s="49">
        <v>122954.58</v>
      </c>
      <c r="F75" s="48"/>
      <c r="G75" s="48"/>
      <c r="H75" s="109" t="s">
        <v>362</v>
      </c>
    </row>
    <row r="76" spans="1:8" ht="12" hidden="1" customHeight="1" outlineLevel="2" x14ac:dyDescent="0.2">
      <c r="A76" s="47" t="s">
        <v>388</v>
      </c>
      <c r="B76" s="45"/>
      <c r="C76" s="45"/>
      <c r="D76" s="46">
        <v>122954.58</v>
      </c>
      <c r="E76" s="46">
        <v>122954.58</v>
      </c>
      <c r="F76" s="45"/>
      <c r="G76" s="45"/>
    </row>
    <row r="77" spans="1:8" ht="12" customHeight="1" outlineLevel="1" collapsed="1" x14ac:dyDescent="0.2">
      <c r="A77" s="79" t="s">
        <v>439</v>
      </c>
      <c r="B77" s="48"/>
      <c r="C77" s="48"/>
      <c r="D77" s="49">
        <v>6022393.0899999999</v>
      </c>
      <c r="E77" s="49">
        <v>6022393.0899999999</v>
      </c>
      <c r="F77" s="48"/>
      <c r="G77" s="48"/>
      <c r="H77" s="109" t="s">
        <v>361</v>
      </c>
    </row>
    <row r="78" spans="1:8" ht="12" hidden="1" customHeight="1" outlineLevel="2" x14ac:dyDescent="0.2">
      <c r="A78" s="47" t="s">
        <v>438</v>
      </c>
      <c r="B78" s="45"/>
      <c r="C78" s="45"/>
      <c r="D78" s="46">
        <v>4660744.16</v>
      </c>
      <c r="E78" s="46">
        <v>4660744.16</v>
      </c>
      <c r="F78" s="45"/>
      <c r="G78" s="45"/>
    </row>
    <row r="79" spans="1:8" ht="12" hidden="1" customHeight="1" outlineLevel="2" x14ac:dyDescent="0.2">
      <c r="A79" s="47" t="s">
        <v>392</v>
      </c>
      <c r="B79" s="45"/>
      <c r="C79" s="45"/>
      <c r="D79" s="46">
        <v>1361648.93</v>
      </c>
      <c r="E79" s="46">
        <v>1361648.93</v>
      </c>
      <c r="F79" s="45"/>
      <c r="G79" s="45"/>
    </row>
    <row r="80" spans="1:8" ht="12.75" customHeight="1" x14ac:dyDescent="0.2">
      <c r="A80" s="44" t="s">
        <v>387</v>
      </c>
      <c r="B80" s="42"/>
      <c r="C80" s="42"/>
      <c r="D80" s="43">
        <v>66149694.539999999</v>
      </c>
      <c r="E80" s="43">
        <v>66149694.539999999</v>
      </c>
      <c r="F80" s="42"/>
      <c r="G80" s="42"/>
    </row>
  </sheetData>
  <mergeCells count="10">
    <mergeCell ref="A4:G4"/>
    <mergeCell ref="B6:C6"/>
    <mergeCell ref="D6:E6"/>
    <mergeCell ref="F6:G6"/>
    <mergeCell ref="B7:B8"/>
    <mergeCell ref="C7:C8"/>
    <mergeCell ref="D7:D8"/>
    <mergeCell ref="E7:E8"/>
    <mergeCell ref="F7:F8"/>
    <mergeCell ref="G7:G8"/>
  </mergeCells>
  <pageMargins left="0.39370078740157477" right="0.39370078740157477" top="0" bottom="0" header="0" footer="0"/>
  <pageSetup paperSize="9" scale="55" fitToWidth="0" fitToHeight="0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autoPageBreaks="0"/>
  </sheetPr>
  <dimension ref="A1:H3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 outlineLevelRow="1" outlineLevelCol="1" x14ac:dyDescent="0.2"/>
  <cols>
    <col min="1" max="1" width="30" style="41" customWidth="1" collapsed="1"/>
    <col min="2" max="3" width="16" style="41" hidden="1" customWidth="1" outlineLevel="1"/>
    <col min="4" max="4" width="16" style="41" customWidth="1" collapsed="1"/>
    <col min="5" max="7" width="16" style="41" hidden="1" customWidth="1" outlineLevel="1"/>
    <col min="8" max="256" width="9.140625" style="41" customWidth="1"/>
    <col min="257" max="16384" width="9.140625" style="41"/>
  </cols>
  <sheetData>
    <row r="1" spans="1:8" ht="12.75" customHeight="1" x14ac:dyDescent="0.2">
      <c r="A1" s="58" t="s">
        <v>437</v>
      </c>
      <c r="B1" s="55"/>
      <c r="C1" s="55"/>
      <c r="D1" s="55"/>
    </row>
    <row r="2" spans="1:8" ht="15.75" customHeight="1" x14ac:dyDescent="0.25">
      <c r="A2" s="57" t="s">
        <v>820</v>
      </c>
      <c r="B2" s="55"/>
      <c r="C2" s="55"/>
      <c r="D2" s="55"/>
    </row>
    <row r="3" spans="1:8" ht="2.1" customHeight="1" x14ac:dyDescent="0.2"/>
    <row r="4" spans="1:8" ht="11.25" customHeight="1" x14ac:dyDescent="0.2">
      <c r="A4" s="278" t="s">
        <v>435</v>
      </c>
      <c r="B4" s="279"/>
      <c r="C4" s="280"/>
      <c r="D4" s="280"/>
      <c r="E4" s="280"/>
      <c r="F4" s="280"/>
      <c r="G4" s="280"/>
    </row>
    <row r="5" spans="1:8" ht="2.1" customHeight="1" x14ac:dyDescent="0.2">
      <c r="A5" s="56"/>
      <c r="B5" s="56"/>
      <c r="C5" s="55"/>
      <c r="D5" s="55"/>
      <c r="E5" s="55"/>
      <c r="F5" s="55"/>
      <c r="G5" s="55"/>
    </row>
    <row r="6" spans="1:8" ht="12.75" customHeight="1" x14ac:dyDescent="0.2">
      <c r="A6" s="54" t="s">
        <v>434</v>
      </c>
      <c r="B6" s="281" t="s">
        <v>433</v>
      </c>
      <c r="C6" s="281"/>
      <c r="D6" s="281" t="s">
        <v>432</v>
      </c>
      <c r="E6" s="281"/>
      <c r="F6" s="281" t="s">
        <v>431</v>
      </c>
      <c r="G6" s="281"/>
    </row>
    <row r="7" spans="1:8" ht="11.25" customHeight="1" x14ac:dyDescent="0.2">
      <c r="A7" s="285" t="s">
        <v>819</v>
      </c>
      <c r="B7" s="282" t="s">
        <v>429</v>
      </c>
      <c r="C7" s="282" t="s">
        <v>428</v>
      </c>
      <c r="D7" s="282" t="s">
        <v>429</v>
      </c>
      <c r="E7" s="282" t="s">
        <v>428</v>
      </c>
      <c r="F7" s="282" t="s">
        <v>429</v>
      </c>
      <c r="G7" s="282" t="s">
        <v>428</v>
      </c>
    </row>
    <row r="8" spans="1:8" ht="11.25" customHeight="1" x14ac:dyDescent="0.2">
      <c r="A8" s="286"/>
      <c r="B8" s="284"/>
      <c r="C8" s="284"/>
      <c r="D8" s="284"/>
      <c r="E8" s="284"/>
      <c r="F8" s="284"/>
      <c r="G8" s="284"/>
    </row>
    <row r="9" spans="1:8" ht="12.75" customHeight="1" x14ac:dyDescent="0.2">
      <c r="A9" s="53" t="s">
        <v>818</v>
      </c>
      <c r="B9" s="51"/>
      <c r="C9" s="51"/>
      <c r="D9" s="52">
        <v>196680193.74000001</v>
      </c>
      <c r="E9" s="51"/>
      <c r="F9" s="52">
        <v>196680193.74000001</v>
      </c>
      <c r="G9" s="51"/>
      <c r="H9" s="126" t="s">
        <v>22</v>
      </c>
    </row>
    <row r="10" spans="1:8" ht="12" customHeight="1" outlineLevel="1" x14ac:dyDescent="0.2">
      <c r="A10" s="67" t="s">
        <v>401</v>
      </c>
      <c r="B10" s="45"/>
      <c r="C10" s="45"/>
      <c r="D10" s="46">
        <v>895580.84</v>
      </c>
      <c r="E10" s="45"/>
      <c r="F10" s="45"/>
      <c r="G10" s="45"/>
      <c r="H10" s="109" t="s">
        <v>401</v>
      </c>
    </row>
    <row r="11" spans="1:8" ht="12" customHeight="1" outlineLevel="1" x14ac:dyDescent="0.2">
      <c r="A11" s="67" t="s">
        <v>817</v>
      </c>
      <c r="B11" s="45"/>
      <c r="C11" s="45"/>
      <c r="D11" s="71">
        <v>3293196.14</v>
      </c>
      <c r="E11" s="45"/>
      <c r="F11" s="45"/>
      <c r="G11" s="45"/>
      <c r="H11" s="109"/>
    </row>
    <row r="12" spans="1:8" ht="12" customHeight="1" outlineLevel="1" x14ac:dyDescent="0.2">
      <c r="A12" s="67" t="s">
        <v>366</v>
      </c>
      <c r="B12" s="45"/>
      <c r="C12" s="45"/>
      <c r="D12" s="46">
        <v>1988722.66</v>
      </c>
      <c r="E12" s="45"/>
      <c r="F12" s="45"/>
      <c r="G12" s="45"/>
      <c r="H12" s="109" t="s">
        <v>366</v>
      </c>
    </row>
    <row r="13" spans="1:8" ht="23.25" customHeight="1" outlineLevel="1" x14ac:dyDescent="0.2">
      <c r="A13" s="67" t="s">
        <v>816</v>
      </c>
      <c r="B13" s="45"/>
      <c r="C13" s="45"/>
      <c r="D13" s="46">
        <v>8333.33</v>
      </c>
      <c r="E13" s="45"/>
      <c r="F13" s="45"/>
      <c r="G13" s="45"/>
      <c r="H13" s="109" t="s">
        <v>362</v>
      </c>
    </row>
    <row r="14" spans="1:8" ht="34.5" customHeight="1" outlineLevel="1" x14ac:dyDescent="0.2">
      <c r="A14" s="67" t="s">
        <v>815</v>
      </c>
      <c r="B14" s="45"/>
      <c r="C14" s="45"/>
      <c r="D14" s="71">
        <v>15589227.710000001</v>
      </c>
      <c r="E14" s="45"/>
      <c r="F14" s="45"/>
      <c r="G14" s="45"/>
      <c r="H14" s="109"/>
    </row>
    <row r="15" spans="1:8" ht="12" customHeight="1" outlineLevel="1" x14ac:dyDescent="0.2">
      <c r="A15" s="67" t="s">
        <v>814</v>
      </c>
      <c r="B15" s="45"/>
      <c r="C15" s="45"/>
      <c r="D15" s="46">
        <v>64397.47</v>
      </c>
      <c r="E15" s="45"/>
      <c r="F15" s="45"/>
      <c r="G15" s="45"/>
      <c r="H15" s="109" t="s">
        <v>368</v>
      </c>
    </row>
    <row r="16" spans="1:8" ht="12" customHeight="1" outlineLevel="1" x14ac:dyDescent="0.2">
      <c r="A16" s="67" t="s">
        <v>813</v>
      </c>
      <c r="B16" s="45"/>
      <c r="C16" s="45"/>
      <c r="D16" s="46">
        <v>1526865</v>
      </c>
      <c r="E16" s="45"/>
      <c r="F16" s="45"/>
      <c r="G16" s="45"/>
      <c r="H16" s="109" t="s">
        <v>362</v>
      </c>
    </row>
    <row r="17" spans="1:8" ht="12" customHeight="1" outlineLevel="1" x14ac:dyDescent="0.2">
      <c r="A17" s="67" t="s">
        <v>812</v>
      </c>
      <c r="B17" s="45"/>
      <c r="C17" s="45"/>
      <c r="D17" s="46">
        <v>77610.47</v>
      </c>
      <c r="E17" s="45"/>
      <c r="F17" s="45"/>
      <c r="G17" s="45"/>
      <c r="H17" s="109" t="s">
        <v>362</v>
      </c>
    </row>
    <row r="18" spans="1:8" ht="34.5" customHeight="1" outlineLevel="1" x14ac:dyDescent="0.2">
      <c r="A18" s="67" t="s">
        <v>811</v>
      </c>
      <c r="B18" s="45"/>
      <c r="C18" s="45"/>
      <c r="D18" s="46">
        <v>213355.37</v>
      </c>
      <c r="E18" s="45"/>
      <c r="F18" s="45"/>
      <c r="G18" s="45"/>
      <c r="H18" s="109" t="s">
        <v>368</v>
      </c>
    </row>
    <row r="19" spans="1:8" ht="57" customHeight="1" outlineLevel="1" x14ac:dyDescent="0.2">
      <c r="A19" s="67" t="s">
        <v>810</v>
      </c>
      <c r="B19" s="45"/>
      <c r="C19" s="45"/>
      <c r="D19" s="46">
        <v>555000</v>
      </c>
      <c r="E19" s="45"/>
      <c r="F19" s="45"/>
      <c r="G19" s="45"/>
      <c r="H19" s="109" t="s">
        <v>368</v>
      </c>
    </row>
    <row r="20" spans="1:8" ht="12" customHeight="1" outlineLevel="1" x14ac:dyDescent="0.2">
      <c r="A20" s="67" t="s">
        <v>809</v>
      </c>
      <c r="B20" s="45"/>
      <c r="C20" s="45"/>
      <c r="D20" s="46">
        <v>139968.76999999999</v>
      </c>
      <c r="E20" s="45"/>
      <c r="F20" s="45"/>
      <c r="G20" s="45"/>
      <c r="H20" s="109" t="s">
        <v>362</v>
      </c>
    </row>
    <row r="21" spans="1:8" ht="12" customHeight="1" outlineLevel="1" x14ac:dyDescent="0.2">
      <c r="A21" s="67" t="s">
        <v>808</v>
      </c>
      <c r="B21" s="45"/>
      <c r="C21" s="45"/>
      <c r="D21" s="46">
        <v>5790859.2300000004</v>
      </c>
      <c r="E21" s="45"/>
      <c r="F21" s="45"/>
      <c r="G21" s="45"/>
      <c r="H21" s="109" t="s">
        <v>362</v>
      </c>
    </row>
    <row r="22" spans="1:8" ht="23.25" customHeight="1" outlineLevel="1" x14ac:dyDescent="0.2">
      <c r="A22" s="67" t="s">
        <v>807</v>
      </c>
      <c r="B22" s="45"/>
      <c r="C22" s="45"/>
      <c r="D22" s="71">
        <v>139161376.61000001</v>
      </c>
      <c r="E22" s="45"/>
      <c r="F22" s="45"/>
      <c r="G22" s="45"/>
      <c r="H22" s="109"/>
    </row>
    <row r="23" spans="1:8" ht="23.25" customHeight="1" outlineLevel="1" x14ac:dyDescent="0.2">
      <c r="A23" s="67" t="s">
        <v>806</v>
      </c>
      <c r="B23" s="45"/>
      <c r="C23" s="45"/>
      <c r="D23" s="46">
        <v>629751.51</v>
      </c>
      <c r="E23" s="45"/>
      <c r="F23" s="45"/>
      <c r="G23" s="45"/>
      <c r="H23" s="109" t="s">
        <v>362</v>
      </c>
    </row>
    <row r="24" spans="1:8" ht="12" customHeight="1" outlineLevel="1" x14ac:dyDescent="0.2">
      <c r="A24" s="67" t="s">
        <v>441</v>
      </c>
      <c r="B24" s="45"/>
      <c r="C24" s="45"/>
      <c r="D24" s="46">
        <v>13235.8</v>
      </c>
      <c r="E24" s="45"/>
      <c r="F24" s="45"/>
      <c r="G24" s="45"/>
      <c r="H24" s="109" t="s">
        <v>362</v>
      </c>
    </row>
    <row r="25" spans="1:8" ht="12" customHeight="1" outlineLevel="1" x14ac:dyDescent="0.2">
      <c r="A25" s="67" t="s">
        <v>805</v>
      </c>
      <c r="B25" s="45"/>
      <c r="C25" s="45"/>
      <c r="D25" s="46">
        <v>11550</v>
      </c>
      <c r="E25" s="45"/>
      <c r="F25" s="45"/>
      <c r="G25" s="45"/>
      <c r="H25" s="109" t="s">
        <v>362</v>
      </c>
    </row>
    <row r="26" spans="1:8" ht="12" customHeight="1" outlineLevel="1" x14ac:dyDescent="0.2">
      <c r="A26" s="67" t="s">
        <v>804</v>
      </c>
      <c r="B26" s="45"/>
      <c r="C26" s="45"/>
      <c r="D26" s="46">
        <v>34236</v>
      </c>
      <c r="E26" s="45"/>
      <c r="F26" s="45"/>
      <c r="G26" s="45"/>
      <c r="H26" s="109" t="s">
        <v>367</v>
      </c>
    </row>
    <row r="27" spans="1:8" ht="23.25" customHeight="1" outlineLevel="1" x14ac:dyDescent="0.2">
      <c r="A27" s="67" t="s">
        <v>803</v>
      </c>
      <c r="B27" s="45"/>
      <c r="C27" s="45"/>
      <c r="D27" s="46">
        <v>7500</v>
      </c>
      <c r="E27" s="45"/>
      <c r="F27" s="45"/>
      <c r="G27" s="45"/>
      <c r="H27" s="109" t="s">
        <v>362</v>
      </c>
    </row>
    <row r="28" spans="1:8" ht="23.25" customHeight="1" outlineLevel="1" x14ac:dyDescent="0.2">
      <c r="A28" s="67" t="s">
        <v>802</v>
      </c>
      <c r="B28" s="45"/>
      <c r="C28" s="45"/>
      <c r="D28" s="180">
        <v>25241148.84</v>
      </c>
      <c r="E28" s="45"/>
      <c r="F28" s="45"/>
      <c r="G28" s="45"/>
      <c r="H28" s="109" t="s">
        <v>802</v>
      </c>
    </row>
    <row r="29" spans="1:8" ht="23.25" customHeight="1" outlineLevel="1" x14ac:dyDescent="0.2">
      <c r="A29" s="67" t="s">
        <v>801</v>
      </c>
      <c r="B29" s="45"/>
      <c r="C29" s="45"/>
      <c r="D29" s="46">
        <v>683163.77</v>
      </c>
      <c r="E29" s="45"/>
      <c r="F29" s="45"/>
      <c r="G29" s="45"/>
      <c r="H29" s="109" t="s">
        <v>362</v>
      </c>
    </row>
    <row r="30" spans="1:8" ht="34.5" customHeight="1" outlineLevel="1" x14ac:dyDescent="0.2">
      <c r="A30" s="67" t="s">
        <v>800</v>
      </c>
      <c r="B30" s="45"/>
      <c r="C30" s="45"/>
      <c r="D30" s="46">
        <v>3188.5</v>
      </c>
      <c r="E30" s="45"/>
      <c r="F30" s="45"/>
      <c r="G30" s="45"/>
      <c r="H30" s="109" t="s">
        <v>362</v>
      </c>
    </row>
    <row r="31" spans="1:8" ht="12" customHeight="1" outlineLevel="1" x14ac:dyDescent="0.2">
      <c r="A31" s="67" t="s">
        <v>367</v>
      </c>
      <c r="B31" s="45"/>
      <c r="C31" s="45"/>
      <c r="D31" s="46">
        <v>651925.72</v>
      </c>
      <c r="E31" s="45"/>
      <c r="F31" s="45"/>
      <c r="G31" s="45"/>
      <c r="H31" s="109" t="s">
        <v>367</v>
      </c>
    </row>
    <row r="32" spans="1:8" ht="12" customHeight="1" outlineLevel="1" x14ac:dyDescent="0.2">
      <c r="A32" s="67" t="s">
        <v>799</v>
      </c>
      <c r="B32" s="45"/>
      <c r="C32" s="45"/>
      <c r="D32" s="46">
        <v>100000</v>
      </c>
      <c r="E32" s="45"/>
      <c r="F32" s="45"/>
      <c r="G32" s="45"/>
      <c r="H32" s="109" t="s">
        <v>362</v>
      </c>
    </row>
    <row r="33" spans="1:7" ht="12.75" customHeight="1" x14ac:dyDescent="0.2">
      <c r="A33" s="44" t="s">
        <v>387</v>
      </c>
      <c r="B33" s="42"/>
      <c r="C33" s="42"/>
      <c r="D33" s="43">
        <v>196680193.74000001</v>
      </c>
      <c r="E33" s="42"/>
      <c r="F33" s="43">
        <v>196680193.74000001</v>
      </c>
      <c r="G33" s="42"/>
    </row>
  </sheetData>
  <autoFilter ref="A9:H33"/>
  <mergeCells count="11">
    <mergeCell ref="F7:F8"/>
    <mergeCell ref="G7:G8"/>
    <mergeCell ref="A4:G4"/>
    <mergeCell ref="B6:C6"/>
    <mergeCell ref="D6:E6"/>
    <mergeCell ref="F6:G6"/>
    <mergeCell ref="A7:A8"/>
    <mergeCell ref="B7:B8"/>
    <mergeCell ref="C7:C8"/>
    <mergeCell ref="D7:D8"/>
    <mergeCell ref="E7:E8"/>
  </mergeCells>
  <pageMargins left="0.39370078740157477" right="0.39370078740157477" top="0" bottom="0" header="0" footer="0"/>
  <pageSetup paperSize="9" scale="5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реклама</vt:lpstr>
      <vt:lpstr>МКД2022</vt:lpstr>
      <vt:lpstr>отчёт</vt:lpstr>
      <vt:lpstr>свод</vt:lpstr>
      <vt:lpstr>2022</vt:lpstr>
      <vt:lpstr>20.01</vt:lpstr>
      <vt:lpstr>25</vt:lpstr>
      <vt:lpstr>26</vt:lpstr>
      <vt:lpstr>91.02</vt:lpstr>
      <vt:lpstr>еирц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Куцевол Елена Евгеньевна</dc:creator>
  <cp:lastModifiedBy>Куцевол Елена Евгеньевна</cp:lastModifiedBy>
  <cp:lastPrinted>2023-04-04T13:03:07Z</cp:lastPrinted>
  <dcterms:created xsi:type="dcterms:W3CDTF">2023-03-27T12:25:56Z</dcterms:created>
  <dcterms:modified xsi:type="dcterms:W3CDTF">2023-04-04T13:29:37Z</dcterms:modified>
</cp:coreProperties>
</file>